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Teréga\Verniolle\"/>
    </mc:Choice>
  </mc:AlternateContent>
  <bookViews>
    <workbookView xWindow="0" yWindow="0" windowWidth="20490" windowHeight="775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5" i="1" l="1"/>
  <c r="D185" i="1" s="1"/>
  <c r="D184" i="1"/>
  <c r="B184" i="1"/>
  <c r="D183" i="1"/>
  <c r="B183" i="1"/>
  <c r="D182" i="1"/>
  <c r="B182" i="1"/>
  <c r="B181" i="1"/>
  <c r="D180" i="1"/>
  <c r="B180" i="1"/>
  <c r="B179" i="1"/>
  <c r="D178" i="1"/>
  <c r="B178" i="1"/>
  <c r="D176" i="1"/>
  <c r="B177" i="1"/>
  <c r="B176" i="1"/>
  <c r="B175" i="1"/>
  <c r="B174" i="1"/>
  <c r="D174" i="1"/>
  <c r="B173" i="1"/>
  <c r="D172" i="1"/>
  <c r="B172" i="1"/>
  <c r="B171" i="1"/>
  <c r="D170" i="1"/>
  <c r="B170" i="1"/>
  <c r="B169" i="1"/>
  <c r="D168" i="1"/>
  <c r="B168" i="1"/>
  <c r="B167" i="1"/>
  <c r="B166" i="1"/>
  <c r="D81" i="1" l="1"/>
  <c r="B81" i="1"/>
  <c r="D80" i="1"/>
  <c r="B80" i="1"/>
  <c r="D79" i="1"/>
  <c r="B79" i="1"/>
  <c r="D78" i="1"/>
  <c r="B78" i="1"/>
  <c r="D77" i="1"/>
  <c r="B77" i="1"/>
  <c r="B76" i="1"/>
  <c r="D75" i="1"/>
  <c r="B75" i="1"/>
  <c r="B74" i="1"/>
  <c r="D73" i="1"/>
  <c r="B73" i="1"/>
  <c r="B72" i="1"/>
  <c r="D71" i="1"/>
  <c r="B71" i="1"/>
  <c r="B70" i="1"/>
  <c r="D69" i="1"/>
  <c r="B69" i="1"/>
  <c r="B68" i="1"/>
  <c r="D67" i="1"/>
  <c r="B67" i="1"/>
  <c r="B66" i="1"/>
  <c r="B65" i="1"/>
  <c r="D65" i="1"/>
  <c r="D63" i="1"/>
  <c r="B64" i="1"/>
  <c r="B63" i="1"/>
  <c r="B62" i="1"/>
  <c r="B153" i="1" l="1"/>
  <c r="D152" i="1"/>
  <c r="B152" i="1"/>
  <c r="B151" i="1"/>
  <c r="D150" i="1"/>
  <c r="B150" i="1"/>
  <c r="B149" i="1"/>
  <c r="D148" i="1"/>
  <c r="B148" i="1"/>
  <c r="B147" i="1"/>
  <c r="D146" i="1"/>
  <c r="B146" i="1"/>
  <c r="B145" i="1"/>
  <c r="D144" i="1"/>
  <c r="B144" i="1"/>
  <c r="B143" i="1"/>
  <c r="B142" i="1"/>
  <c r="B141" i="1"/>
  <c r="B140" i="1"/>
  <c r="B257" i="1" l="1"/>
  <c r="D257" i="1" s="1"/>
  <c r="B256" i="1"/>
  <c r="D255" i="1"/>
  <c r="B255" i="1"/>
  <c r="B254" i="1"/>
  <c r="D253" i="1"/>
  <c r="B253" i="1"/>
  <c r="B252" i="1"/>
  <c r="D251" i="1"/>
  <c r="B251" i="1"/>
  <c r="B250" i="1"/>
  <c r="D249" i="1"/>
  <c r="B249" i="1"/>
  <c r="B248" i="1"/>
  <c r="D247" i="1"/>
  <c r="B247" i="1"/>
  <c r="B246" i="1"/>
  <c r="D245" i="1"/>
  <c r="B245" i="1"/>
  <c r="B244" i="1"/>
  <c r="B199" i="1"/>
  <c r="D198" i="1"/>
  <c r="B198" i="1"/>
  <c r="B197" i="1"/>
  <c r="D196" i="1"/>
  <c r="B196" i="1"/>
  <c r="B195" i="1"/>
  <c r="D194" i="1"/>
  <c r="B194" i="1"/>
  <c r="B193" i="1"/>
  <c r="B121" i="1"/>
  <c r="D120" i="1"/>
  <c r="B120" i="1"/>
  <c r="B119" i="1"/>
  <c r="D118" i="1"/>
  <c r="B118" i="1"/>
  <c r="B117" i="1"/>
  <c r="D116" i="1"/>
  <c r="B116" i="1"/>
  <c r="B115" i="1"/>
  <c r="B43" i="1"/>
  <c r="D42" i="1"/>
  <c r="B42" i="1"/>
  <c r="B41" i="1"/>
  <c r="D40" i="1"/>
  <c r="B40" i="1"/>
  <c r="B39" i="1"/>
  <c r="D38" i="1"/>
  <c r="B38" i="1"/>
  <c r="B37" i="1"/>
  <c r="B101" i="1" l="1"/>
  <c r="D101" i="1" s="1"/>
  <c r="B100" i="1"/>
  <c r="D99" i="1"/>
  <c r="B99" i="1"/>
  <c r="B98" i="1"/>
  <c r="D97" i="1"/>
  <c r="B97" i="1"/>
  <c r="B96" i="1"/>
  <c r="D95" i="1"/>
  <c r="B95" i="1"/>
  <c r="B94" i="1"/>
  <c r="D93" i="1"/>
  <c r="B93" i="1"/>
  <c r="B92" i="1"/>
  <c r="D91" i="1"/>
  <c r="B91" i="1"/>
  <c r="B90" i="1"/>
  <c r="D89" i="1"/>
  <c r="B89" i="1"/>
  <c r="B88" i="1"/>
  <c r="B231" i="1" l="1"/>
  <c r="D231" i="1" s="1"/>
  <c r="B230" i="1"/>
  <c r="D229" i="1"/>
  <c r="B229" i="1"/>
  <c r="B228" i="1"/>
  <c r="D227" i="1"/>
  <c r="B227" i="1"/>
  <c r="B226" i="1"/>
  <c r="D225" i="1"/>
  <c r="B225" i="1"/>
  <c r="B224" i="1"/>
  <c r="D223" i="1"/>
  <c r="B223" i="1"/>
  <c r="B222" i="1"/>
  <c r="D221" i="1"/>
  <c r="B221" i="1"/>
  <c r="B220" i="1"/>
  <c r="D219" i="1"/>
  <c r="B219" i="1"/>
  <c r="B21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W20" i="2"/>
  <c r="EV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A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W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C118" i="2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FR140" i="2"/>
  <c r="EX140" i="2"/>
  <c r="EC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AC154" i="2"/>
  <c r="EY154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DH156" i="2" l="1"/>
  <c r="ED155" i="2"/>
  <c r="FS156" i="2"/>
  <c r="EX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B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V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Y159" i="2"/>
  <c r="ED159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EX161" i="2"/>
  <c r="ED160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Y161" i="2"/>
  <c r="EC162" i="2"/>
  <c r="EB162" i="2"/>
  <c r="DI161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V163" i="2"/>
  <c r="EA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FS164" i="2"/>
  <c r="FR164" i="2"/>
  <c r="EV164" i="2"/>
  <c r="EX164" i="2"/>
  <c r="EA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EX167" i="2"/>
  <c r="EB167" i="2"/>
  <c r="EA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B168" i="2"/>
  <c r="EW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V172" i="2"/>
  <c r="EW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FS175" i="2"/>
  <c r="EW175" i="2"/>
  <c r="EB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D177" i="2"/>
  <c r="FS178" i="2"/>
  <c r="EW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D178" i="2"/>
  <c r="EV179" i="2"/>
  <c r="EA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R186" i="2"/>
  <c r="FS186" i="2"/>
  <c r="EW186" i="2"/>
  <c r="EB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W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FQ193" i="2"/>
  <c r="EX193" i="2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CN193" i="2"/>
  <c r="ED193" i="2"/>
  <c r="EB194" i="2"/>
  <c r="EA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FQ195" i="2"/>
  <c r="DH195" i="2"/>
  <c r="EY194" i="2"/>
  <c r="EX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W197" i="2"/>
  <c r="EY196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V199" i="2"/>
  <c r="EW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32" i="2" a="1"/>
  <c r="FY32" i="2" s="1"/>
  <c r="FY146" i="2" a="1"/>
  <c r="FY146" i="2" s="1"/>
  <c r="FY35" i="2" a="1"/>
  <c r="FY35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37" i="2" a="1"/>
  <c r="DN137" i="2" s="1"/>
  <c r="DN41" i="2" a="1"/>
  <c r="DN41" i="2" s="1"/>
  <c r="DN113" i="2" a="1"/>
  <c r="DN113" i="2" s="1"/>
  <c r="DN129" i="2" a="1"/>
  <c r="DN129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52" i="2" l="1" a="1"/>
  <c r="DN152" i="2" s="1"/>
  <c r="DN43" i="2" a="1"/>
  <c r="DN43" i="2" s="1"/>
  <c r="DN170" i="2" a="1"/>
  <c r="DN170" i="2" s="1"/>
  <c r="DN50" i="2" a="1"/>
  <c r="DN50" i="2" s="1"/>
  <c r="DN186" i="2" a="1"/>
  <c r="DN186" i="2" s="1"/>
  <c r="DN124" i="2" a="1"/>
  <c r="DN124" i="2" s="1"/>
  <c r="DN155" i="2" a="1"/>
  <c r="DN155" i="2" s="1"/>
  <c r="DN25" i="2" a="1"/>
  <c r="DN25" i="2" s="1"/>
  <c r="DN184" i="2" a="1"/>
  <c r="DN184" i="2" s="1"/>
  <c r="DN29" i="2" a="1"/>
  <c r="DN29" i="2" s="1"/>
  <c r="DN56" i="2" a="1"/>
  <c r="DN56" i="2" s="1"/>
  <c r="AH163" i="2" a="1"/>
  <c r="AH163" i="2" s="1"/>
  <c r="AH151" i="2" a="1"/>
  <c r="AH151" i="2" s="1"/>
  <c r="AH199" i="2" a="1"/>
  <c r="AH199" i="2" s="1"/>
  <c r="AH166" i="2" a="1"/>
  <c r="AH166" i="2" s="1"/>
  <c r="AH19" i="2" a="1"/>
  <c r="AH19" i="2" s="1"/>
  <c r="AH92" i="2" a="1"/>
  <c r="AH92" i="2" s="1"/>
  <c r="FY29" i="2" a="1"/>
  <c r="FY29" i="2" s="1"/>
  <c r="FY50" i="2" a="1"/>
  <c r="FY50" i="2" s="1"/>
  <c r="FY133" i="2" a="1"/>
  <c r="FY133" i="2" s="1"/>
  <c r="FY140" i="2" a="1"/>
  <c r="FY140" i="2" s="1"/>
  <c r="FY165" i="2" a="1"/>
  <c r="FY165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FY90" i="2" a="1"/>
  <c r="FY90" i="2" s="1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55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05" i="2" l="1"/>
  <c r="FJ103" i="2"/>
  <c r="FJ90" i="2"/>
  <c r="FJ3" i="2"/>
  <c r="C13" i="4" s="1"/>
  <c r="E13" i="4" s="1"/>
  <c r="F13" i="4" s="1"/>
  <c r="G13" i="4" s="1"/>
  <c r="L13" i="4" s="1"/>
  <c r="FJ30" i="2"/>
  <c r="FJ140" i="2"/>
  <c r="FJ128" i="2"/>
  <c r="FJ5" i="2"/>
  <c r="FJ10" i="2"/>
  <c r="FJ29" i="2"/>
  <c r="FJ87" i="2"/>
  <c r="FJ125" i="2"/>
  <c r="FJ184" i="2"/>
  <c r="FJ9" i="2"/>
  <c r="FJ130" i="2"/>
  <c r="FJ178" i="2"/>
  <c r="FJ180" i="2"/>
  <c r="FJ170" i="2"/>
  <c r="FJ127" i="2"/>
  <c r="FJ138" i="2"/>
  <c r="FJ115" i="2"/>
  <c r="FJ175" i="2"/>
  <c r="FJ199" i="2"/>
  <c r="FJ32" i="2"/>
  <c r="FJ158" i="2"/>
  <c r="FJ137" i="2"/>
  <c r="FJ149" i="2"/>
  <c r="FJ53" i="2"/>
  <c r="FJ42" i="2"/>
  <c r="FJ162" i="2"/>
  <c r="FJ13" i="2"/>
  <c r="FJ72" i="2"/>
  <c r="FJ23" i="2"/>
  <c r="FJ84" i="2"/>
  <c r="FJ203" i="2"/>
  <c r="FJ177" i="2"/>
  <c r="FJ163" i="2"/>
  <c r="FJ135" i="2"/>
  <c r="FJ117" i="2"/>
  <c r="FJ143" i="2"/>
  <c r="FJ45" i="2"/>
  <c r="FJ197" i="2"/>
  <c r="FJ109" i="2"/>
  <c r="FJ6" i="2"/>
  <c r="FJ56" i="2"/>
  <c r="FJ102" i="2"/>
  <c r="FJ62" i="2"/>
  <c r="FJ89" i="2"/>
  <c r="FJ21" i="2"/>
  <c r="FJ111" i="2"/>
  <c r="FJ35" i="2"/>
  <c r="FJ73" i="2"/>
  <c r="FJ88" i="2"/>
  <c r="FJ66" i="2"/>
  <c r="FJ43" i="2"/>
  <c r="FJ124" i="2"/>
  <c r="FJ77" i="2"/>
  <c r="FJ159" i="2"/>
  <c r="FJ108" i="2"/>
  <c r="FJ79" i="2"/>
  <c r="FJ83" i="2"/>
  <c r="FJ59" i="2"/>
  <c r="FJ20" i="2"/>
  <c r="FJ80" i="2"/>
  <c r="FJ65" i="2"/>
  <c r="FJ113" i="2"/>
  <c r="FJ96" i="2"/>
  <c r="FJ174" i="2"/>
  <c r="FJ154" i="2"/>
  <c r="FJ57" i="2"/>
  <c r="FJ194" i="2"/>
  <c r="FJ112" i="2"/>
  <c r="FJ186" i="2"/>
  <c r="FJ69" i="2"/>
  <c r="FJ126" i="2"/>
  <c r="FJ37" i="2"/>
  <c r="FJ104" i="2"/>
  <c r="FJ74" i="2"/>
  <c r="FJ191" i="2"/>
  <c r="FJ131" i="2"/>
  <c r="FJ68" i="2"/>
  <c r="FJ160" i="2"/>
  <c r="FJ46" i="2"/>
  <c r="FJ189" i="2"/>
  <c r="FJ97" i="2"/>
  <c r="FJ133" i="2"/>
  <c r="FJ52" i="2"/>
  <c r="FJ60" i="2"/>
  <c r="FJ161" i="2"/>
  <c r="FJ78" i="2"/>
  <c r="FJ81" i="2"/>
  <c r="FJ132" i="2"/>
  <c r="FJ18" i="2"/>
  <c r="FJ166" i="2"/>
  <c r="FJ118" i="2"/>
  <c r="FJ169" i="2"/>
  <c r="FJ193" i="2"/>
  <c r="FJ145" i="2"/>
  <c r="FJ22" i="2"/>
  <c r="FJ55" i="2"/>
  <c r="FJ150" i="2"/>
  <c r="FJ41" i="2"/>
  <c r="FJ156" i="2"/>
  <c r="FJ48" i="2"/>
  <c r="FJ61" i="2"/>
  <c r="FJ187" i="2"/>
  <c r="FJ33" i="2"/>
  <c r="FJ34" i="2"/>
  <c r="FJ47" i="2"/>
  <c r="FJ85" i="2"/>
  <c r="FJ168" i="2"/>
  <c r="FJ116" i="2"/>
  <c r="FJ7" i="2"/>
  <c r="FJ4" i="2"/>
  <c r="FJ185" i="2"/>
  <c r="FJ40" i="2"/>
  <c r="FJ153" i="2"/>
  <c r="FJ19" i="2"/>
  <c r="FJ201" i="2"/>
  <c r="FJ172" i="2"/>
  <c r="FJ63" i="2"/>
  <c r="FJ139" i="2"/>
  <c r="FJ151" i="2"/>
  <c r="FJ183" i="2"/>
  <c r="FJ31" i="2"/>
  <c r="FJ198" i="2"/>
  <c r="FJ100" i="2"/>
  <c r="FJ11" i="2"/>
  <c r="FJ119" i="2"/>
  <c r="FJ99" i="2"/>
  <c r="FJ76" i="2"/>
  <c r="FJ164" i="2"/>
  <c r="FJ142" i="2"/>
  <c r="FJ167" i="2"/>
  <c r="FJ152" i="2"/>
  <c r="FJ106" i="2"/>
  <c r="FJ25" i="2"/>
  <c r="FJ173" i="2"/>
  <c r="FJ179" i="2"/>
  <c r="FJ101" i="2"/>
  <c r="FJ82" i="2"/>
  <c r="FJ67" i="2"/>
  <c r="FJ28" i="2"/>
  <c r="FJ200" i="2"/>
  <c r="FJ121" i="2"/>
  <c r="FJ86" i="2"/>
  <c r="FJ147" i="2"/>
  <c r="FJ181" i="2"/>
  <c r="FJ39" i="2"/>
  <c r="FJ91" i="2"/>
  <c r="FJ64" i="2"/>
  <c r="FJ157" i="2"/>
  <c r="FJ54" i="2"/>
  <c r="FJ114" i="2"/>
  <c r="FJ98" i="2"/>
  <c r="FJ136" i="2"/>
  <c r="FJ190" i="2"/>
  <c r="FJ188" i="2"/>
  <c r="FJ12" i="2"/>
  <c r="FJ16" i="2"/>
  <c r="FJ129" i="2"/>
  <c r="FJ51" i="2"/>
  <c r="FJ75" i="2"/>
  <c r="FJ176" i="2"/>
  <c r="FJ171" i="2"/>
  <c r="FJ17" i="2"/>
  <c r="FJ93" i="2"/>
  <c r="FJ14" i="2"/>
  <c r="FJ58" i="2"/>
  <c r="FJ26" i="2"/>
  <c r="FJ122" i="2"/>
  <c r="FJ120" i="2"/>
  <c r="FJ192" i="2"/>
  <c r="FJ144" i="2"/>
  <c r="FJ49" i="2"/>
  <c r="FJ94" i="2"/>
  <c r="FJ71" i="2"/>
  <c r="FJ38" i="2"/>
  <c r="FJ141" i="2"/>
  <c r="FJ95" i="2"/>
  <c r="FJ110" i="2"/>
  <c r="FJ196" i="2"/>
  <c r="FJ24" i="2"/>
  <c r="FJ92" i="2"/>
  <c r="FJ123" i="2"/>
  <c r="FJ8" i="2"/>
  <c r="FJ50" i="2"/>
  <c r="FJ195" i="2"/>
  <c r="FJ70" i="2"/>
  <c r="FJ148" i="2"/>
  <c r="FJ44" i="2"/>
  <c r="FJ165" i="2"/>
  <c r="FJ107" i="2"/>
  <c r="FJ146" i="2"/>
  <c r="FJ182" i="2"/>
  <c r="FJ134" i="2"/>
  <c r="FJ36" i="2"/>
  <c r="FJ27" i="2"/>
  <c r="FJ202" i="2"/>
  <c r="FJ15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05" i="2" l="1"/>
  <c r="DT186" i="2"/>
  <c r="DT13" i="2"/>
  <c r="DT157" i="2"/>
  <c r="DT100" i="2"/>
  <c r="DT122" i="2"/>
  <c r="DT14" i="2"/>
  <c r="DT39" i="2"/>
  <c r="DT82" i="2"/>
  <c r="DT189" i="2"/>
  <c r="DT152" i="2"/>
  <c r="DT153" i="2"/>
  <c r="DT113" i="2"/>
  <c r="DT175" i="2"/>
  <c r="DT58" i="2"/>
  <c r="DT34" i="2"/>
  <c r="DT110" i="2"/>
  <c r="DT8" i="2"/>
  <c r="DT42" i="2"/>
  <c r="DT181" i="2"/>
  <c r="DT99" i="2"/>
  <c r="DT146" i="2"/>
  <c r="DT92" i="2"/>
  <c r="DT89" i="2"/>
  <c r="DT27" i="2"/>
  <c r="DT40" i="2"/>
  <c r="DT15" i="2"/>
  <c r="DT86" i="2"/>
  <c r="DT176" i="2"/>
  <c r="DT168" i="2"/>
  <c r="DT53" i="2"/>
  <c r="DT43" i="2"/>
  <c r="DT200" i="2"/>
  <c r="DT83" i="2"/>
  <c r="DT158" i="2"/>
  <c r="DT161" i="2"/>
  <c r="DT71" i="2"/>
  <c r="DT61" i="2"/>
  <c r="DT140" i="2"/>
  <c r="DT180" i="2"/>
  <c r="DT129" i="2"/>
  <c r="DT166" i="2"/>
  <c r="DT7" i="2"/>
  <c r="DT47" i="2"/>
  <c r="DT124" i="2"/>
  <c r="DT162" i="2"/>
  <c r="DT95" i="2"/>
  <c r="DT201" i="2"/>
  <c r="DT87" i="2"/>
  <c r="DT116" i="2"/>
  <c r="DT109" i="2"/>
  <c r="DT10" i="2"/>
  <c r="DT183" i="2"/>
  <c r="DT172" i="2"/>
  <c r="DT103" i="2"/>
  <c r="DT74" i="2"/>
  <c r="DT120" i="2"/>
  <c r="DT78" i="2"/>
  <c r="DT59" i="2"/>
  <c r="DT119" i="2"/>
  <c r="DT151" i="2"/>
  <c r="DT118" i="2"/>
  <c r="DT67" i="2"/>
  <c r="DT125" i="2"/>
  <c r="DT29" i="2"/>
  <c r="DT192" i="2"/>
  <c r="DT30" i="2"/>
  <c r="DT37" i="2"/>
  <c r="DT134" i="2"/>
  <c r="DT23" i="2"/>
  <c r="DT144" i="2"/>
  <c r="DT133" i="2"/>
  <c r="DT54" i="2"/>
  <c r="DT38" i="2"/>
  <c r="DT21" i="2"/>
  <c r="DT197" i="2"/>
  <c r="DT94" i="2"/>
  <c r="DT147" i="2"/>
  <c r="DT156" i="2"/>
  <c r="DT68" i="2"/>
  <c r="DT106" i="2"/>
  <c r="DT97" i="2"/>
  <c r="DT33" i="2"/>
  <c r="DT25" i="2"/>
  <c r="DT193" i="2"/>
  <c r="DT63" i="2"/>
  <c r="DT139" i="2"/>
  <c r="DT66" i="2"/>
  <c r="DT126" i="2"/>
  <c r="DT114" i="2"/>
  <c r="DT46" i="2"/>
  <c r="DT132" i="2"/>
  <c r="DT130" i="2"/>
  <c r="DT179" i="2"/>
  <c r="DT188" i="2"/>
  <c r="DT41" i="2"/>
  <c r="DT170" i="2"/>
  <c r="DT90" i="2"/>
  <c r="DT6" i="2"/>
  <c r="DT127" i="2"/>
  <c r="DT117" i="2"/>
  <c r="DT11" i="2"/>
  <c r="DT26" i="2"/>
  <c r="DT31" i="2"/>
  <c r="DT98" i="2"/>
  <c r="DT22" i="2"/>
  <c r="DT163" i="2"/>
  <c r="DT143" i="2"/>
  <c r="DT18" i="2"/>
  <c r="DT145" i="2"/>
  <c r="DT77" i="2"/>
  <c r="DT115" i="2"/>
  <c r="DT128" i="2"/>
  <c r="DT154" i="2"/>
  <c r="DT137" i="2"/>
  <c r="DT75" i="2"/>
  <c r="DT101" i="2"/>
  <c r="DT5" i="2"/>
  <c r="DT52" i="2"/>
  <c r="DT108" i="2"/>
  <c r="DT202" i="2"/>
  <c r="DT136" i="2"/>
  <c r="DT184" i="2"/>
  <c r="DT4" i="2"/>
  <c r="DT96" i="2"/>
  <c r="DT3" i="2"/>
  <c r="C11" i="4" s="1"/>
  <c r="E11" i="4" s="1"/>
  <c r="F11" i="4" s="1"/>
  <c r="G11" i="4" s="1"/>
  <c r="L11" i="4" s="1"/>
  <c r="DT57" i="2"/>
  <c r="DT187" i="2"/>
  <c r="DT17" i="2"/>
  <c r="DT167" i="2"/>
  <c r="DT185" i="2"/>
  <c r="DT72" i="2"/>
  <c r="DT45" i="2"/>
  <c r="DT182" i="2"/>
  <c r="DT16" i="2"/>
  <c r="DT19" i="2"/>
  <c r="DT70" i="2"/>
  <c r="DT20" i="2"/>
  <c r="DT12" i="2"/>
  <c r="DT196" i="2"/>
  <c r="DT123" i="2"/>
  <c r="DT169" i="2"/>
  <c r="DT203" i="2"/>
  <c r="DT142" i="2"/>
  <c r="DT155" i="2"/>
  <c r="DT79" i="2"/>
  <c r="DT48" i="2"/>
  <c r="DT199" i="2"/>
  <c r="DT62" i="2"/>
  <c r="DT149" i="2"/>
  <c r="DT24" i="2"/>
  <c r="DT178" i="2"/>
  <c r="DT32" i="2"/>
  <c r="DT171" i="2"/>
  <c r="DT49" i="2"/>
  <c r="DT55" i="2"/>
  <c r="DT84" i="2"/>
  <c r="DT159" i="2"/>
  <c r="DT91" i="2"/>
  <c r="DT190" i="2"/>
  <c r="DT73" i="2"/>
  <c r="DT36" i="2"/>
  <c r="DT65" i="2"/>
  <c r="DT148" i="2"/>
  <c r="DT173" i="2"/>
  <c r="DT9" i="2"/>
  <c r="DT69" i="2"/>
  <c r="DT28" i="2"/>
  <c r="DT138" i="2"/>
  <c r="DT131" i="2"/>
  <c r="DT80" i="2"/>
  <c r="DT195" i="2"/>
  <c r="DT64" i="2"/>
  <c r="DT112" i="2"/>
  <c r="DT111" i="2"/>
  <c r="DT121" i="2"/>
  <c r="DT177" i="2"/>
  <c r="DT35" i="2"/>
  <c r="DT135" i="2"/>
  <c r="DT50" i="2"/>
  <c r="DT88" i="2"/>
  <c r="DT174" i="2"/>
  <c r="DT104" i="2"/>
  <c r="DT107" i="2"/>
  <c r="DT165" i="2"/>
  <c r="DT76" i="2"/>
  <c r="DT141" i="2"/>
  <c r="DT81" i="2"/>
  <c r="DT60" i="2"/>
  <c r="DT44" i="2"/>
  <c r="DT198" i="2"/>
  <c r="DT194" i="2"/>
  <c r="DT85" i="2"/>
  <c r="DT51" i="2"/>
  <c r="DT164" i="2"/>
  <c r="DT102" i="2"/>
  <c r="DT93" i="2"/>
  <c r="DT56" i="2"/>
  <c r="DT191" i="2"/>
  <c r="DT160" i="2"/>
  <c r="DT150" i="2"/>
  <c r="EO141" i="2"/>
  <c r="EO82" i="2"/>
  <c r="EO89" i="2"/>
  <c r="EO15" i="2"/>
  <c r="EO156" i="2"/>
  <c r="EO144" i="2"/>
  <c r="EO194" i="2"/>
  <c r="EO14" i="2"/>
  <c r="EO16" i="2"/>
  <c r="EO140" i="2"/>
  <c r="EO66" i="2"/>
  <c r="EO177" i="2"/>
  <c r="EO50" i="2"/>
  <c r="EO3" i="2"/>
  <c r="C12" i="4" s="1"/>
  <c r="E12" i="4" s="1"/>
  <c r="F12" i="4" s="1"/>
  <c r="G12" i="4" s="1"/>
  <c r="L12" i="4" s="1"/>
  <c r="EO128" i="2"/>
  <c r="EO147" i="2"/>
  <c r="EO183" i="2"/>
  <c r="EO124" i="2"/>
  <c r="EO161" i="2"/>
  <c r="EO63" i="2"/>
  <c r="EO8" i="2"/>
  <c r="EO157" i="2"/>
  <c r="EO26" i="2"/>
  <c r="EO12" i="2"/>
  <c r="EO20" i="2"/>
  <c r="EO145" i="2"/>
  <c r="EO18" i="2"/>
  <c r="EO180" i="2"/>
  <c r="EO31" i="2"/>
  <c r="EO84" i="2"/>
  <c r="EO9" i="2"/>
  <c r="EO187" i="2"/>
  <c r="EO199" i="2"/>
  <c r="EO181" i="2"/>
  <c r="EO7" i="2"/>
  <c r="EO65" i="2"/>
  <c r="EO195" i="2"/>
  <c r="EO109" i="2"/>
  <c r="EO81" i="2"/>
  <c r="EO87" i="2"/>
  <c r="EO40" i="2"/>
  <c r="EO190" i="2"/>
  <c r="EO117" i="2"/>
  <c r="EO51" i="2"/>
  <c r="EO73" i="2"/>
  <c r="EO45" i="2"/>
  <c r="EO76" i="2"/>
  <c r="EO166" i="2"/>
  <c r="EO188" i="2"/>
  <c r="EO163" i="2"/>
  <c r="EO185" i="2"/>
  <c r="EO151" i="2"/>
  <c r="EO55" i="2"/>
  <c r="EO160" i="2"/>
  <c r="EO4" i="2"/>
  <c r="EO175" i="2"/>
  <c r="EO104" i="2"/>
  <c r="EO159" i="2"/>
  <c r="EO68" i="2"/>
  <c r="EO167" i="2"/>
  <c r="EO6" i="2"/>
  <c r="EO91" i="2"/>
  <c r="EO46" i="2"/>
  <c r="EO77" i="2"/>
  <c r="EO53" i="2"/>
  <c r="EO27" i="2"/>
  <c r="EO19" i="2"/>
  <c r="EO110" i="2"/>
  <c r="EO23" i="2"/>
  <c r="EO134" i="2"/>
  <c r="EO165" i="2"/>
  <c r="EO202" i="2"/>
  <c r="EO60" i="2"/>
  <c r="EO168" i="2"/>
  <c r="EO54" i="2"/>
  <c r="EO49" i="2"/>
  <c r="EO78" i="2"/>
  <c r="EO64" i="2"/>
  <c r="EO21" i="2"/>
  <c r="EO61" i="2"/>
  <c r="EO35" i="2"/>
  <c r="EO48" i="2"/>
  <c r="EO193" i="2"/>
  <c r="EO93" i="2"/>
  <c r="EO112" i="2"/>
  <c r="EO90" i="2"/>
  <c r="EO28" i="2"/>
  <c r="EO125" i="2"/>
  <c r="EO10" i="2"/>
  <c r="EO203" i="2"/>
  <c r="EO126" i="2"/>
  <c r="EO119" i="2"/>
  <c r="EO138" i="2"/>
  <c r="EO80" i="2"/>
  <c r="EO155" i="2"/>
  <c r="EO102" i="2"/>
  <c r="EO164" i="2"/>
  <c r="EO37" i="2"/>
  <c r="EO173" i="2"/>
  <c r="EO74" i="2"/>
  <c r="EO122" i="2"/>
  <c r="EO100" i="2"/>
  <c r="EO152" i="2"/>
  <c r="EO108" i="2"/>
  <c r="EO13" i="2"/>
  <c r="EO113" i="2"/>
  <c r="EO107" i="2"/>
  <c r="EO62" i="2"/>
  <c r="EO148" i="2"/>
  <c r="EO201" i="2"/>
  <c r="EO72" i="2"/>
  <c r="EO116" i="2"/>
  <c r="EO158" i="2"/>
  <c r="EO172" i="2"/>
  <c r="EO67" i="2"/>
  <c r="EO196" i="2"/>
  <c r="EO83" i="2"/>
  <c r="EO179" i="2"/>
  <c r="EO127" i="2"/>
  <c r="EO94" i="2"/>
  <c r="EO143" i="2"/>
  <c r="EO114" i="2"/>
  <c r="EO189" i="2"/>
  <c r="EO137" i="2"/>
  <c r="EO86" i="2"/>
  <c r="EO162" i="2"/>
  <c r="EO44" i="2"/>
  <c r="EO149" i="2"/>
  <c r="EO34" i="2"/>
  <c r="EO22" i="2"/>
  <c r="EO182" i="2"/>
  <c r="EO29" i="2"/>
  <c r="EO25" i="2"/>
  <c r="EO106" i="2"/>
  <c r="EO92" i="2"/>
  <c r="EO130" i="2"/>
  <c r="EO39" i="2"/>
  <c r="EO47" i="2"/>
  <c r="EO191" i="2"/>
  <c r="EO200" i="2"/>
  <c r="EO120" i="2"/>
  <c r="EO97" i="2"/>
  <c r="EO197" i="2"/>
  <c r="EO24" i="2"/>
  <c r="EO136" i="2"/>
  <c r="EO79" i="2"/>
  <c r="EO38" i="2"/>
  <c r="EO11" i="2"/>
  <c r="EO171" i="2"/>
  <c r="EO98" i="2"/>
  <c r="EO52" i="2"/>
  <c r="EO186" i="2"/>
  <c r="EO153" i="2"/>
  <c r="EO96" i="2"/>
  <c r="EO56" i="2"/>
  <c r="EO132" i="2"/>
  <c r="EO58" i="2"/>
  <c r="EO75" i="2"/>
  <c r="EO36" i="2"/>
  <c r="EO121" i="2"/>
  <c r="EO69" i="2"/>
  <c r="EO85" i="2"/>
  <c r="EO103" i="2"/>
  <c r="EO135" i="2"/>
  <c r="EO192" i="2"/>
  <c r="EO176" i="2"/>
  <c r="EO33" i="2"/>
  <c r="EO139" i="2"/>
  <c r="EO169" i="2"/>
  <c r="EO111" i="2"/>
  <c r="EO17" i="2"/>
  <c r="EO133" i="2"/>
  <c r="EO95" i="2"/>
  <c r="EO142" i="2"/>
  <c r="EO115" i="2"/>
  <c r="EO131" i="2"/>
  <c r="EO146" i="2"/>
  <c r="EO101" i="2"/>
  <c r="EO123" i="2"/>
  <c r="EO129" i="2"/>
  <c r="EO70" i="2"/>
  <c r="EO150" i="2"/>
  <c r="EO30" i="2"/>
  <c r="EO178" i="2"/>
  <c r="EO105" i="2"/>
  <c r="EO88" i="2"/>
  <c r="EO170" i="2"/>
  <c r="EO41" i="2"/>
  <c r="EO43" i="2"/>
  <c r="EO71" i="2"/>
  <c r="EO42" i="2"/>
  <c r="EO184" i="2"/>
  <c r="EO32" i="2"/>
  <c r="EO118" i="2"/>
  <c r="EO174" i="2"/>
  <c r="EO59" i="2"/>
  <c r="EO57" i="2"/>
  <c r="EO154" i="2"/>
  <c r="EO5" i="2"/>
  <c r="EO198" i="2"/>
  <c r="EO99" i="2"/>
  <c r="CD146" i="2"/>
  <c r="CD187" i="2"/>
  <c r="CD25" i="2"/>
  <c r="CD161" i="2"/>
  <c r="CD16" i="2"/>
  <c r="CD131" i="2"/>
  <c r="CD178" i="2"/>
  <c r="CD67" i="2"/>
  <c r="CD162" i="2"/>
  <c r="CD149" i="2"/>
  <c r="CD45" i="2"/>
  <c r="CD82" i="2"/>
  <c r="CD33" i="2"/>
  <c r="CD69" i="2"/>
  <c r="CD77" i="2"/>
  <c r="CD154" i="2"/>
  <c r="CD57" i="2"/>
  <c r="CD129" i="2"/>
  <c r="CD56" i="2"/>
  <c r="CD106" i="2"/>
  <c r="CD27" i="2"/>
  <c r="CD30" i="2"/>
  <c r="CD185" i="2"/>
  <c r="CD110" i="2"/>
  <c r="CD3" i="2"/>
  <c r="C9" i="4" s="1"/>
  <c r="E9" i="4" s="1"/>
  <c r="F9" i="4" s="1"/>
  <c r="G9" i="4" s="1"/>
  <c r="L9" i="4" s="1"/>
  <c r="CD52" i="2"/>
  <c r="CD200" i="2"/>
  <c r="CD152" i="2"/>
  <c r="CD117" i="2"/>
  <c r="CD183" i="2"/>
  <c r="CD95" i="2"/>
  <c r="CD156" i="2"/>
  <c r="CD105" i="2"/>
  <c r="CD197" i="2"/>
  <c r="CD139" i="2"/>
  <c r="CD120" i="2"/>
  <c r="CD184" i="2"/>
  <c r="CD176" i="2"/>
  <c r="CD18" i="2"/>
  <c r="CD181" i="2"/>
  <c r="CD44" i="2"/>
  <c r="CD130" i="2"/>
  <c r="CD158" i="2"/>
  <c r="CD175" i="2"/>
  <c r="CD166" i="2"/>
  <c r="CD190" i="2"/>
  <c r="CD98" i="2"/>
  <c r="CD93" i="2"/>
  <c r="CD191" i="2"/>
  <c r="CD171" i="2"/>
  <c r="CD135" i="2"/>
  <c r="CD70" i="2"/>
  <c r="CD92" i="2"/>
  <c r="CD20" i="2"/>
  <c r="CD59" i="2"/>
  <c r="CD80" i="2"/>
  <c r="CD174" i="2"/>
  <c r="CD168" i="2"/>
  <c r="CD54" i="2"/>
  <c r="CD90" i="2"/>
  <c r="CD163" i="2"/>
  <c r="CD84" i="2"/>
  <c r="CD74" i="2"/>
  <c r="CD60" i="2"/>
  <c r="CD107" i="2"/>
  <c r="CD194" i="2"/>
  <c r="CD147" i="2"/>
  <c r="CD182" i="2"/>
  <c r="CD199" i="2"/>
  <c r="CD196" i="2"/>
  <c r="CD180" i="2"/>
  <c r="CD76" i="2"/>
  <c r="CD17" i="2"/>
  <c r="CD36" i="2"/>
  <c r="CD123" i="2"/>
  <c r="CD136" i="2"/>
  <c r="CD78" i="2"/>
  <c r="CD28" i="2"/>
  <c r="CD10" i="2"/>
  <c r="CD24" i="2"/>
  <c r="CD111" i="2"/>
  <c r="CD88" i="2"/>
  <c r="CD5" i="2"/>
  <c r="CD113" i="2"/>
  <c r="CD121" i="2"/>
  <c r="CD29" i="2"/>
  <c r="CD143" i="2"/>
  <c r="CD103" i="2"/>
  <c r="CD119" i="2"/>
  <c r="CD31" i="2"/>
  <c r="CD109" i="2"/>
  <c r="CD148" i="2"/>
  <c r="CD4" i="2"/>
  <c r="CD61" i="2"/>
  <c r="CD85" i="2"/>
  <c r="CD177" i="2"/>
  <c r="CD47" i="2"/>
  <c r="CD127" i="2"/>
  <c r="CD155" i="2"/>
  <c r="CD142" i="2"/>
  <c r="CD132" i="2"/>
  <c r="CD8" i="2"/>
  <c r="CD170" i="2"/>
  <c r="CD22" i="2"/>
  <c r="CD186" i="2"/>
  <c r="CD48" i="2"/>
  <c r="CD79" i="2"/>
  <c r="CD116" i="2"/>
  <c r="CD108" i="2"/>
  <c r="CD159" i="2"/>
  <c r="CD138" i="2"/>
  <c r="CD21" i="2"/>
  <c r="CD100" i="2"/>
  <c r="CD11" i="2"/>
  <c r="CD160" i="2"/>
  <c r="CD39" i="2"/>
  <c r="CD32" i="2"/>
  <c r="CD201" i="2"/>
  <c r="CD15" i="2"/>
  <c r="CD202" i="2"/>
  <c r="CD157" i="2"/>
  <c r="CD195" i="2"/>
  <c r="CD101" i="2"/>
  <c r="CD114" i="2"/>
  <c r="CD81" i="2"/>
  <c r="CD126" i="2"/>
  <c r="CD40" i="2"/>
  <c r="CD179" i="2"/>
  <c r="CD62" i="2"/>
  <c r="CD203" i="2"/>
  <c r="CD64" i="2"/>
  <c r="CD55" i="2"/>
  <c r="CD65" i="2"/>
  <c r="CD102" i="2"/>
  <c r="CD193" i="2"/>
  <c r="CD192" i="2"/>
  <c r="CD137" i="2"/>
  <c r="CD73" i="2"/>
  <c r="CD173" i="2"/>
  <c r="CD169" i="2"/>
  <c r="CD188" i="2"/>
  <c r="CD134" i="2"/>
  <c r="CD86" i="2"/>
  <c r="CD71" i="2"/>
  <c r="CD153" i="2"/>
  <c r="CD19" i="2"/>
  <c r="CD35" i="2"/>
  <c r="CD124" i="2"/>
  <c r="CD96" i="2"/>
  <c r="CD151" i="2"/>
  <c r="CD42" i="2"/>
  <c r="CD9" i="2"/>
  <c r="CD38" i="2"/>
  <c r="CD89" i="2"/>
  <c r="CD46" i="2"/>
  <c r="CD122" i="2"/>
  <c r="CD140" i="2"/>
  <c r="CD12" i="2"/>
  <c r="CD198" i="2"/>
  <c r="CD104" i="2"/>
  <c r="CD133" i="2"/>
  <c r="CD145" i="2"/>
  <c r="CD167" i="2"/>
  <c r="CD43" i="2"/>
  <c r="CD165" i="2"/>
  <c r="CD13" i="2"/>
  <c r="CD58" i="2"/>
  <c r="CD189" i="2"/>
  <c r="CD37" i="2"/>
  <c r="CD97" i="2"/>
  <c r="CD91" i="2"/>
  <c r="CD66" i="2"/>
  <c r="CD23" i="2"/>
  <c r="CD164" i="2"/>
  <c r="CD72" i="2"/>
  <c r="CD118" i="2"/>
  <c r="CD41" i="2"/>
  <c r="CD14" i="2"/>
  <c r="CD75" i="2"/>
  <c r="CD49" i="2"/>
  <c r="CD99" i="2"/>
  <c r="CD125" i="2"/>
  <c r="CD50" i="2"/>
  <c r="CD6" i="2"/>
  <c r="CD150" i="2"/>
  <c r="CD128" i="2"/>
  <c r="CD26" i="2"/>
  <c r="CD94" i="2"/>
  <c r="CD87" i="2"/>
  <c r="CD63" i="2"/>
  <c r="CD115" i="2"/>
  <c r="CD172" i="2"/>
  <c r="CD68" i="2"/>
  <c r="CD51" i="2"/>
  <c r="CD53" i="2"/>
  <c r="CD144" i="2"/>
  <c r="CD112" i="2"/>
  <c r="CD34" i="2"/>
  <c r="CD141" i="2"/>
  <c r="CD7" i="2"/>
  <c r="CD83" i="2"/>
  <c r="GE11" i="2"/>
  <c r="GE122" i="2"/>
  <c r="GE48" i="2"/>
  <c r="GE90" i="2"/>
  <c r="GE145" i="2"/>
  <c r="GE41" i="2"/>
  <c r="GE16" i="2"/>
  <c r="GE162" i="2"/>
  <c r="GE168" i="2"/>
  <c r="GE18" i="2"/>
  <c r="GE189" i="2"/>
  <c r="GE32" i="2"/>
  <c r="GE82" i="2"/>
  <c r="GE167" i="2"/>
  <c r="GE12" i="2"/>
  <c r="GE158" i="2"/>
  <c r="GE111" i="2"/>
  <c r="GE166" i="2"/>
  <c r="GE69" i="2"/>
  <c r="GE78" i="2"/>
  <c r="GE105" i="2"/>
  <c r="GE188" i="2"/>
  <c r="GE172" i="2"/>
  <c r="GE200" i="2"/>
  <c r="GE163" i="2"/>
  <c r="GE81" i="2"/>
  <c r="GE176" i="2"/>
  <c r="GE6" i="2"/>
  <c r="GE171" i="2"/>
  <c r="GE106" i="2"/>
  <c r="GE4" i="2"/>
  <c r="GE190" i="2"/>
  <c r="GE75" i="2"/>
  <c r="GE170" i="2"/>
  <c r="GE13" i="2"/>
  <c r="GE132" i="2"/>
  <c r="GE89" i="2"/>
  <c r="GE165" i="2"/>
  <c r="GE104" i="2"/>
  <c r="GE98" i="2"/>
  <c r="GE24" i="2"/>
  <c r="GE94" i="2"/>
  <c r="GE169" i="2"/>
  <c r="GE40" i="2"/>
  <c r="GE126" i="2"/>
  <c r="GE36" i="2"/>
  <c r="GE44" i="2"/>
  <c r="GE83" i="2"/>
  <c r="GE14" i="2"/>
  <c r="GE187" i="2"/>
  <c r="GE154" i="2"/>
  <c r="GE161" i="2"/>
  <c r="GE173" i="2"/>
  <c r="GE159" i="2"/>
  <c r="GE156" i="2"/>
  <c r="GE201" i="2"/>
  <c r="GE20" i="2"/>
  <c r="GE177" i="2"/>
  <c r="GE129" i="2"/>
  <c r="GE77" i="2"/>
  <c r="GE113" i="2"/>
  <c r="GE102" i="2"/>
  <c r="GE88" i="2"/>
  <c r="GE93" i="2"/>
  <c r="GE3" i="2"/>
  <c r="C14" i="4" s="1"/>
  <c r="E14" i="4" s="1"/>
  <c r="F14" i="4" s="1"/>
  <c r="G14" i="4" s="1"/>
  <c r="L14" i="4" s="1"/>
  <c r="GE149" i="2"/>
  <c r="GE5" i="2"/>
  <c r="GE91" i="2"/>
  <c r="GE35" i="2"/>
  <c r="GE121" i="2"/>
  <c r="GE182" i="2"/>
  <c r="GE9" i="2"/>
  <c r="GE147" i="2"/>
  <c r="GE194" i="2"/>
  <c r="GE140" i="2"/>
  <c r="GE95" i="2"/>
  <c r="GE63" i="2"/>
  <c r="GE59" i="2"/>
  <c r="GE133" i="2"/>
  <c r="GE198" i="2"/>
  <c r="GE80" i="2"/>
  <c r="GE52" i="2"/>
  <c r="GE108" i="2"/>
  <c r="GE65" i="2"/>
  <c r="GE203" i="2"/>
  <c r="GE142" i="2"/>
  <c r="GE58" i="2"/>
  <c r="GE19" i="2"/>
  <c r="GE134" i="2"/>
  <c r="GE185" i="2"/>
  <c r="GE151" i="2"/>
  <c r="GE136" i="2"/>
  <c r="GE135" i="2"/>
  <c r="GE87" i="2"/>
  <c r="GE100" i="2"/>
  <c r="GE72" i="2"/>
  <c r="GE112" i="2"/>
  <c r="GE79" i="2"/>
  <c r="GE118" i="2"/>
  <c r="GE139" i="2"/>
  <c r="GE128" i="2"/>
  <c r="GE76" i="2"/>
  <c r="GE174" i="2"/>
  <c r="GE131" i="2"/>
  <c r="GE43" i="2"/>
  <c r="GE191" i="2"/>
  <c r="GE164" i="2"/>
  <c r="GE46" i="2"/>
  <c r="GE17" i="2"/>
  <c r="GE99" i="2"/>
  <c r="GE175" i="2"/>
  <c r="GE103" i="2"/>
  <c r="GE150" i="2"/>
  <c r="GE123" i="2"/>
  <c r="GE141" i="2"/>
  <c r="GE61" i="2"/>
  <c r="GE101" i="2"/>
  <c r="GE56" i="2"/>
  <c r="GE125" i="2"/>
  <c r="GE124" i="2"/>
  <c r="GE86" i="2"/>
  <c r="GE54" i="2"/>
  <c r="GE27" i="2"/>
  <c r="GE107" i="2"/>
  <c r="GE23" i="2"/>
  <c r="GE179" i="2"/>
  <c r="GE10" i="2"/>
  <c r="GE116" i="2"/>
  <c r="GE49" i="2"/>
  <c r="GE70" i="2"/>
  <c r="GE92" i="2"/>
  <c r="GE127" i="2"/>
  <c r="GE115" i="2"/>
  <c r="GE144" i="2"/>
  <c r="GE137" i="2"/>
  <c r="GE8" i="2"/>
  <c r="GE25" i="2"/>
  <c r="GE97" i="2"/>
  <c r="GE64" i="2"/>
  <c r="GE155" i="2"/>
  <c r="GE196" i="2"/>
  <c r="GE38" i="2"/>
  <c r="GE85" i="2"/>
  <c r="GE148" i="2"/>
  <c r="GE184" i="2"/>
  <c r="GE117" i="2"/>
  <c r="GE152" i="2"/>
  <c r="GE143" i="2"/>
  <c r="GE110" i="2"/>
  <c r="GE31" i="2"/>
  <c r="GE183" i="2"/>
  <c r="GE42" i="2"/>
  <c r="GE109" i="2"/>
  <c r="GE62" i="2"/>
  <c r="GE45" i="2"/>
  <c r="GE71" i="2"/>
  <c r="GE186" i="2"/>
  <c r="GE15" i="2"/>
  <c r="GE47" i="2"/>
  <c r="GE96" i="2"/>
  <c r="GE120" i="2"/>
  <c r="GE130" i="2"/>
  <c r="GE33" i="2"/>
  <c r="GE22" i="2"/>
  <c r="GE7" i="2"/>
  <c r="GE192" i="2"/>
  <c r="GE55" i="2"/>
  <c r="GE138" i="2"/>
  <c r="GE73" i="2"/>
  <c r="GE178" i="2"/>
  <c r="GE74" i="2"/>
  <c r="GE146" i="2"/>
  <c r="GE51" i="2"/>
  <c r="GE50" i="2"/>
  <c r="GE84" i="2"/>
  <c r="GE157" i="2"/>
  <c r="GE66" i="2"/>
  <c r="GE57" i="2"/>
  <c r="GE181" i="2"/>
  <c r="GE114" i="2"/>
  <c r="GE21" i="2"/>
  <c r="GE195" i="2"/>
  <c r="GE193" i="2"/>
  <c r="GE53" i="2"/>
  <c r="GE29" i="2"/>
  <c r="GE197" i="2"/>
  <c r="GE26" i="2"/>
  <c r="GE68" i="2"/>
  <c r="GE28" i="2"/>
  <c r="GE180" i="2"/>
  <c r="GE153" i="2"/>
  <c r="GE34" i="2"/>
  <c r="GE60" i="2"/>
  <c r="GE119" i="2"/>
  <c r="GE202" i="2"/>
  <c r="GE37" i="2"/>
  <c r="GE160" i="2"/>
  <c r="GE30" i="2"/>
  <c r="GE199" i="2"/>
  <c r="GE39" i="2"/>
  <c r="GE67" i="2"/>
  <c r="CY24" i="2"/>
  <c r="CY93" i="2"/>
  <c r="CY144" i="2"/>
  <c r="CY17" i="2"/>
  <c r="CY26" i="2"/>
  <c r="CY73" i="2"/>
  <c r="CY8" i="2"/>
  <c r="CY59" i="2"/>
  <c r="CY15" i="2"/>
  <c r="CY77" i="2"/>
  <c r="CY120" i="2"/>
  <c r="CY41" i="2"/>
  <c r="CY12" i="2"/>
  <c r="CY3" i="2"/>
  <c r="C10" i="4" s="1"/>
  <c r="E10" i="4" s="1"/>
  <c r="F10" i="4" s="1"/>
  <c r="G10" i="4" s="1"/>
  <c r="L10" i="4" s="1"/>
  <c r="CY134" i="2"/>
  <c r="CY135" i="2"/>
  <c r="CY32" i="2"/>
  <c r="CY79" i="2"/>
  <c r="CY113" i="2"/>
  <c r="CY137" i="2"/>
  <c r="CY58" i="2"/>
  <c r="CY107" i="2"/>
  <c r="CY10" i="2"/>
  <c r="CY112" i="2"/>
  <c r="CY42" i="2"/>
  <c r="CY197" i="2"/>
  <c r="CY129" i="2"/>
  <c r="CY194" i="2"/>
  <c r="CY201" i="2"/>
  <c r="CY83" i="2"/>
  <c r="CY149" i="2"/>
  <c r="CY131" i="2"/>
  <c r="CY146" i="2"/>
  <c r="CY86" i="2"/>
  <c r="CY163" i="2"/>
  <c r="CY48" i="2"/>
  <c r="CY50" i="2"/>
  <c r="CY100" i="2"/>
  <c r="CY123" i="2"/>
  <c r="CY151" i="2"/>
  <c r="CY36" i="2"/>
  <c r="CY133" i="2"/>
  <c r="CY168" i="2"/>
  <c r="CY57" i="2"/>
  <c r="CY188" i="2"/>
  <c r="CY69" i="2"/>
  <c r="CY67" i="2"/>
  <c r="CY128" i="2"/>
  <c r="CY130" i="2"/>
  <c r="CY136" i="2"/>
  <c r="CY37" i="2"/>
  <c r="CY9" i="2"/>
  <c r="CY74" i="2"/>
  <c r="CY95" i="2"/>
  <c r="CY84" i="2"/>
  <c r="CY139" i="2"/>
  <c r="CY181" i="2"/>
  <c r="CY68" i="2"/>
  <c r="CY46" i="2"/>
  <c r="CY187" i="2"/>
  <c r="CY27" i="2"/>
  <c r="CY99" i="2"/>
  <c r="CY109" i="2"/>
  <c r="CY81" i="2"/>
  <c r="CY102" i="2"/>
  <c r="CY154" i="2"/>
  <c r="CY40" i="2"/>
  <c r="CY200" i="2"/>
  <c r="CY60" i="2"/>
  <c r="CY115" i="2"/>
  <c r="CY28" i="2"/>
  <c r="CY6" i="2"/>
  <c r="CY169" i="2"/>
  <c r="CY35" i="2"/>
  <c r="CY30" i="2"/>
  <c r="CY89" i="2"/>
  <c r="CY185" i="2"/>
  <c r="CY116" i="2"/>
  <c r="CY76" i="2"/>
  <c r="CY106" i="2"/>
  <c r="CY126" i="2"/>
  <c r="CY180" i="2"/>
  <c r="CY56" i="2"/>
  <c r="CY142" i="2"/>
  <c r="CY152" i="2"/>
  <c r="CY119" i="2"/>
  <c r="CY182" i="2"/>
  <c r="CY71" i="2"/>
  <c r="CY150" i="2"/>
  <c r="CY193" i="2"/>
  <c r="CY19" i="2"/>
  <c r="CY166" i="2"/>
  <c r="CY170" i="2"/>
  <c r="CY157" i="2"/>
  <c r="CY44" i="2"/>
  <c r="CY132" i="2"/>
  <c r="CY63" i="2"/>
  <c r="CY11" i="2"/>
  <c r="CY87" i="2"/>
  <c r="CY174" i="2"/>
  <c r="CY198" i="2"/>
  <c r="CY49" i="2"/>
  <c r="CY31" i="2"/>
  <c r="CY43" i="2"/>
  <c r="CY117" i="2"/>
  <c r="CY173" i="2"/>
  <c r="CY183" i="2"/>
  <c r="CY38" i="2"/>
  <c r="CY33" i="2"/>
  <c r="CY75" i="2"/>
  <c r="CY98" i="2"/>
  <c r="CY160" i="2"/>
  <c r="CY114" i="2"/>
  <c r="CY13" i="2"/>
  <c r="CY82" i="2"/>
  <c r="CY4" i="2"/>
  <c r="CY55" i="2"/>
  <c r="CY203" i="2"/>
  <c r="CY202" i="2"/>
  <c r="CY94" i="2"/>
  <c r="CY51" i="2"/>
  <c r="CY156" i="2"/>
  <c r="CY111" i="2"/>
  <c r="CY21" i="2"/>
  <c r="CY16" i="2"/>
  <c r="CY85" i="2"/>
  <c r="CY80" i="2"/>
  <c r="CY145" i="2"/>
  <c r="CY108" i="2"/>
  <c r="CY70" i="2"/>
  <c r="CY103" i="2"/>
  <c r="CY158" i="2"/>
  <c r="CY7" i="2"/>
  <c r="CY47" i="2"/>
  <c r="CY92" i="2"/>
  <c r="CY171" i="2"/>
  <c r="CY153" i="2"/>
  <c r="CY22" i="2"/>
  <c r="CY190" i="2"/>
  <c r="CY155" i="2"/>
  <c r="CY96" i="2"/>
  <c r="CY62" i="2"/>
  <c r="CY122" i="2"/>
  <c r="CY184" i="2"/>
  <c r="CY54" i="2"/>
  <c r="CY52" i="2"/>
  <c r="CY125" i="2"/>
  <c r="CY90" i="2"/>
  <c r="CY23" i="2"/>
  <c r="CY34" i="2"/>
  <c r="CY191" i="2"/>
  <c r="CY162" i="2"/>
  <c r="CY176" i="2"/>
  <c r="CY66" i="2"/>
  <c r="CY186" i="2"/>
  <c r="CY45" i="2"/>
  <c r="CY29" i="2"/>
  <c r="CY118" i="2"/>
  <c r="CY165" i="2"/>
  <c r="CY172" i="2"/>
  <c r="CY196" i="2"/>
  <c r="CY39" i="2"/>
  <c r="CY104" i="2"/>
  <c r="CY61" i="2"/>
  <c r="CY18" i="2"/>
  <c r="CY65" i="2"/>
  <c r="CY91" i="2"/>
  <c r="CY161" i="2"/>
  <c r="CY105" i="2"/>
  <c r="CY192" i="2"/>
  <c r="CY5" i="2"/>
  <c r="CY140" i="2"/>
  <c r="CY199" i="2"/>
  <c r="CY53" i="2"/>
  <c r="CY25" i="2"/>
  <c r="CY78" i="2"/>
  <c r="CY143" i="2"/>
  <c r="CY177" i="2"/>
  <c r="CY14" i="2"/>
  <c r="CY121" i="2"/>
  <c r="CY124" i="2"/>
  <c r="CY97" i="2"/>
  <c r="CY178" i="2"/>
  <c r="CY88" i="2"/>
  <c r="CY148" i="2"/>
  <c r="CY179" i="2"/>
  <c r="CY64" i="2"/>
  <c r="CY20" i="2"/>
  <c r="CY110" i="2"/>
  <c r="CY167" i="2"/>
  <c r="CY189" i="2"/>
  <c r="CY101" i="2"/>
  <c r="CY195" i="2"/>
  <c r="CY127" i="2"/>
  <c r="CY138" i="2"/>
  <c r="CY72" i="2"/>
  <c r="CY141" i="2"/>
  <c r="CY175" i="2"/>
  <c r="CY159" i="2"/>
  <c r="CY164" i="2"/>
  <c r="CY147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<sst xmlns="http://schemas.openxmlformats.org/spreadsheetml/2006/main" count="1178" uniqueCount="324">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</sst>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81046816"/>
        <c:axId val="-1681046272"/>
      </c:scatterChart>
      <c:valAx>
        <c:axId val="-1681046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1046272"/>
        <c:crosses val="autoZero"/>
        <c:crossBetween val="midCat"/>
      </c:valAx>
      <c:valAx>
        <c:axId val="-168104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1046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4408752"/>
        <c:axId val="-1774408208"/>
      </c:scatterChart>
      <c:valAx>
        <c:axId val="-17744087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4408208"/>
        <c:crosses val="autoZero"/>
        <c:crossBetween val="midCat"/>
      </c:valAx>
      <c:valAx>
        <c:axId val="-177440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4408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3.3043568983948219</c:v>
                </c:pt>
                <c:pt idx="2">
                  <c:v>4.1131513120146055</c:v>
                </c:pt>
                <c:pt idx="3">
                  <c:v>5.1206664109263427</c:v>
                </c:pt>
                <c:pt idx="4">
                  <c:v>6.375902542534404</c:v>
                </c:pt>
                <c:pt idx="5">
                  <c:v>7.9399827670654304</c:v>
                </c:pt>
                <c:pt idx="6">
                  <c:v>9.8891612665776254</c:v>
                </c:pt>
                <c:pt idx="7">
                  <c:v>12.318580445108942</c:v>
                </c:pt>
                <c:pt idx="8">
                  <c:v>15.346963526425172</c:v>
                </c:pt>
                <c:pt idx="9">
                  <c:v>19.122476175830567</c:v>
                </c:pt>
                <c:pt idx="10">
                  <c:v>23.830049102016243</c:v>
                </c:pt>
                <c:pt idx="11">
                  <c:v>29.700526674358532</c:v>
                </c:pt>
                <c:pt idx="12">
                  <c:v>37.022098000505643</c:v>
                </c:pt>
                <c:pt idx="13">
                  <c:v>46.154581254564704</c:v>
                </c:pt>
                <c:pt idx="14">
                  <c:v>57.547275093132022</c:v>
                </c:pt>
                <c:pt idx="15">
                  <c:v>71.761269961795847</c:v>
                </c:pt>
                <c:pt idx="16">
                  <c:v>85.095907314816401</c:v>
                </c:pt>
                <c:pt idx="17">
                  <c:v>98.377811836935564</c:v>
                </c:pt>
                <c:pt idx="18">
                  <c:v>111.61512570313762</c:v>
                </c:pt>
                <c:pt idx="19">
                  <c:v>124.81389250757191</c:v>
                </c:pt>
                <c:pt idx="20">
                  <c:v>137.97876857105169</c:v>
                </c:pt>
                <c:pt idx="21">
                  <c:v>129.49841164498483</c:v>
                </c:pt>
                <c:pt idx="22">
                  <c:v>144.40373988526488</c:v>
                </c:pt>
                <c:pt idx="23">
                  <c:v>159.27223970270444</c:v>
                </c:pt>
                <c:pt idx="24">
                  <c:v>174.10783595481448</c:v>
                </c:pt>
                <c:pt idx="25">
                  <c:v>188.91372878959294</c:v>
                </c:pt>
                <c:pt idx="26">
                  <c:v>204.27161874226246</c:v>
                </c:pt>
                <c:pt idx="27">
                  <c:v>219.60280249807681</c:v>
                </c:pt>
                <c:pt idx="28">
                  <c:v>234.90940746495096</c:v>
                </c:pt>
                <c:pt idx="29">
                  <c:v>250.19326097093685</c:v>
                </c:pt>
                <c:pt idx="30">
                  <c:v>265.45594873287126</c:v>
                </c:pt>
                <c:pt idx="31">
                  <c:v>240.39105366248293</c:v>
                </c:pt>
                <c:pt idx="32">
                  <c:v>255.66714821510956</c:v>
                </c:pt>
                <c:pt idx="33">
                  <c:v>270.92259547869656</c:v>
                </c:pt>
                <c:pt idx="34">
                  <c:v>286.15872187513997</c:v>
                </c:pt>
                <c:pt idx="35">
                  <c:v>301.37670100579004</c:v>
                </c:pt>
                <c:pt idx="36">
                  <c:v>316.00425931230865</c:v>
                </c:pt>
                <c:pt idx="37">
                  <c:v>330.61681894119141</c:v>
                </c:pt>
                <c:pt idx="38">
                  <c:v>345.21513616565261</c:v>
                </c:pt>
                <c:pt idx="39">
                  <c:v>359.79989807187752</c:v>
                </c:pt>
                <c:pt idx="40">
                  <c:v>374.3717314954622</c:v>
                </c:pt>
                <c:pt idx="41">
                  <c:v>338.34706882980078</c:v>
                </c:pt>
                <c:pt idx="42">
                  <c:v>352.36618279610326</c:v>
                </c:pt>
                <c:pt idx="43">
                  <c:v>366.37307423131756</c:v>
                </c:pt>
                <c:pt idx="44">
                  <c:v>380.3682762367792</c:v>
                </c:pt>
                <c:pt idx="45">
                  <c:v>394.35227948231795</c:v>
                </c:pt>
                <c:pt idx="46">
                  <c:v>407.75540484100776</c:v>
                </c:pt>
                <c:pt idx="47">
                  <c:v>421.14901471610159</c:v>
                </c:pt>
                <c:pt idx="48">
                  <c:v>434.53345434246239</c:v>
                </c:pt>
                <c:pt idx="49">
                  <c:v>447.90904595354408</c:v>
                </c:pt>
                <c:pt idx="50">
                  <c:v>461.27609096941552</c:v>
                </c:pt>
                <c:pt idx="51">
                  <c:v>419.72460434236359</c:v>
                </c:pt>
                <c:pt idx="52">
                  <c:v>432.25588530441445</c:v>
                </c:pt>
                <c:pt idx="53">
                  <c:v>444.77936519493966</c:v>
                </c:pt>
                <c:pt idx="54">
                  <c:v>457.2952946141495</c:v>
                </c:pt>
                <c:pt idx="55">
                  <c:v>469.80390932615688</c:v>
                </c:pt>
                <c:pt idx="56">
                  <c:v>481.45327595412624</c:v>
                </c:pt>
                <c:pt idx="57">
                  <c:v>493.09665437546749</c:v>
                </c:pt>
                <c:pt idx="58">
                  <c:v>504.73420591215864</c:v>
                </c:pt>
                <c:pt idx="59">
                  <c:v>516.3660838407244</c:v>
                </c:pt>
                <c:pt idx="60">
                  <c:v>527.99243396951181</c:v>
                </c:pt>
                <c:pt idx="61">
                  <c:v>485.14571936914029</c:v>
                </c:pt>
                <c:pt idx="62">
                  <c:v>496.21948974271317</c:v>
                </c:pt>
                <c:pt idx="63">
                  <c:v>507.28802580021755</c:v>
                </c:pt>
                <c:pt idx="64">
                  <c:v>518.35145784639667</c:v>
                </c:pt>
                <c:pt idx="65">
                  <c:v>529.40991017019905</c:v>
                </c:pt>
                <c:pt idx="66">
                  <c:v>540.18013580779473</c:v>
                </c:pt>
                <c:pt idx="67">
                  <c:v>550.94585148491763</c:v>
                </c:pt>
                <c:pt idx="68">
                  <c:v>561.70715774350776</c:v>
                </c:pt>
                <c:pt idx="69">
                  <c:v>572.4641509593182</c:v>
                </c:pt>
                <c:pt idx="70">
                  <c:v>583.21692359125188</c:v>
                </c:pt>
                <c:pt idx="71">
                  <c:v>542.16362979037569</c:v>
                </c:pt>
                <c:pt idx="72">
                  <c:v>552.07882650510749</c:v>
                </c:pt>
                <c:pt idx="73">
                  <c:v>561.99029135597004</c:v>
                </c:pt>
                <c:pt idx="74">
                  <c:v>571.89809943666535</c:v>
                </c:pt>
                <c:pt idx="75">
                  <c:v>581.80232302690615</c:v>
                </c:pt>
                <c:pt idx="76">
                  <c:v>591.42020251323834</c:v>
                </c:pt>
                <c:pt idx="77">
                  <c:v>601.03482666056914</c:v>
                </c:pt>
                <c:pt idx="78">
                  <c:v>610.64625488100796</c:v>
                </c:pt>
                <c:pt idx="79">
                  <c:v>620.25454456407806</c:v>
                </c:pt>
                <c:pt idx="80">
                  <c:v>629.85975117650617</c:v>
                </c:pt>
                <c:pt idx="81">
                  <c:v>589.15746715790237</c:v>
                </c:pt>
                <c:pt idx="82">
                  <c:v>597.92456551950988</c:v>
                </c:pt>
                <c:pt idx="83">
                  <c:v>606.68899129254567</c:v>
                </c:pt>
                <c:pt idx="84">
                  <c:v>615.45078852910217</c:v>
                </c:pt>
                <c:pt idx="85">
                  <c:v>624.20999992474549</c:v>
                </c:pt>
                <c:pt idx="86">
                  <c:v>632.68423305275508</c:v>
                </c:pt>
                <c:pt idx="87">
                  <c:v>641.15611967114364</c:v>
                </c:pt>
                <c:pt idx="88">
                  <c:v>649.62569515483597</c:v>
                </c:pt>
                <c:pt idx="89">
                  <c:v>658.09299388120962</c:v>
                </c:pt>
                <c:pt idx="90">
                  <c:v>666.5580492709729</c:v>
                </c:pt>
                <c:pt idx="91">
                  <c:v>627.59997706387446</c:v>
                </c:pt>
                <c:pt idx="92">
                  <c:v>635.22604379249128</c:v>
                </c:pt>
                <c:pt idx="93">
                  <c:v>642.8502185444828</c:v>
                </c:pt>
                <c:pt idx="94">
                  <c:v>650.47252692274378</c:v>
                </c:pt>
                <c:pt idx="95">
                  <c:v>658.09299388120962</c:v>
                </c:pt>
                <c:pt idx="96">
                  <c:v>665.71164374879129</c:v>
                </c:pt>
                <c:pt idx="97">
                  <c:v>673.32850025215942</c:v>
                </c:pt>
                <c:pt idx="98">
                  <c:v>680.943586537442</c:v>
                </c:pt>
                <c:pt idx="99">
                  <c:v>688.55692519090269</c:v>
                </c:pt>
                <c:pt idx="100">
                  <c:v>696.16853825865599</c:v>
                </c:pt>
                <c:pt idx="101">
                  <c:v>658.09299388120962</c:v>
                </c:pt>
                <c:pt idx="102">
                  <c:v>665.14736110281672</c:v>
                </c:pt>
                <c:pt idx="103">
                  <c:v>672.20018932008873</c:v>
                </c:pt>
                <c:pt idx="104">
                  <c:v>679.25149695725497</c:v>
                </c:pt>
                <c:pt idx="105">
                  <c:v>686.30130202483861</c:v>
                </c:pt>
                <c:pt idx="106">
                  <c:v>693.34962213319204</c:v>
                </c:pt>
                <c:pt idx="107">
                  <c:v>700.39647450545351</c:v>
                </c:pt>
                <c:pt idx="108">
                  <c:v>707.44187598995484</c:v>
                </c:pt>
                <c:pt idx="109">
                  <c:v>714.48584307211024</c:v>
                </c:pt>
                <c:pt idx="110">
                  <c:v>721.52839188581265</c:v>
                </c:pt>
                <c:pt idx="111">
                  <c:v>685.59638862873953</c:v>
                </c:pt>
                <c:pt idx="112">
                  <c:v>691.94007607607489</c:v>
                </c:pt>
                <c:pt idx="113">
                  <c:v>698.28257189646683</c:v>
                </c:pt>
                <c:pt idx="114">
                  <c:v>704.62388843962435</c:v>
                </c:pt>
                <c:pt idx="115">
                  <c:v>710.96403781484867</c:v>
                </c:pt>
                <c:pt idx="116">
                  <c:v>717.30303189786616</c:v>
                </c:pt>
                <c:pt idx="117">
                  <c:v>723.64088233740028</c:v>
                </c:pt>
                <c:pt idx="118">
                  <c:v>729.97760056150412</c:v>
                </c:pt>
                <c:pt idx="119">
                  <c:v>736.31319778366208</c:v>
                </c:pt>
                <c:pt idx="120">
                  <c:v>742.64768500866955</c:v>
                </c:pt>
                <c:pt idx="121">
                  <c:v>708.99167125142458</c:v>
                </c:pt>
                <c:pt idx="122">
                  <c:v>714.76757214919553</c:v>
                </c:pt>
                <c:pt idx="123">
                  <c:v>720.54251983862753</c:v>
                </c:pt>
                <c:pt idx="124">
                  <c:v>726.31652303665248</c:v>
                </c:pt>
                <c:pt idx="125">
                  <c:v>732.08959031030997</c:v>
                </c:pt>
                <c:pt idx="126">
                  <c:v>737.86173008051219</c:v>
                </c:pt>
                <c:pt idx="127">
                  <c:v>743.63295062568523</c:v>
                </c:pt>
                <c:pt idx="128">
                  <c:v>749.40326008529053</c:v>
                </c:pt>
                <c:pt idx="129">
                  <c:v>755.17266646323208</c:v>
                </c:pt>
                <c:pt idx="130">
                  <c:v>760.94117763115719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81044640"/>
        <c:axId val="-1681045728"/>
      </c:scatterChart>
      <c:valAx>
        <c:axId val="-16810446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1045728"/>
        <c:crosses val="autoZero"/>
        <c:crossBetween val="midCat"/>
      </c:valAx>
      <c:valAx>
        <c:axId val="-168104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1044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2.8187126632448081</c:v>
                </c:pt>
                <c:pt idx="2">
                  <c:v>3.5573599444099848</c:v>
                </c:pt>
                <c:pt idx="3">
                  <c:v>4.4903248835513372</c:v>
                </c:pt>
                <c:pt idx="4">
                  <c:v>5.6689139821764911</c:v>
                </c:pt>
                <c:pt idx="5">
                  <c:v>7.1580265500992999</c:v>
                </c:pt>
                <c:pt idx="6">
                  <c:v>9.0397672432815401</c:v>
                </c:pt>
                <c:pt idx="7">
                  <c:v>11.418021481537131</c:v>
                </c:pt>
                <c:pt idx="8">
                  <c:v>14.424251070238251</c:v>
                </c:pt>
                <c:pt idx="9">
                  <c:v>18.224836284184136</c:v>
                </c:pt>
                <c:pt idx="10">
                  <c:v>23.030378112650464</c:v>
                </c:pt>
                <c:pt idx="11">
                  <c:v>29.10748529064772</c:v>
                </c:pt>
                <c:pt idx="12">
                  <c:v>36.793711472422189</c:v>
                </c:pt>
                <c:pt idx="13">
                  <c:v>46.516486462668638</c:v>
                </c:pt>
                <c:pt idx="14">
                  <c:v>58.817111995756541</c:v>
                </c:pt>
                <c:pt idx="15">
                  <c:v>74.381180078273346</c:v>
                </c:pt>
                <c:pt idx="16">
                  <c:v>96.627182609604759</c:v>
                </c:pt>
                <c:pt idx="17">
                  <c:v>118.74501570942562</c:v>
                </c:pt>
                <c:pt idx="18">
                  <c:v>140.76205332391956</c:v>
                </c:pt>
                <c:pt idx="19">
                  <c:v>162.69632820049665</c:v>
                </c:pt>
                <c:pt idx="20">
                  <c:v>184.56058608215372</c:v>
                </c:pt>
                <c:pt idx="21">
                  <c:v>126.42510605145075</c:v>
                </c:pt>
                <c:pt idx="22">
                  <c:v>150.23693675874819</c:v>
                </c:pt>
                <c:pt idx="23">
                  <c:v>173.95863427802908</c:v>
                </c:pt>
                <c:pt idx="24">
                  <c:v>197.6042373039995</c:v>
                </c:pt>
                <c:pt idx="25">
                  <c:v>221.18413826147119</c:v>
                </c:pt>
                <c:pt idx="26">
                  <c:v>243.76646443655656</c:v>
                </c:pt>
                <c:pt idx="27">
                  <c:v>266.30123190496232</c:v>
                </c:pt>
                <c:pt idx="28">
                  <c:v>288.79302979328958</c:v>
                </c:pt>
                <c:pt idx="29">
                  <c:v>311.24567377041325</c:v>
                </c:pt>
                <c:pt idx="30">
                  <c:v>333.66238399485115</c:v>
                </c:pt>
                <c:pt idx="31">
                  <c:v>248.99106942038816</c:v>
                </c:pt>
                <c:pt idx="32">
                  <c:v>269.22750746405978</c:v>
                </c:pt>
                <c:pt idx="33">
                  <c:v>289.42971056436858</c:v>
                </c:pt>
                <c:pt idx="34">
                  <c:v>309.60040363725381</c:v>
                </c:pt>
                <c:pt idx="35">
                  <c:v>329.74192753151567</c:v>
                </c:pt>
                <c:pt idx="36">
                  <c:v>347.35742407369844</c:v>
                </c:pt>
                <c:pt idx="37">
                  <c:v>364.95331741434489</c:v>
                </c:pt>
                <c:pt idx="38">
                  <c:v>382.53068541645354</c:v>
                </c:pt>
                <c:pt idx="39">
                  <c:v>400.09049882839162</c:v>
                </c:pt>
                <c:pt idx="40">
                  <c:v>417.63363625997863</c:v>
                </c:pt>
                <c:pt idx="41">
                  <c:v>328.62160871118198</c:v>
                </c:pt>
                <c:pt idx="42">
                  <c:v>343.92546889640727</c:v>
                </c:pt>
                <c:pt idx="43">
                  <c:v>359.21437055941539</c:v>
                </c:pt>
                <c:pt idx="44">
                  <c:v>374.48903994418225</c:v>
                </c:pt>
                <c:pt idx="45">
                  <c:v>389.75013922020395</c:v>
                </c:pt>
                <c:pt idx="46">
                  <c:v>402.99070448907742</c:v>
                </c:pt>
                <c:pt idx="47">
                  <c:v>416.22186287393123</c:v>
                </c:pt>
                <c:pt idx="48">
                  <c:v>429.44395553028397</c:v>
                </c:pt>
                <c:pt idx="49">
                  <c:v>442.65730089301456</c:v>
                </c:pt>
                <c:pt idx="50">
                  <c:v>455.86219683685039</c:v>
                </c:pt>
                <c:pt idx="51">
                  <c:v>396.11127024318756</c:v>
                </c:pt>
                <c:pt idx="52">
                  <c:v>407.48884938461543</c:v>
                </c:pt>
                <c:pt idx="53">
                  <c:v>418.85956651657403</c:v>
                </c:pt>
                <c:pt idx="54">
                  <c:v>430.22363420713367</c:v>
                </c:pt>
                <c:pt idx="55">
                  <c:v>441.58125287689433</c:v>
                </c:pt>
                <c:pt idx="56">
                  <c:v>451.1524130337736</c:v>
                </c:pt>
                <c:pt idx="57">
                  <c:v>460.71923116919589</c:v>
                </c:pt>
                <c:pt idx="58">
                  <c:v>470.28181018094989</c:v>
                </c:pt>
                <c:pt idx="59">
                  <c:v>479.84024843988044</c:v>
                </c:pt>
                <c:pt idx="60">
                  <c:v>489.39464007720022</c:v>
                </c:pt>
                <c:pt idx="61">
                  <c:v>450.74442967684257</c:v>
                </c:pt>
                <c:pt idx="62">
                  <c:v>458.79137961100622</c:v>
                </c:pt>
                <c:pt idx="63">
                  <c:v>466.83531635780349</c:v>
                </c:pt>
                <c:pt idx="64">
                  <c:v>474.87629918090329</c:v>
                </c:pt>
                <c:pt idx="65">
                  <c:v>482.91438517244984</c:v>
                </c:pt>
                <c:pt idx="66">
                  <c:v>489.87595747189181</c:v>
                </c:pt>
                <c:pt idx="67">
                  <c:v>496.83543141169798</c:v>
                </c:pt>
                <c:pt idx="68">
                  <c:v>503.79284054429132</c:v>
                </c:pt>
                <c:pt idx="69">
                  <c:v>510.7482174193658</c:v>
                </c:pt>
                <c:pt idx="70">
                  <c:v>517.70159362740139</c:v>
                </c:pt>
                <c:pt idx="71">
                  <c:v>485.32155123080855</c:v>
                </c:pt>
                <c:pt idx="72">
                  <c:v>491.61602134985714</c:v>
                </c:pt>
                <c:pt idx="73">
                  <c:v>497.90878263760169</c:v>
                </c:pt>
                <c:pt idx="74">
                  <c:v>504.19985974903403</c:v>
                </c:pt>
                <c:pt idx="75">
                  <c:v>510.4892766733779</c:v>
                </c:pt>
                <c:pt idx="76">
                  <c:v>516.00041881937125</c:v>
                </c:pt>
                <c:pt idx="77">
                  <c:v>521.51031888687191</c:v>
                </c:pt>
                <c:pt idx="78">
                  <c:v>527.01899185737477</c:v>
                </c:pt>
                <c:pt idx="79">
                  <c:v>532.52645237346917</c:v>
                </c:pt>
                <c:pt idx="80">
                  <c:v>538.03271475000724</c:v>
                </c:pt>
                <c:pt idx="81">
                  <c:v>7.384408744560063E-12</c:v>
                </c:pt>
                <c:pt idx="82">
                  <c:v>7.384408744560063E-12</c:v>
                </c:pt>
                <c:pt idx="83">
                  <c:v>7.384408744560063E-12</c:v>
                </c:pt>
                <c:pt idx="84">
                  <c:v>7.384408744560063E-12</c:v>
                </c:pt>
                <c:pt idx="85">
                  <c:v>7.384408744560063E-12</c:v>
                </c:pt>
                <c:pt idx="86">
                  <c:v>7.384408744560063E-12</c:v>
                </c:pt>
                <c:pt idx="87">
                  <c:v>7.384408744560063E-12</c:v>
                </c:pt>
                <c:pt idx="88">
                  <c:v>7.384408744560063E-12</c:v>
                </c:pt>
                <c:pt idx="89">
                  <c:v>7.384408744560063E-12</c:v>
                </c:pt>
                <c:pt idx="90">
                  <c:v>7.384408744560063E-12</c:v>
                </c:pt>
                <c:pt idx="91">
                  <c:v>7.384408744560063E-12</c:v>
                </c:pt>
                <c:pt idx="92">
                  <c:v>7.384408744560063E-12</c:v>
                </c:pt>
                <c:pt idx="93">
                  <c:v>7.384408744560063E-12</c:v>
                </c:pt>
                <c:pt idx="94">
                  <c:v>7.384408744560063E-12</c:v>
                </c:pt>
                <c:pt idx="95">
                  <c:v>7.384408744560063E-12</c:v>
                </c:pt>
                <c:pt idx="96">
                  <c:v>7.384408744560063E-12</c:v>
                </c:pt>
                <c:pt idx="97">
                  <c:v>7.384408744560063E-12</c:v>
                </c:pt>
                <c:pt idx="98">
                  <c:v>7.384408744560063E-12</c:v>
                </c:pt>
                <c:pt idx="99">
                  <c:v>7.384408744560063E-12</c:v>
                </c:pt>
                <c:pt idx="100">
                  <c:v>7.384408744560063E-12</c:v>
                </c:pt>
                <c:pt idx="101">
                  <c:v>7.384408744560063E-12</c:v>
                </c:pt>
                <c:pt idx="102">
                  <c:v>7.384408744560063E-12</c:v>
                </c:pt>
                <c:pt idx="103">
                  <c:v>7.384408744560063E-12</c:v>
                </c:pt>
                <c:pt idx="104">
                  <c:v>7.384408744560063E-12</c:v>
                </c:pt>
                <c:pt idx="105">
                  <c:v>7.384408744560063E-12</c:v>
                </c:pt>
                <c:pt idx="106">
                  <c:v>7.384408744560063E-12</c:v>
                </c:pt>
                <c:pt idx="107">
                  <c:v>7.384408744560063E-12</c:v>
                </c:pt>
                <c:pt idx="108">
                  <c:v>7.384408744560063E-12</c:v>
                </c:pt>
                <c:pt idx="109">
                  <c:v>7.384408744560063E-12</c:v>
                </c:pt>
                <c:pt idx="110">
                  <c:v>7.384408744560063E-12</c:v>
                </c:pt>
                <c:pt idx="111">
                  <c:v>7.384408744560063E-12</c:v>
                </c:pt>
                <c:pt idx="112">
                  <c:v>7.384408744560063E-12</c:v>
                </c:pt>
                <c:pt idx="113">
                  <c:v>7.384408744560063E-12</c:v>
                </c:pt>
                <c:pt idx="114">
                  <c:v>7.384408744560063E-12</c:v>
                </c:pt>
                <c:pt idx="115">
                  <c:v>7.384408744560063E-12</c:v>
                </c:pt>
                <c:pt idx="116">
                  <c:v>7.384408744560063E-12</c:v>
                </c:pt>
                <c:pt idx="117">
                  <c:v>7.384408744560063E-12</c:v>
                </c:pt>
                <c:pt idx="118">
                  <c:v>7.384408744560063E-12</c:v>
                </c:pt>
                <c:pt idx="119">
                  <c:v>7.384408744560063E-12</c:v>
                </c:pt>
                <c:pt idx="120">
                  <c:v>7.384408744560063E-12</c:v>
                </c:pt>
                <c:pt idx="121">
                  <c:v>7.384408744560063E-12</c:v>
                </c:pt>
                <c:pt idx="122">
                  <c:v>7.384408744560063E-12</c:v>
                </c:pt>
                <c:pt idx="123">
                  <c:v>7.384408744560063E-12</c:v>
                </c:pt>
                <c:pt idx="124">
                  <c:v>7.384408744560063E-12</c:v>
                </c:pt>
                <c:pt idx="125">
                  <c:v>7.384408744560063E-12</c:v>
                </c:pt>
                <c:pt idx="126">
                  <c:v>7.384408744560063E-12</c:v>
                </c:pt>
                <c:pt idx="127">
                  <c:v>7.384408744560063E-12</c:v>
                </c:pt>
                <c:pt idx="128">
                  <c:v>7.384408744560063E-12</c:v>
                </c:pt>
                <c:pt idx="129">
                  <c:v>7.384408744560063E-12</c:v>
                </c:pt>
                <c:pt idx="130">
                  <c:v>7.384408744560063E-12</c:v>
                </c:pt>
                <c:pt idx="131">
                  <c:v>7.384408744560063E-12</c:v>
                </c:pt>
                <c:pt idx="132">
                  <c:v>7.384408744560063E-12</c:v>
                </c:pt>
                <c:pt idx="133">
                  <c:v>7.384408744560063E-12</c:v>
                </c:pt>
                <c:pt idx="134">
                  <c:v>7.384408744560063E-12</c:v>
                </c:pt>
                <c:pt idx="135">
                  <c:v>7.384408744560063E-12</c:v>
                </c:pt>
                <c:pt idx="136">
                  <c:v>7.384408744560063E-12</c:v>
                </c:pt>
                <c:pt idx="137">
                  <c:v>7.384408744560063E-12</c:v>
                </c:pt>
                <c:pt idx="138">
                  <c:v>7.384408744560063E-12</c:v>
                </c:pt>
                <c:pt idx="139">
                  <c:v>7.384408744560063E-12</c:v>
                </c:pt>
                <c:pt idx="140">
                  <c:v>7.384408744560063E-12</c:v>
                </c:pt>
                <c:pt idx="141">
                  <c:v>7.384408744560063E-12</c:v>
                </c:pt>
                <c:pt idx="142">
                  <c:v>7.384408744560063E-12</c:v>
                </c:pt>
                <c:pt idx="143">
                  <c:v>7.384408744560063E-12</c:v>
                </c:pt>
                <c:pt idx="144">
                  <c:v>7.384408744560063E-12</c:v>
                </c:pt>
                <c:pt idx="145">
                  <c:v>7.384408744560063E-12</c:v>
                </c:pt>
                <c:pt idx="146">
                  <c:v>7.384408744560063E-12</c:v>
                </c:pt>
                <c:pt idx="147">
                  <c:v>7.384408744560063E-12</c:v>
                </c:pt>
                <c:pt idx="148">
                  <c:v>7.384408744560063E-12</c:v>
                </c:pt>
                <c:pt idx="149">
                  <c:v>7.384408744560063E-12</c:v>
                </c:pt>
                <c:pt idx="150">
                  <c:v>7.384408744560063E-12</c:v>
                </c:pt>
                <c:pt idx="151">
                  <c:v>7.384408744560063E-12</c:v>
                </c:pt>
                <c:pt idx="152">
                  <c:v>7.384408744560063E-12</c:v>
                </c:pt>
                <c:pt idx="153">
                  <c:v>7.384408744560063E-12</c:v>
                </c:pt>
                <c:pt idx="154">
                  <c:v>7.384408744560063E-12</c:v>
                </c:pt>
                <c:pt idx="155">
                  <c:v>7.384408744560063E-12</c:v>
                </c:pt>
                <c:pt idx="156">
                  <c:v>7.384408744560063E-12</c:v>
                </c:pt>
                <c:pt idx="157">
                  <c:v>7.384408744560063E-12</c:v>
                </c:pt>
                <c:pt idx="158">
                  <c:v>7.384408744560063E-12</c:v>
                </c:pt>
                <c:pt idx="159">
                  <c:v>7.384408744560063E-12</c:v>
                </c:pt>
                <c:pt idx="160">
                  <c:v>7.384408744560063E-12</c:v>
                </c:pt>
                <c:pt idx="161">
                  <c:v>7.384408744560063E-12</c:v>
                </c:pt>
                <c:pt idx="162">
                  <c:v>7.384408744560063E-12</c:v>
                </c:pt>
                <c:pt idx="163">
                  <c:v>7.384408744560063E-12</c:v>
                </c:pt>
                <c:pt idx="164">
                  <c:v>7.384408744560063E-12</c:v>
                </c:pt>
                <c:pt idx="165">
                  <c:v>7.384408744560063E-12</c:v>
                </c:pt>
                <c:pt idx="166">
                  <c:v>7.384408744560063E-12</c:v>
                </c:pt>
                <c:pt idx="167">
                  <c:v>7.384408744560063E-12</c:v>
                </c:pt>
                <c:pt idx="168">
                  <c:v>7.384408744560063E-12</c:v>
                </c:pt>
                <c:pt idx="169">
                  <c:v>7.384408744560063E-12</c:v>
                </c:pt>
                <c:pt idx="170">
                  <c:v>7.384408744560063E-12</c:v>
                </c:pt>
                <c:pt idx="171">
                  <c:v>7.384408744560063E-12</c:v>
                </c:pt>
                <c:pt idx="172">
                  <c:v>7.384408744560063E-12</c:v>
                </c:pt>
                <c:pt idx="173">
                  <c:v>7.384408744560063E-12</c:v>
                </c:pt>
                <c:pt idx="174">
                  <c:v>7.384408744560063E-12</c:v>
                </c:pt>
                <c:pt idx="175">
                  <c:v>7.384408744560063E-12</c:v>
                </c:pt>
                <c:pt idx="176">
                  <c:v>7.384408744560063E-12</c:v>
                </c:pt>
                <c:pt idx="177">
                  <c:v>7.384408744560063E-12</c:v>
                </c:pt>
                <c:pt idx="178">
                  <c:v>7.384408744560063E-12</c:v>
                </c:pt>
                <c:pt idx="179">
                  <c:v>7.384408744560063E-12</c:v>
                </c:pt>
                <c:pt idx="180">
                  <c:v>7.384408744560063E-12</c:v>
                </c:pt>
                <c:pt idx="181">
                  <c:v>7.384408744560063E-12</c:v>
                </c:pt>
                <c:pt idx="182">
                  <c:v>7.384408744560063E-12</c:v>
                </c:pt>
                <c:pt idx="183">
                  <c:v>7.384408744560063E-12</c:v>
                </c:pt>
                <c:pt idx="184">
                  <c:v>7.384408744560063E-12</c:v>
                </c:pt>
                <c:pt idx="185">
                  <c:v>7.384408744560063E-12</c:v>
                </c:pt>
                <c:pt idx="186">
                  <c:v>7.384408744560063E-12</c:v>
                </c:pt>
                <c:pt idx="187">
                  <c:v>7.384408744560063E-12</c:v>
                </c:pt>
                <c:pt idx="188">
                  <c:v>7.384408744560063E-12</c:v>
                </c:pt>
                <c:pt idx="189">
                  <c:v>7.384408744560063E-12</c:v>
                </c:pt>
                <c:pt idx="190">
                  <c:v>7.384408744560063E-12</c:v>
                </c:pt>
                <c:pt idx="191">
                  <c:v>7.384408744560063E-12</c:v>
                </c:pt>
                <c:pt idx="192">
                  <c:v>7.384408744560063E-12</c:v>
                </c:pt>
                <c:pt idx="193">
                  <c:v>7.384408744560063E-12</c:v>
                </c:pt>
                <c:pt idx="194">
                  <c:v>7.384408744560063E-12</c:v>
                </c:pt>
                <c:pt idx="195">
                  <c:v>7.384408744560063E-12</c:v>
                </c:pt>
                <c:pt idx="196">
                  <c:v>7.384408744560063E-12</c:v>
                </c:pt>
                <c:pt idx="197">
                  <c:v>7.384408744560063E-12</c:v>
                </c:pt>
                <c:pt idx="198">
                  <c:v>7.384408744560063E-12</c:v>
                </c:pt>
                <c:pt idx="199">
                  <c:v>7.384408744560063E-12</c:v>
                </c:pt>
                <c:pt idx="200">
                  <c:v>7.384408744560063E-12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81045184"/>
        <c:axId val="-1681044096"/>
      </c:scatterChart>
      <c:valAx>
        <c:axId val="-1681045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1044096"/>
        <c:crosses val="autoZero"/>
        <c:crossBetween val="midCat"/>
      </c:valAx>
      <c:valAx>
        <c:axId val="-168104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81045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6916832"/>
        <c:axId val="-116917920"/>
      </c:scatterChart>
      <c:valAx>
        <c:axId val="-1169168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917920"/>
        <c:crosses val="autoZero"/>
        <c:crossBetween val="midCat"/>
      </c:valAx>
      <c:valAx>
        <c:axId val="-11691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916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118.03208120289025</c:v>
                </c:pt>
                <c:pt idx="32">
                  <c:v>127.16454093707324</c:v>
                </c:pt>
                <c:pt idx="33">
                  <c:v>136.28111027557466</c:v>
                </c:pt>
                <c:pt idx="34">
                  <c:v>145.38300356865543</c:v>
                </c:pt>
                <c:pt idx="35">
                  <c:v>154.47127040505103</c:v>
                </c:pt>
                <c:pt idx="36">
                  <c:v>164.62257075242445</c:v>
                </c:pt>
                <c:pt idx="37">
                  <c:v>174.75908346315285</c:v>
                </c:pt>
                <c:pt idx="38">
                  <c:v>184.88178804027584</c:v>
                </c:pt>
                <c:pt idx="39">
                  <c:v>194.99154782254652</c:v>
                </c:pt>
                <c:pt idx="40">
                  <c:v>205.08912920241869</c:v>
                </c:pt>
                <c:pt idx="41">
                  <c:v>216.07167176294379</c:v>
                </c:pt>
                <c:pt idx="42">
                  <c:v>227.04137501930674</c:v>
                </c:pt>
                <c:pt idx="43">
                  <c:v>237.99894718169116</c:v>
                </c:pt>
                <c:pt idx="44">
                  <c:v>248.9450258663492</c:v>
                </c:pt>
                <c:pt idx="45">
                  <c:v>259.88018799430489</c:v>
                </c:pt>
                <c:pt idx="46">
                  <c:v>271.55455561199773</c:v>
                </c:pt>
                <c:pt idx="47">
                  <c:v>283.21763703149043</c:v>
                </c:pt>
                <c:pt idx="48">
                  <c:v>294.86996273477894</c:v>
                </c:pt>
                <c:pt idx="49">
                  <c:v>306.51201783346147</c:v>
                </c:pt>
                <c:pt idx="50">
                  <c:v>318.14424756196712</c:v>
                </c:pt>
                <c:pt idx="51">
                  <c:v>329.76706192494237</c:v>
                </c:pt>
                <c:pt idx="52">
                  <c:v>239.67683700392948</c:v>
                </c:pt>
                <c:pt idx="53">
                  <c:v>250.29218464838678</c:v>
                </c:pt>
                <c:pt idx="54">
                  <c:v>260.8973260680587</c:v>
                </c:pt>
                <c:pt idx="55">
                  <c:v>271.49273488667239</c:v>
                </c:pt>
                <c:pt idx="56">
                  <c:v>282.07884471495868</c:v>
                </c:pt>
                <c:pt idx="57">
                  <c:v>292.65605393833511</c:v>
                </c:pt>
                <c:pt idx="58">
                  <c:v>303.66796237794057</c:v>
                </c:pt>
                <c:pt idx="59">
                  <c:v>314.67098963455902</c:v>
                </c:pt>
                <c:pt idx="60">
                  <c:v>325.66549017002541</c:v>
                </c:pt>
                <c:pt idx="61">
                  <c:v>336.65179254781509</c:v>
                </c:pt>
                <c:pt idx="62">
                  <c:v>347.63020212685018</c:v>
                </c:pt>
                <c:pt idx="63">
                  <c:v>358.60100339709601</c:v>
                </c:pt>
                <c:pt idx="64">
                  <c:v>260.03231321547509</c:v>
                </c:pt>
                <c:pt idx="65">
                  <c:v>269.77193063297682</c:v>
                </c:pt>
                <c:pt idx="66">
                  <c:v>279.50363527600848</c:v>
                </c:pt>
                <c:pt idx="67">
                  <c:v>289.22774169786436</c:v>
                </c:pt>
                <c:pt idx="68">
                  <c:v>298.94454155777515</c:v>
                </c:pt>
                <c:pt idx="69">
                  <c:v>308.65430599336338</c:v>
                </c:pt>
                <c:pt idx="70">
                  <c:v>318.62294171430648</c:v>
                </c:pt>
                <c:pt idx="71">
                  <c:v>328.58467368958503</c:v>
                </c:pt>
                <c:pt idx="72">
                  <c:v>338.53974084807078</c:v>
                </c:pt>
                <c:pt idx="73">
                  <c:v>348.48836691199364</c:v>
                </c:pt>
                <c:pt idx="74">
                  <c:v>358.43076178064831</c:v>
                </c:pt>
                <c:pt idx="75">
                  <c:v>368.36712275248732</c:v>
                </c:pt>
                <c:pt idx="76">
                  <c:v>291.91671551884872</c:v>
                </c:pt>
                <c:pt idx="77">
                  <c:v>300.87214322749122</c:v>
                </c:pt>
                <c:pt idx="78">
                  <c:v>309.82163676754641</c:v>
                </c:pt>
                <c:pt idx="79">
                  <c:v>318.76539185761334</c:v>
                </c:pt>
                <c:pt idx="80">
                  <c:v>327.70359232869743</c:v>
                </c:pt>
                <c:pt idx="81">
                  <c:v>336.63641115786692</c:v>
                </c:pt>
                <c:pt idx="82">
                  <c:v>345.70364470995446</c:v>
                </c:pt>
                <c:pt idx="83">
                  <c:v>354.76565626068276</c:v>
                </c:pt>
                <c:pt idx="84">
                  <c:v>363.82259809116505</c:v>
                </c:pt>
                <c:pt idx="85">
                  <c:v>372.87461427751396</c:v>
                </c:pt>
                <c:pt idx="86">
                  <c:v>381.92184132571924</c:v>
                </c:pt>
                <c:pt idx="87">
                  <c:v>390.96440874320393</c:v>
                </c:pt>
                <c:pt idx="88">
                  <c:v>316.23957957327008</c:v>
                </c:pt>
                <c:pt idx="89">
                  <c:v>324.36731982730089</c:v>
                </c:pt>
                <c:pt idx="90">
                  <c:v>332.49055967837018</c:v>
                </c:pt>
                <c:pt idx="91">
                  <c:v>340.60942467657702</c:v>
                </c:pt>
                <c:pt idx="92">
                  <c:v>348.72403389340735</c:v>
                </c:pt>
                <c:pt idx="93">
                  <c:v>356.8345004023297</c:v>
                </c:pt>
                <c:pt idx="94">
                  <c:v>364.97803760821688</c:v>
                </c:pt>
                <c:pt idx="95">
                  <c:v>373.11760631918406</c:v>
                </c:pt>
                <c:pt idx="96">
                  <c:v>381.25330537802529</c:v>
                </c:pt>
                <c:pt idx="97">
                  <c:v>389.38522906199631</c:v>
                </c:pt>
                <c:pt idx="98">
                  <c:v>397.51346738672737</c:v>
                </c:pt>
                <c:pt idx="99">
                  <c:v>405.63810638397126</c:v>
                </c:pt>
                <c:pt idx="100">
                  <c:v>212.76508133047199</c:v>
                </c:pt>
                <c:pt idx="101">
                  <c:v>218.67199561794735</c:v>
                </c:pt>
                <c:pt idx="102">
                  <c:v>224.57524361030281</c:v>
                </c:pt>
                <c:pt idx="103">
                  <c:v>230.47493544221061</c:v>
                </c:pt>
                <c:pt idx="104">
                  <c:v>236.37117514013221</c:v>
                </c:pt>
                <c:pt idx="105">
                  <c:v>241.87202761852049</c:v>
                </c:pt>
                <c:pt idx="106">
                  <c:v>247.37003385573931</c:v>
                </c:pt>
                <c:pt idx="107">
                  <c:v>252.86526614443781</c:v>
                </c:pt>
                <c:pt idx="108">
                  <c:v>258.35779337351011</c:v>
                </c:pt>
                <c:pt idx="109">
                  <c:v>263.84768125895852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6918464"/>
        <c:axId val="-116917376"/>
      </c:scatterChart>
      <c:valAx>
        <c:axId val="-116918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917376"/>
        <c:crosses val="autoZero"/>
        <c:crossBetween val="midCat"/>
      </c:valAx>
      <c:valAx>
        <c:axId val="-11691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918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2.6107584023177419</c:v>
                </c:pt>
                <c:pt idx="2">
                  <c:v>3.1049999591548709</c:v>
                </c:pt>
                <c:pt idx="3">
                  <c:v>3.6931528021813484</c:v>
                </c:pt>
                <c:pt idx="4">
                  <c:v>4.393123291439327</c:v>
                </c:pt>
                <c:pt idx="5">
                  <c:v>5.2262431659966877</c:v>
                </c:pt>
                <c:pt idx="6">
                  <c:v>6.2179267787053014</c:v>
                </c:pt>
                <c:pt idx="7">
                  <c:v>7.3984547876138231</c:v>
                </c:pt>
                <c:pt idx="8">
                  <c:v>8.8039086974423153</c:v>
                </c:pt>
                <c:pt idx="9">
                  <c:v>10.47728536098662</c:v>
                </c:pt>
                <c:pt idx="10">
                  <c:v>12.469826180642729</c:v>
                </c:pt>
                <c:pt idx="11">
                  <c:v>14.842602471834818</c:v>
                </c:pt>
                <c:pt idx="12">
                  <c:v>17.668406474905712</c:v>
                </c:pt>
                <c:pt idx="13">
                  <c:v>21.034007083115242</c:v>
                </c:pt>
                <c:pt idx="14">
                  <c:v>25.042840794171411</c:v>
                </c:pt>
                <c:pt idx="15">
                  <c:v>29.81822205241906</c:v>
                </c:pt>
                <c:pt idx="16">
                  <c:v>35.507173459975228</c:v>
                </c:pt>
                <c:pt idx="17">
                  <c:v>42.284995813298941</c:v>
                </c:pt>
                <c:pt idx="18">
                  <c:v>50.360721182890977</c:v>
                </c:pt>
                <c:pt idx="19">
                  <c:v>59.983620034002193</c:v>
                </c:pt>
                <c:pt idx="20">
                  <c:v>71.450966564748299</c:v>
                </c:pt>
                <c:pt idx="21">
                  <c:v>80.458487402403108</c:v>
                </c:pt>
                <c:pt idx="22">
                  <c:v>89.440453732867482</c:v>
                </c:pt>
                <c:pt idx="23">
                  <c:v>98.39979926748434</c:v>
                </c:pt>
                <c:pt idx="24">
                  <c:v>107.33887798383877</c:v>
                </c:pt>
                <c:pt idx="25">
                  <c:v>116.25961858844029</c:v>
                </c:pt>
                <c:pt idx="26">
                  <c:v>125.64447759548017</c:v>
                </c:pt>
                <c:pt idx="27">
                  <c:v>135.01233253439906</c:v>
                </c:pt>
                <c:pt idx="28">
                  <c:v>144.36453118566223</c:v>
                </c:pt>
                <c:pt idx="29">
                  <c:v>153.70223210653933</c:v>
                </c:pt>
                <c:pt idx="30">
                  <c:v>163.02644133853653</c:v>
                </c:pt>
                <c:pt idx="31">
                  <c:v>140.28977850816344</c:v>
                </c:pt>
                <c:pt idx="32">
                  <c:v>149.87306670214187</c:v>
                </c:pt>
                <c:pt idx="33">
                  <c:v>159.44174502668625</c:v>
                </c:pt>
                <c:pt idx="34">
                  <c:v>168.99681491844967</c:v>
                </c:pt>
                <c:pt idx="35">
                  <c:v>178.53915514693605</c:v>
                </c:pt>
                <c:pt idx="36">
                  <c:v>188.0695427391004</c:v>
                </c:pt>
                <c:pt idx="37">
                  <c:v>197.58866943207283</c:v>
                </c:pt>
                <c:pt idx="38">
                  <c:v>207.09715478368</c:v>
                </c:pt>
                <c:pt idx="39">
                  <c:v>216.59555674522571</c:v>
                </c:pt>
                <c:pt idx="40">
                  <c:v>226.08438027984417</c:v>
                </c:pt>
                <c:pt idx="41">
                  <c:v>203.05731165810622</c:v>
                </c:pt>
                <c:pt idx="42">
                  <c:v>212.0850399320116</c:v>
                </c:pt>
                <c:pt idx="43">
                  <c:v>221.10391309189819</c:v>
                </c:pt>
                <c:pt idx="44">
                  <c:v>230.11434364880392</c:v>
                </c:pt>
                <c:pt idx="45">
                  <c:v>239.11670913453978</c:v>
                </c:pt>
                <c:pt idx="46">
                  <c:v>247.63814096400338</c:v>
                </c:pt>
                <c:pt idx="47">
                  <c:v>256.15291798767913</c:v>
                </c:pt>
                <c:pt idx="48">
                  <c:v>264.66129284013959</c:v>
                </c:pt>
                <c:pt idx="49">
                  <c:v>273.16350056945959</c:v>
                </c:pt>
                <c:pt idx="50">
                  <c:v>281.65976038277915</c:v>
                </c:pt>
                <c:pt idx="51">
                  <c:v>255.68004502751933</c:v>
                </c:pt>
                <c:pt idx="52">
                  <c:v>263.95250028498424</c:v>
                </c:pt>
                <c:pt idx="53">
                  <c:v>272.21910842642092</c:v>
                </c:pt>
                <c:pt idx="54">
                  <c:v>280.48007223555913</c:v>
                </c:pt>
                <c:pt idx="55">
                  <c:v>288.73558156375475</c:v>
                </c:pt>
                <c:pt idx="56">
                  <c:v>296.51451179876398</c:v>
                </c:pt>
                <c:pt idx="57">
                  <c:v>304.2888920593129</c:v>
                </c:pt>
                <c:pt idx="58">
                  <c:v>312.05885510523393</c:v>
                </c:pt>
                <c:pt idx="59">
                  <c:v>319.82452653918352</c:v>
                </c:pt>
                <c:pt idx="60">
                  <c:v>327.58602536074454</c:v>
                </c:pt>
                <c:pt idx="61">
                  <c:v>299.57768207257419</c:v>
                </c:pt>
                <c:pt idx="62">
                  <c:v>306.87936419861757</c:v>
                </c:pt>
                <c:pt idx="63">
                  <c:v>314.17718598832579</c:v>
                </c:pt>
                <c:pt idx="64">
                  <c:v>321.4712498520575</c:v>
                </c:pt>
                <c:pt idx="65">
                  <c:v>328.76165316889802</c:v>
                </c:pt>
                <c:pt idx="66">
                  <c:v>335.81348420755882</c:v>
                </c:pt>
                <c:pt idx="67">
                  <c:v>342.86205402855381</c:v>
                </c:pt>
                <c:pt idx="68">
                  <c:v>349.90743919837837</c:v>
                </c:pt>
                <c:pt idx="69">
                  <c:v>356.94971294568427</c:v>
                </c:pt>
                <c:pt idx="70">
                  <c:v>363.98894537123101</c:v>
                </c:pt>
                <c:pt idx="71">
                  <c:v>336.28348945689703</c:v>
                </c:pt>
                <c:pt idx="72">
                  <c:v>342.62715342500252</c:v>
                </c:pt>
                <c:pt idx="73">
                  <c:v>348.9682358457847</c:v>
                </c:pt>
                <c:pt idx="74">
                  <c:v>355.3067902960197</c:v>
                </c:pt>
                <c:pt idx="75">
                  <c:v>361.64286828294081</c:v>
                </c:pt>
                <c:pt idx="76">
                  <c:v>367.74198240650753</c:v>
                </c:pt>
                <c:pt idx="77">
                  <c:v>373.83888870111377</c:v>
                </c:pt>
                <c:pt idx="78">
                  <c:v>379.93362829012523</c:v>
                </c:pt>
                <c:pt idx="79">
                  <c:v>386.02624086859925</c:v>
                </c:pt>
                <c:pt idx="80">
                  <c:v>392.11676477515601</c:v>
                </c:pt>
                <c:pt idx="81">
                  <c:v>365.1618598487903</c:v>
                </c:pt>
                <c:pt idx="82">
                  <c:v>371.02520364074002</c:v>
                </c:pt>
                <c:pt idx="83">
                  <c:v>376.88652682026787</c:v>
                </c:pt>
                <c:pt idx="84">
                  <c:v>382.74586527772891</c:v>
                </c:pt>
                <c:pt idx="85">
                  <c:v>388.60325371384835</c:v>
                </c:pt>
                <c:pt idx="86">
                  <c:v>393.99035769186139</c:v>
                </c:pt>
                <c:pt idx="87">
                  <c:v>399.37586492686484</c:v>
                </c:pt>
                <c:pt idx="88">
                  <c:v>404.75980001044553</c:v>
                </c:pt>
                <c:pt idx="89">
                  <c:v>410.14218682595362</c:v>
                </c:pt>
                <c:pt idx="90">
                  <c:v>415.52304857813533</c:v>
                </c:pt>
                <c:pt idx="91">
                  <c:v>390.47721168197495</c:v>
                </c:pt>
                <c:pt idx="92">
                  <c:v>395.86375743638109</c:v>
                </c:pt>
                <c:pt idx="93">
                  <c:v>401.24871508362367</c:v>
                </c:pt>
                <c:pt idx="94">
                  <c:v>406.63210896547963</c:v>
                </c:pt>
                <c:pt idx="95">
                  <c:v>412.01396272598686</c:v>
                </c:pt>
                <c:pt idx="96">
                  <c:v>416.92650364000542</c:v>
                </c:pt>
                <c:pt idx="97">
                  <c:v>421.83779681530456</c:v>
                </c:pt>
                <c:pt idx="98">
                  <c:v>426.74785884302815</c:v>
                </c:pt>
                <c:pt idx="99">
                  <c:v>431.65670590101172</c:v>
                </c:pt>
                <c:pt idx="100">
                  <c:v>436.56435376876772</c:v>
                </c:pt>
                <c:pt idx="101">
                  <c:v>411.89698211936684</c:v>
                </c:pt>
                <c:pt idx="102">
                  <c:v>416.45869662247281</c:v>
                </c:pt>
                <c:pt idx="103">
                  <c:v>421.01933389197922</c:v>
                </c:pt>
                <c:pt idx="104">
                  <c:v>425.57890725572048</c:v>
                </c:pt>
                <c:pt idx="105">
                  <c:v>430.13742973235276</c:v>
                </c:pt>
                <c:pt idx="106">
                  <c:v>434.69491404180138</c:v>
                </c:pt>
                <c:pt idx="107">
                  <c:v>439.25137261524537</c:v>
                </c:pt>
                <c:pt idx="108">
                  <c:v>443.80681760466786</c:v>
                </c:pt>
                <c:pt idx="109">
                  <c:v>448.36126089199223</c:v>
                </c:pt>
                <c:pt idx="110">
                  <c:v>452.91471409782758</c:v>
                </c:pt>
                <c:pt idx="111">
                  <c:v>431.42297859516907</c:v>
                </c:pt>
                <c:pt idx="112">
                  <c:v>435.6296554321475</c:v>
                </c:pt>
                <c:pt idx="113">
                  <c:v>439.83546041523306</c:v>
                </c:pt>
                <c:pt idx="114">
                  <c:v>444.04040306626547</c:v>
                </c:pt>
                <c:pt idx="115">
                  <c:v>448.24449271185125</c:v>
                </c:pt>
                <c:pt idx="116">
                  <c:v>452.44773848920062</c:v>
                </c:pt>
                <c:pt idx="117">
                  <c:v>456.65014935173849</c:v>
                </c:pt>
                <c:pt idx="118">
                  <c:v>460.85173407449571</c:v>
                </c:pt>
                <c:pt idx="119">
                  <c:v>465.05250125929462</c:v>
                </c:pt>
                <c:pt idx="120">
                  <c:v>469.25245933973656</c:v>
                </c:pt>
                <c:pt idx="121">
                  <c:v>448.47802842120626</c:v>
                </c:pt>
                <c:pt idx="122">
                  <c:v>452.21424682036883</c:v>
                </c:pt>
                <c:pt idx="123">
                  <c:v>455.94980514694254</c:v>
                </c:pt>
                <c:pt idx="124">
                  <c:v>459.68470957755477</c:v>
                </c:pt>
                <c:pt idx="125">
                  <c:v>463.41896618017375</c:v>
                </c:pt>
                <c:pt idx="126">
                  <c:v>467.15258091689861</c:v>
                </c:pt>
                <c:pt idx="127">
                  <c:v>470.88555964665903</c:v>
                </c:pt>
                <c:pt idx="128">
                  <c:v>474.61790812782061</c:v>
                </c:pt>
                <c:pt idx="129">
                  <c:v>478.34963202070804</c:v>
                </c:pt>
                <c:pt idx="130">
                  <c:v>482.08073689004209</c:v>
                </c:pt>
                <c:pt idx="131">
                  <c:v>2.7294872878105889E-12</c:v>
                </c:pt>
                <c:pt idx="132">
                  <c:v>2.7294872878105889E-12</c:v>
                </c:pt>
                <c:pt idx="133">
                  <c:v>2.7294872878105889E-12</c:v>
                </c:pt>
                <c:pt idx="134">
                  <c:v>2.7294872878105889E-12</c:v>
                </c:pt>
                <c:pt idx="135">
                  <c:v>2.7294872878105889E-12</c:v>
                </c:pt>
                <c:pt idx="136">
                  <c:v>2.7294872878105889E-12</c:v>
                </c:pt>
                <c:pt idx="137">
                  <c:v>2.7294872878105889E-12</c:v>
                </c:pt>
                <c:pt idx="138">
                  <c:v>2.7294872878105889E-12</c:v>
                </c:pt>
                <c:pt idx="139">
                  <c:v>2.7294872878105889E-12</c:v>
                </c:pt>
                <c:pt idx="140">
                  <c:v>2.7294872878105889E-12</c:v>
                </c:pt>
                <c:pt idx="141">
                  <c:v>2.7294872878105889E-12</c:v>
                </c:pt>
                <c:pt idx="142">
                  <c:v>2.7294872878105889E-12</c:v>
                </c:pt>
                <c:pt idx="143">
                  <c:v>2.7294872878105889E-12</c:v>
                </c:pt>
                <c:pt idx="144">
                  <c:v>2.7294872878105889E-12</c:v>
                </c:pt>
                <c:pt idx="145">
                  <c:v>2.7294872878105889E-12</c:v>
                </c:pt>
                <c:pt idx="146">
                  <c:v>2.7294872878105889E-12</c:v>
                </c:pt>
                <c:pt idx="147">
                  <c:v>2.7294872878105889E-12</c:v>
                </c:pt>
                <c:pt idx="148">
                  <c:v>2.7294872878105889E-12</c:v>
                </c:pt>
                <c:pt idx="149">
                  <c:v>2.7294872878105889E-12</c:v>
                </c:pt>
                <c:pt idx="150">
                  <c:v>2.7294872878105889E-12</c:v>
                </c:pt>
                <c:pt idx="151">
                  <c:v>2.7294872878105889E-12</c:v>
                </c:pt>
                <c:pt idx="152">
                  <c:v>2.7294872878105889E-12</c:v>
                </c:pt>
                <c:pt idx="153">
                  <c:v>2.7294872878105889E-12</c:v>
                </c:pt>
                <c:pt idx="154">
                  <c:v>2.7294872878105889E-12</c:v>
                </c:pt>
                <c:pt idx="155">
                  <c:v>2.7294872878105889E-12</c:v>
                </c:pt>
                <c:pt idx="156">
                  <c:v>2.7294872878105889E-12</c:v>
                </c:pt>
                <c:pt idx="157">
                  <c:v>2.7294872878105889E-12</c:v>
                </c:pt>
                <c:pt idx="158">
                  <c:v>2.7294872878105889E-12</c:v>
                </c:pt>
                <c:pt idx="159">
                  <c:v>2.7294872878105889E-12</c:v>
                </c:pt>
                <c:pt idx="160">
                  <c:v>2.7294872878105889E-12</c:v>
                </c:pt>
                <c:pt idx="161">
                  <c:v>2.7294872878105889E-12</c:v>
                </c:pt>
                <c:pt idx="162">
                  <c:v>2.7294872878105889E-12</c:v>
                </c:pt>
                <c:pt idx="163">
                  <c:v>2.7294872878105889E-12</c:v>
                </c:pt>
                <c:pt idx="164">
                  <c:v>2.7294872878105889E-12</c:v>
                </c:pt>
                <c:pt idx="165">
                  <c:v>2.7294872878105889E-12</c:v>
                </c:pt>
                <c:pt idx="166">
                  <c:v>2.7294872878105889E-12</c:v>
                </c:pt>
                <c:pt idx="167">
                  <c:v>2.7294872878105889E-12</c:v>
                </c:pt>
                <c:pt idx="168">
                  <c:v>2.7294872878105889E-12</c:v>
                </c:pt>
                <c:pt idx="169">
                  <c:v>2.7294872878105889E-12</c:v>
                </c:pt>
                <c:pt idx="170">
                  <c:v>2.7294872878105889E-12</c:v>
                </c:pt>
                <c:pt idx="171">
                  <c:v>2.7294872878105889E-12</c:v>
                </c:pt>
                <c:pt idx="172">
                  <c:v>2.7294872878105889E-12</c:v>
                </c:pt>
                <c:pt idx="173">
                  <c:v>2.7294872878105889E-12</c:v>
                </c:pt>
                <c:pt idx="174">
                  <c:v>2.7294872878105889E-12</c:v>
                </c:pt>
                <c:pt idx="175">
                  <c:v>2.7294872878105889E-12</c:v>
                </c:pt>
                <c:pt idx="176">
                  <c:v>2.7294872878105889E-12</c:v>
                </c:pt>
                <c:pt idx="177">
                  <c:v>2.7294872878105889E-12</c:v>
                </c:pt>
                <c:pt idx="178">
                  <c:v>2.7294872878105889E-12</c:v>
                </c:pt>
                <c:pt idx="179">
                  <c:v>2.7294872878105889E-12</c:v>
                </c:pt>
                <c:pt idx="180">
                  <c:v>2.7294872878105889E-12</c:v>
                </c:pt>
                <c:pt idx="181">
                  <c:v>2.7294872878105889E-12</c:v>
                </c:pt>
                <c:pt idx="182">
                  <c:v>2.7294872878105889E-12</c:v>
                </c:pt>
                <c:pt idx="183">
                  <c:v>2.7294872878105889E-12</c:v>
                </c:pt>
                <c:pt idx="184">
                  <c:v>2.7294872878105889E-12</c:v>
                </c:pt>
                <c:pt idx="185">
                  <c:v>2.7294872878105889E-12</c:v>
                </c:pt>
                <c:pt idx="186">
                  <c:v>2.7294872878105889E-12</c:v>
                </c:pt>
                <c:pt idx="187">
                  <c:v>2.7294872878105889E-12</c:v>
                </c:pt>
                <c:pt idx="188">
                  <c:v>2.7294872878105889E-12</c:v>
                </c:pt>
                <c:pt idx="189">
                  <c:v>2.7294872878105889E-12</c:v>
                </c:pt>
                <c:pt idx="190">
                  <c:v>2.7294872878105889E-12</c:v>
                </c:pt>
                <c:pt idx="191">
                  <c:v>2.7294872878105889E-12</c:v>
                </c:pt>
                <c:pt idx="192">
                  <c:v>2.7294872878105889E-12</c:v>
                </c:pt>
                <c:pt idx="193">
                  <c:v>2.7294872878105889E-12</c:v>
                </c:pt>
                <c:pt idx="194">
                  <c:v>2.7294872878105889E-12</c:v>
                </c:pt>
                <c:pt idx="195">
                  <c:v>2.7294872878105889E-12</c:v>
                </c:pt>
                <c:pt idx="196">
                  <c:v>2.7294872878105889E-12</c:v>
                </c:pt>
                <c:pt idx="197">
                  <c:v>2.7294872878105889E-12</c:v>
                </c:pt>
                <c:pt idx="198">
                  <c:v>2.7294872878105889E-12</c:v>
                </c:pt>
                <c:pt idx="199">
                  <c:v>2.7294872878105889E-12</c:v>
                </c:pt>
                <c:pt idx="200">
                  <c:v>2.7294872878105889E-12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6920096"/>
        <c:axId val="-116919552"/>
      </c:scatterChart>
      <c:valAx>
        <c:axId val="-116920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919552"/>
        <c:crosses val="autoZero"/>
        <c:crossBetween val="midCat"/>
      </c:valAx>
      <c:valAx>
        <c:axId val="-11691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920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6919008"/>
        <c:axId val="-1774406032"/>
      </c:scatterChart>
      <c:valAx>
        <c:axId val="-116919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4406032"/>
        <c:crosses val="autoZero"/>
        <c:crossBetween val="midCat"/>
      </c:valAx>
      <c:valAx>
        <c:axId val="-177440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919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2.6244689027724655</c:v>
                </c:pt>
                <c:pt idx="2">
                  <c:v>3.312042388924576</c:v>
                </c:pt>
                <c:pt idx="3">
                  <c:v>4.1804548138730162</c:v>
                </c:pt>
                <c:pt idx="4">
                  <c:v>5.2774433162678447</c:v>
                </c:pt>
                <c:pt idx="5">
                  <c:v>6.6633896118575118</c:v>
                </c:pt>
                <c:pt idx="6">
                  <c:v>8.4146798872289725</c:v>
                </c:pt>
                <c:pt idx="7">
                  <c:v>10.627960079078528</c:v>
                </c:pt>
                <c:pt idx="8">
                  <c:v>13.425525787915056</c:v>
                </c:pt>
                <c:pt idx="9">
                  <c:v>16.962150157804761</c:v>
                </c:pt>
                <c:pt idx="10">
                  <c:v>21.43373433864426</c:v>
                </c:pt>
                <c:pt idx="11">
                  <c:v>27.088268261323339</c:v>
                </c:pt>
                <c:pt idx="12">
                  <c:v>34.239720272511569</c:v>
                </c:pt>
                <c:pt idx="13">
                  <c:v>43.285640151293769</c:v>
                </c:pt>
                <c:pt idx="14">
                  <c:v>54.729470631594388</c:v>
                </c:pt>
                <c:pt idx="15">
                  <c:v>69.208829802760235</c:v>
                </c:pt>
                <c:pt idx="16">
                  <c:v>89.903542800528598</c:v>
                </c:pt>
                <c:pt idx="17">
                  <c:v>110.47821024661486</c:v>
                </c:pt>
                <c:pt idx="18">
                  <c:v>130.95847101943656</c:v>
                </c:pt>
                <c:pt idx="19">
                  <c:v>151.3612148803482</c:v>
                </c:pt>
                <c:pt idx="20">
                  <c:v>171.69837969730824</c:v>
                </c:pt>
                <c:pt idx="21">
                  <c:v>117.62230117689131</c:v>
                </c:pt>
                <c:pt idx="22">
                  <c:v>139.7718435296224</c:v>
                </c:pt>
                <c:pt idx="23">
                  <c:v>161.83696568829635</c:v>
                </c:pt>
                <c:pt idx="24">
                  <c:v>183.83081652024475</c:v>
                </c:pt>
                <c:pt idx="25">
                  <c:v>205.76312973775077</c:v>
                </c:pt>
                <c:pt idx="26">
                  <c:v>226.76721841993992</c:v>
                </c:pt>
                <c:pt idx="27">
                  <c:v>247.72676285227666</c:v>
                </c:pt>
                <c:pt idx="28">
                  <c:v>268.64606128457058</c:v>
                </c:pt>
                <c:pt idx="29">
                  <c:v>289.52868753368028</c:v>
                </c:pt>
                <c:pt idx="30">
                  <c:v>310.37765765188334</c:v>
                </c:pt>
                <c:pt idx="31">
                  <c:v>231.62663999592982</c:v>
                </c:pt>
                <c:pt idx="32">
                  <c:v>250.44846504751658</c:v>
                </c:pt>
                <c:pt idx="33">
                  <c:v>269.23822510034057</c:v>
                </c:pt>
                <c:pt idx="34">
                  <c:v>287.99847235451199</c:v>
                </c:pt>
                <c:pt idx="35">
                  <c:v>306.7313992866795</c:v>
                </c:pt>
                <c:pt idx="36">
                  <c:v>323.11481010931777</c:v>
                </c:pt>
                <c:pt idx="37">
                  <c:v>339.47986025799952</c:v>
                </c:pt>
                <c:pt idx="38">
                  <c:v>355.82755927655097</c:v>
                </c:pt>
                <c:pt idx="39">
                  <c:v>372.15881638351107</c:v>
                </c:pt>
                <c:pt idx="40">
                  <c:v>388.47445449897322</c:v>
                </c:pt>
                <c:pt idx="41">
                  <c:v>305.68943472176829</c:v>
                </c:pt>
                <c:pt idx="42">
                  <c:v>319.92290747907714</c:v>
                </c:pt>
                <c:pt idx="43">
                  <c:v>334.14236984380841</c:v>
                </c:pt>
                <c:pt idx="44">
                  <c:v>348.34850202775442</c:v>
                </c:pt>
                <c:pt idx="45">
                  <c:v>362.541924229519</c:v>
                </c:pt>
                <c:pt idx="46">
                  <c:v>374.85610109245766</c:v>
                </c:pt>
                <c:pt idx="47">
                  <c:v>387.16146731647558</c:v>
                </c:pt>
                <c:pt idx="48">
                  <c:v>399.45834243331996</c:v>
                </c:pt>
                <c:pt idx="49">
                  <c:v>411.74702469422203</c:v>
                </c:pt>
                <c:pt idx="50">
                  <c:v>424.02779309344351</c:v>
                </c:pt>
                <c:pt idx="51">
                  <c:v>368.45800070785009</c:v>
                </c:pt>
                <c:pt idx="52">
                  <c:v>379.03951490194459</c:v>
                </c:pt>
                <c:pt idx="53">
                  <c:v>389.61460202756672</c:v>
                </c:pt>
                <c:pt idx="54">
                  <c:v>400.18346117939126</c:v>
                </c:pt>
                <c:pt idx="55">
                  <c:v>410.74628007457659</c:v>
                </c:pt>
                <c:pt idx="56">
                  <c:v>419.64762369150316</c:v>
                </c:pt>
                <c:pt idx="57">
                  <c:v>428.54490050127418</c:v>
                </c:pt>
                <c:pt idx="58">
                  <c:v>437.43820687961357</c:v>
                </c:pt>
                <c:pt idx="59">
                  <c:v>446.32763496223782</c:v>
                </c:pt>
                <c:pt idx="60">
                  <c:v>455.21327291395477</c:v>
                </c:pt>
                <c:pt idx="61">
                  <c:v>419.2681927399326</c:v>
                </c:pt>
                <c:pt idx="62">
                  <c:v>426.75197343084409</c:v>
                </c:pt>
                <c:pt idx="63">
                  <c:v>434.23293192198884</c:v>
                </c:pt>
                <c:pt idx="64">
                  <c:v>441.71112372067245</c:v>
                </c:pt>
                <c:pt idx="65">
                  <c:v>449.186602300316</c:v>
                </c:pt>
                <c:pt idx="66">
                  <c:v>455.66090010069485</c:v>
                </c:pt>
                <c:pt idx="67">
                  <c:v>462.13323254367833</c:v>
                </c:pt>
                <c:pt idx="68">
                  <c:v>468.60363105500534</c:v>
                </c:pt>
                <c:pt idx="69">
                  <c:v>475.07212612124312</c:v>
                </c:pt>
                <c:pt idx="70">
                  <c:v>481.538747330543</c:v>
                </c:pt>
                <c:pt idx="71">
                  <c:v>451.42528061425156</c:v>
                </c:pt>
                <c:pt idx="72">
                  <c:v>457.27916621968103</c:v>
                </c:pt>
                <c:pt idx="73">
                  <c:v>463.13145130621803</c:v>
                </c:pt>
                <c:pt idx="74">
                  <c:v>468.9821589661239</c:v>
                </c:pt>
                <c:pt idx="75">
                  <c:v>474.83131166809176</c:v>
                </c:pt>
                <c:pt idx="76">
                  <c:v>479.95666053791041</c:v>
                </c:pt>
                <c:pt idx="77">
                  <c:v>485.0808460570284</c:v>
                </c:pt>
                <c:pt idx="78">
                  <c:v>490.20388225735581</c:v>
                </c:pt>
                <c:pt idx="79">
                  <c:v>495.32578285337695</c:v>
                </c:pt>
                <c:pt idx="80">
                  <c:v>500.44656125261253</c:v>
                </c:pt>
                <c:pt idx="81">
                  <c:v>6.9121814197236049E-12</c:v>
                </c:pt>
                <c:pt idx="82">
                  <c:v>6.9121814197236049E-12</c:v>
                </c:pt>
                <c:pt idx="83">
                  <c:v>6.9121814197236049E-12</c:v>
                </c:pt>
                <c:pt idx="84">
                  <c:v>6.9121814197236049E-12</c:v>
                </c:pt>
                <c:pt idx="85">
                  <c:v>6.9121814197236049E-12</c:v>
                </c:pt>
                <c:pt idx="86">
                  <c:v>6.9121814197236049E-12</c:v>
                </c:pt>
                <c:pt idx="87">
                  <c:v>6.9121814197236049E-12</c:v>
                </c:pt>
                <c:pt idx="88">
                  <c:v>6.9121814197236049E-12</c:v>
                </c:pt>
                <c:pt idx="89">
                  <c:v>6.9121814197236049E-12</c:v>
                </c:pt>
                <c:pt idx="90">
                  <c:v>6.9121814197236049E-12</c:v>
                </c:pt>
                <c:pt idx="91">
                  <c:v>6.9121814197236049E-12</c:v>
                </c:pt>
                <c:pt idx="92">
                  <c:v>6.9121814197236049E-12</c:v>
                </c:pt>
                <c:pt idx="93">
                  <c:v>6.9121814197236049E-12</c:v>
                </c:pt>
                <c:pt idx="94">
                  <c:v>6.9121814197236049E-12</c:v>
                </c:pt>
                <c:pt idx="95">
                  <c:v>6.9121814197236049E-12</c:v>
                </c:pt>
                <c:pt idx="96">
                  <c:v>6.9121814197236049E-12</c:v>
                </c:pt>
                <c:pt idx="97">
                  <c:v>6.9121814197236049E-12</c:v>
                </c:pt>
                <c:pt idx="98">
                  <c:v>6.9121814197236049E-12</c:v>
                </c:pt>
                <c:pt idx="99">
                  <c:v>6.9121814197236049E-12</c:v>
                </c:pt>
                <c:pt idx="100">
                  <c:v>6.9121814197236049E-12</c:v>
                </c:pt>
                <c:pt idx="101">
                  <c:v>6.9121814197236049E-12</c:v>
                </c:pt>
                <c:pt idx="102">
                  <c:v>6.9121814197236049E-12</c:v>
                </c:pt>
                <c:pt idx="103">
                  <c:v>6.9121814197236049E-12</c:v>
                </c:pt>
                <c:pt idx="104">
                  <c:v>6.9121814197236049E-12</c:v>
                </c:pt>
                <c:pt idx="105">
                  <c:v>6.9121814197236049E-12</c:v>
                </c:pt>
                <c:pt idx="106">
                  <c:v>6.9121814197236049E-12</c:v>
                </c:pt>
                <c:pt idx="107">
                  <c:v>6.9121814197236049E-12</c:v>
                </c:pt>
                <c:pt idx="108">
                  <c:v>6.9121814197236049E-12</c:v>
                </c:pt>
                <c:pt idx="109">
                  <c:v>6.9121814197236049E-12</c:v>
                </c:pt>
                <c:pt idx="110">
                  <c:v>6.9121814197236049E-12</c:v>
                </c:pt>
                <c:pt idx="111">
                  <c:v>6.9121814197236049E-12</c:v>
                </c:pt>
                <c:pt idx="112">
                  <c:v>6.9121814197236049E-12</c:v>
                </c:pt>
                <c:pt idx="113">
                  <c:v>6.9121814197236049E-12</c:v>
                </c:pt>
                <c:pt idx="114">
                  <c:v>6.9121814197236049E-12</c:v>
                </c:pt>
                <c:pt idx="115">
                  <c:v>6.9121814197236049E-12</c:v>
                </c:pt>
                <c:pt idx="116">
                  <c:v>6.9121814197236049E-12</c:v>
                </c:pt>
                <c:pt idx="117">
                  <c:v>6.9121814197236049E-12</c:v>
                </c:pt>
                <c:pt idx="118">
                  <c:v>6.9121814197236049E-12</c:v>
                </c:pt>
                <c:pt idx="119">
                  <c:v>6.9121814197236049E-12</c:v>
                </c:pt>
                <c:pt idx="120">
                  <c:v>6.9121814197236049E-12</c:v>
                </c:pt>
                <c:pt idx="121">
                  <c:v>6.9121814197236049E-12</c:v>
                </c:pt>
                <c:pt idx="122">
                  <c:v>6.9121814197236049E-12</c:v>
                </c:pt>
                <c:pt idx="123">
                  <c:v>6.9121814197236049E-12</c:v>
                </c:pt>
                <c:pt idx="124">
                  <c:v>6.9121814197236049E-12</c:v>
                </c:pt>
                <c:pt idx="125">
                  <c:v>6.9121814197236049E-12</c:v>
                </c:pt>
                <c:pt idx="126">
                  <c:v>6.9121814197236049E-12</c:v>
                </c:pt>
                <c:pt idx="127">
                  <c:v>6.9121814197236049E-12</c:v>
                </c:pt>
                <c:pt idx="128">
                  <c:v>6.9121814197236049E-12</c:v>
                </c:pt>
                <c:pt idx="129">
                  <c:v>6.9121814197236049E-12</c:v>
                </c:pt>
                <c:pt idx="130">
                  <c:v>6.9121814197236049E-12</c:v>
                </c:pt>
                <c:pt idx="131">
                  <c:v>6.9121814197236049E-12</c:v>
                </c:pt>
                <c:pt idx="132">
                  <c:v>6.9121814197236049E-12</c:v>
                </c:pt>
                <c:pt idx="133">
                  <c:v>6.9121814197236049E-12</c:v>
                </c:pt>
                <c:pt idx="134">
                  <c:v>6.9121814197236049E-12</c:v>
                </c:pt>
                <c:pt idx="135">
                  <c:v>6.9121814197236049E-12</c:v>
                </c:pt>
                <c:pt idx="136">
                  <c:v>6.9121814197236049E-12</c:v>
                </c:pt>
                <c:pt idx="137">
                  <c:v>6.9121814197236049E-12</c:v>
                </c:pt>
                <c:pt idx="138">
                  <c:v>6.9121814197236049E-12</c:v>
                </c:pt>
                <c:pt idx="139">
                  <c:v>6.9121814197236049E-12</c:v>
                </c:pt>
                <c:pt idx="140">
                  <c:v>6.9121814197236049E-12</c:v>
                </c:pt>
                <c:pt idx="141">
                  <c:v>6.9121814197236049E-12</c:v>
                </c:pt>
                <c:pt idx="142">
                  <c:v>6.9121814197236049E-12</c:v>
                </c:pt>
                <c:pt idx="143">
                  <c:v>6.9121814197236049E-12</c:v>
                </c:pt>
                <c:pt idx="144">
                  <c:v>6.9121814197236049E-12</c:v>
                </c:pt>
                <c:pt idx="145">
                  <c:v>6.9121814197236049E-12</c:v>
                </c:pt>
                <c:pt idx="146">
                  <c:v>6.9121814197236049E-12</c:v>
                </c:pt>
                <c:pt idx="147">
                  <c:v>6.9121814197236049E-12</c:v>
                </c:pt>
                <c:pt idx="148">
                  <c:v>6.9121814197236049E-12</c:v>
                </c:pt>
                <c:pt idx="149">
                  <c:v>6.9121814197236049E-12</c:v>
                </c:pt>
                <c:pt idx="150">
                  <c:v>6.9121814197236049E-12</c:v>
                </c:pt>
                <c:pt idx="151">
                  <c:v>6.9121814197236049E-12</c:v>
                </c:pt>
                <c:pt idx="152">
                  <c:v>6.9121814197236049E-12</c:v>
                </c:pt>
                <c:pt idx="153">
                  <c:v>6.9121814197236049E-12</c:v>
                </c:pt>
                <c:pt idx="154">
                  <c:v>6.9121814197236049E-12</c:v>
                </c:pt>
                <c:pt idx="155">
                  <c:v>6.9121814197236049E-12</c:v>
                </c:pt>
                <c:pt idx="156">
                  <c:v>6.9121814197236049E-12</c:v>
                </c:pt>
                <c:pt idx="157">
                  <c:v>6.9121814197236049E-12</c:v>
                </c:pt>
                <c:pt idx="158">
                  <c:v>6.9121814197236049E-12</c:v>
                </c:pt>
                <c:pt idx="159">
                  <c:v>6.9121814197236049E-12</c:v>
                </c:pt>
                <c:pt idx="160">
                  <c:v>6.9121814197236049E-12</c:v>
                </c:pt>
                <c:pt idx="161">
                  <c:v>6.9121814197236049E-12</c:v>
                </c:pt>
                <c:pt idx="162">
                  <c:v>6.9121814197236049E-12</c:v>
                </c:pt>
                <c:pt idx="163">
                  <c:v>6.9121814197236049E-12</c:v>
                </c:pt>
                <c:pt idx="164">
                  <c:v>6.9121814197236049E-12</c:v>
                </c:pt>
                <c:pt idx="165">
                  <c:v>6.9121814197236049E-12</c:v>
                </c:pt>
                <c:pt idx="166">
                  <c:v>6.9121814197236049E-12</c:v>
                </c:pt>
                <c:pt idx="167">
                  <c:v>6.9121814197236049E-12</c:v>
                </c:pt>
                <c:pt idx="168">
                  <c:v>6.9121814197236049E-12</c:v>
                </c:pt>
                <c:pt idx="169">
                  <c:v>6.9121814197236049E-12</c:v>
                </c:pt>
                <c:pt idx="170">
                  <c:v>6.9121814197236049E-12</c:v>
                </c:pt>
                <c:pt idx="171">
                  <c:v>6.9121814197236049E-12</c:v>
                </c:pt>
                <c:pt idx="172">
                  <c:v>6.9121814197236049E-12</c:v>
                </c:pt>
                <c:pt idx="173">
                  <c:v>6.9121814197236049E-12</c:v>
                </c:pt>
                <c:pt idx="174">
                  <c:v>6.9121814197236049E-12</c:v>
                </c:pt>
                <c:pt idx="175">
                  <c:v>6.9121814197236049E-12</c:v>
                </c:pt>
                <c:pt idx="176">
                  <c:v>6.9121814197236049E-12</c:v>
                </c:pt>
                <c:pt idx="177">
                  <c:v>6.9121814197236049E-12</c:v>
                </c:pt>
                <c:pt idx="178">
                  <c:v>6.9121814197236049E-12</c:v>
                </c:pt>
                <c:pt idx="179">
                  <c:v>6.9121814197236049E-12</c:v>
                </c:pt>
                <c:pt idx="180">
                  <c:v>6.9121814197236049E-12</c:v>
                </c:pt>
                <c:pt idx="181">
                  <c:v>6.9121814197236049E-12</c:v>
                </c:pt>
                <c:pt idx="182">
                  <c:v>6.9121814197236049E-12</c:v>
                </c:pt>
                <c:pt idx="183">
                  <c:v>6.9121814197236049E-12</c:v>
                </c:pt>
                <c:pt idx="184">
                  <c:v>6.9121814197236049E-12</c:v>
                </c:pt>
                <c:pt idx="185">
                  <c:v>6.9121814197236049E-12</c:v>
                </c:pt>
                <c:pt idx="186">
                  <c:v>6.9121814197236049E-12</c:v>
                </c:pt>
                <c:pt idx="187">
                  <c:v>6.9121814197236049E-12</c:v>
                </c:pt>
                <c:pt idx="188">
                  <c:v>6.9121814197236049E-12</c:v>
                </c:pt>
                <c:pt idx="189">
                  <c:v>6.9121814197236049E-12</c:v>
                </c:pt>
                <c:pt idx="190">
                  <c:v>6.9121814197236049E-12</c:v>
                </c:pt>
                <c:pt idx="191">
                  <c:v>6.9121814197236049E-12</c:v>
                </c:pt>
                <c:pt idx="192">
                  <c:v>6.9121814197236049E-12</c:v>
                </c:pt>
                <c:pt idx="193">
                  <c:v>6.9121814197236049E-12</c:v>
                </c:pt>
                <c:pt idx="194">
                  <c:v>6.9121814197236049E-12</c:v>
                </c:pt>
                <c:pt idx="195">
                  <c:v>6.9121814197236049E-12</c:v>
                </c:pt>
                <c:pt idx="196">
                  <c:v>6.9121814197236049E-12</c:v>
                </c:pt>
                <c:pt idx="197">
                  <c:v>6.9121814197236049E-12</c:v>
                </c:pt>
                <c:pt idx="198">
                  <c:v>6.9121814197236049E-12</c:v>
                </c:pt>
                <c:pt idx="199">
                  <c:v>6.9121814197236049E-12</c:v>
                </c:pt>
                <c:pt idx="200">
                  <c:v>6.9121814197236049E-12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4406576"/>
        <c:axId val="-1774407120"/>
      </c:scatterChart>
      <c:valAx>
        <c:axId val="-1774406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4407120"/>
        <c:crosses val="autoZero"/>
        <c:crossBetween val="midCat"/>
      </c:valAx>
      <c:valAx>
        <c:axId val="-177440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4406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2.3809512945056821</c:v>
                </c:pt>
                <c:pt idx="2">
                  <c:v>3.0045130030879732</c:v>
                </c:pt>
                <c:pt idx="3">
                  <c:v>3.7920249353169493</c:v>
                </c:pt>
                <c:pt idx="4">
                  <c:v>4.7867529388378705</c:v>
                </c:pt>
                <c:pt idx="5">
                  <c:v>6.0434198694344721</c:v>
                </c:pt>
                <c:pt idx="6">
                  <c:v>7.6312491374559963</c:v>
                </c:pt>
                <c:pt idx="7">
                  <c:v>9.6378191429250784</c:v>
                </c:pt>
                <c:pt idx="8">
                  <c:v>12.173945223519388</c:v>
                </c:pt>
                <c:pt idx="9">
                  <c:v>15.379863750893525</c:v>
                </c:pt>
                <c:pt idx="10">
                  <c:v>19.433066591685588</c:v>
                </c:pt>
                <c:pt idx="11">
                  <c:v>24.558227487085514</c:v>
                </c:pt>
                <c:pt idx="12">
                  <c:v>31.039780314096337</c:v>
                </c:pt>
                <c:pt idx="13">
                  <c:v>39.237859420062392</c:v>
                </c:pt>
                <c:pt idx="14">
                  <c:v>49.608502836168434</c:v>
                </c:pt>
                <c:pt idx="15">
                  <c:v>62.729261052103169</c:v>
                </c:pt>
                <c:pt idx="16">
                  <c:v>81.481071811914816</c:v>
                </c:pt>
                <c:pt idx="17">
                  <c:v>100.12309550428905</c:v>
                </c:pt>
                <c:pt idx="18">
                  <c:v>118.67878003907686</c:v>
                </c:pt>
                <c:pt idx="19">
                  <c:v>137.16357186425441</c:v>
                </c:pt>
                <c:pt idx="20">
                  <c:v>155.58838869810646</c:v>
                </c:pt>
                <c:pt idx="21">
                  <c:v>106.595922899923</c:v>
                </c:pt>
                <c:pt idx="22">
                  <c:v>126.66372945155246</c:v>
                </c:pt>
                <c:pt idx="23">
                  <c:v>146.65432993091889</c:v>
                </c:pt>
                <c:pt idx="24">
                  <c:v>166.57974956981329</c:v>
                </c:pt>
                <c:pt idx="25">
                  <c:v>186.44889028681465</c:v>
                </c:pt>
                <c:pt idx="26">
                  <c:v>205.47668575959185</c:v>
                </c:pt>
                <c:pt idx="27">
                  <c:v>224.46374350828043</c:v>
                </c:pt>
                <c:pt idx="28">
                  <c:v>243.41399447605218</c:v>
                </c:pt>
                <c:pt idx="29">
                  <c:v>262.33070707949565</c:v>
                </c:pt>
                <c:pt idx="30">
                  <c:v>281.21663963435122</c:v>
                </c:pt>
                <c:pt idx="31">
                  <c:v>209.87882372311779</c:v>
                </c:pt>
                <c:pt idx="32">
                  <c:v>226.92928209637023</c:v>
                </c:pt>
                <c:pt idx="33">
                  <c:v>243.95041558309245</c:v>
                </c:pt>
                <c:pt idx="34">
                  <c:v>260.94455828531221</c:v>
                </c:pt>
                <c:pt idx="35">
                  <c:v>277.91371532173889</c:v>
                </c:pt>
                <c:pt idx="36">
                  <c:v>292.75438923139654</c:v>
                </c:pt>
                <c:pt idx="37">
                  <c:v>307.5782714772098</c:v>
                </c:pt>
                <c:pt idx="38">
                  <c:v>322.38628533250755</c:v>
                </c:pt>
                <c:pt idx="39">
                  <c:v>337.17926231862225</c:v>
                </c:pt>
                <c:pt idx="40">
                  <c:v>351.95795503306766</c:v>
                </c:pt>
                <c:pt idx="41">
                  <c:v>276.96986127985076</c:v>
                </c:pt>
                <c:pt idx="42">
                  <c:v>289.86306359345843</c:v>
                </c:pt>
                <c:pt idx="43">
                  <c:v>302.74345277160899</c:v>
                </c:pt>
                <c:pt idx="44">
                  <c:v>315.61165089864329</c:v>
                </c:pt>
                <c:pt idx="45">
                  <c:v>328.46822517413688</c:v>
                </c:pt>
                <c:pt idx="46">
                  <c:v>339.62247001500663</c:v>
                </c:pt>
                <c:pt idx="47">
                  <c:v>350.7686571294899</c:v>
                </c:pt>
                <c:pt idx="48">
                  <c:v>361.90707874377085</c:v>
                </c:pt>
                <c:pt idx="49">
                  <c:v>373.03800762204258</c:v>
                </c:pt>
                <c:pt idx="50">
                  <c:v>384.16169891713162</c:v>
                </c:pt>
                <c:pt idx="51">
                  <c:v>333.82704752096635</c:v>
                </c:pt>
                <c:pt idx="52">
                  <c:v>343.41181011684756</c:v>
                </c:pt>
                <c:pt idx="53">
                  <c:v>352.99069486894427</c:v>
                </c:pt>
                <c:pt idx="54">
                  <c:v>362.56388385830974</c:v>
                </c:pt>
                <c:pt idx="55">
                  <c:v>372.13154876074583</c:v>
                </c:pt>
                <c:pt idx="56">
                  <c:v>380.19423086102802</c:v>
                </c:pt>
                <c:pt idx="57">
                  <c:v>388.25319368287614</c:v>
                </c:pt>
                <c:pt idx="58">
                  <c:v>396.30852536623382</c:v>
                </c:pt>
                <c:pt idx="59">
                  <c:v>404.36031017336609</c:v>
                </c:pt>
                <c:pt idx="60">
                  <c:v>412.40862873496354</c:v>
                </c:pt>
                <c:pt idx="61">
                  <c:v>379.85054964335399</c:v>
                </c:pt>
                <c:pt idx="62">
                  <c:v>386.62920156078945</c:v>
                </c:pt>
                <c:pt idx="63">
                  <c:v>393.40527244934259</c:v>
                </c:pt>
                <c:pt idx="64">
                  <c:v>400.17881307294584</c:v>
                </c:pt>
                <c:pt idx="65">
                  <c:v>406.94987233545288</c:v>
                </c:pt>
                <c:pt idx="66">
                  <c:v>412.8140738490336</c:v>
                </c:pt>
                <c:pt idx="67">
                  <c:v>418.6764779546981</c:v>
                </c:pt>
                <c:pt idx="68">
                  <c:v>424.53711339270086</c:v>
                </c:pt>
                <c:pt idx="69">
                  <c:v>430.39600804438186</c:v>
                </c:pt>
                <c:pt idx="70">
                  <c:v>436.25318896943878</c:v>
                </c:pt>
                <c:pt idx="71">
                  <c:v>408.97759393697305</c:v>
                </c:pt>
                <c:pt idx="72">
                  <c:v>414.2798422447338</c:v>
                </c:pt>
                <c:pt idx="73">
                  <c:v>419.58062680583197</c:v>
                </c:pt>
                <c:pt idx="74">
                  <c:v>424.87996873918178</c:v>
                </c:pt>
                <c:pt idx="75">
                  <c:v>430.17788859341562</c:v>
                </c:pt>
                <c:pt idx="76">
                  <c:v>434.82020588115535</c:v>
                </c:pt>
                <c:pt idx="77">
                  <c:v>439.46145923224771</c:v>
                </c:pt>
                <c:pt idx="78">
                  <c:v>444.10166147950622</c:v>
                </c:pt>
                <c:pt idx="79">
                  <c:v>448.74082516544513</c:v>
                </c:pt>
                <c:pt idx="80">
                  <c:v>453.3789625518466</c:v>
                </c:pt>
                <c:pt idx="81">
                  <c:v>6.3163460169613921E-12</c:v>
                </c:pt>
                <c:pt idx="82">
                  <c:v>6.3163460169613921E-12</c:v>
                </c:pt>
                <c:pt idx="83">
                  <c:v>6.3163460169613921E-12</c:v>
                </c:pt>
                <c:pt idx="84">
                  <c:v>6.3163460169613921E-12</c:v>
                </c:pt>
                <c:pt idx="85">
                  <c:v>6.3163460169613921E-12</c:v>
                </c:pt>
                <c:pt idx="86">
                  <c:v>6.3163460169613921E-12</c:v>
                </c:pt>
                <c:pt idx="87">
                  <c:v>6.3163460169613921E-12</c:v>
                </c:pt>
                <c:pt idx="88">
                  <c:v>6.3163460169613921E-12</c:v>
                </c:pt>
                <c:pt idx="89">
                  <c:v>6.3163460169613921E-12</c:v>
                </c:pt>
                <c:pt idx="90">
                  <c:v>6.3163460169613921E-12</c:v>
                </c:pt>
                <c:pt idx="91">
                  <c:v>6.3163460169613921E-12</c:v>
                </c:pt>
                <c:pt idx="92">
                  <c:v>6.3163460169613921E-12</c:v>
                </c:pt>
                <c:pt idx="93">
                  <c:v>6.3163460169613921E-12</c:v>
                </c:pt>
                <c:pt idx="94">
                  <c:v>6.3163460169613921E-12</c:v>
                </c:pt>
                <c:pt idx="95">
                  <c:v>6.3163460169613921E-12</c:v>
                </c:pt>
                <c:pt idx="96">
                  <c:v>6.3163460169613921E-12</c:v>
                </c:pt>
                <c:pt idx="97">
                  <c:v>6.3163460169613921E-12</c:v>
                </c:pt>
                <c:pt idx="98">
                  <c:v>6.3163460169613921E-12</c:v>
                </c:pt>
                <c:pt idx="99">
                  <c:v>6.3163460169613921E-12</c:v>
                </c:pt>
                <c:pt idx="100">
                  <c:v>6.3163460169613921E-12</c:v>
                </c:pt>
                <c:pt idx="101">
                  <c:v>6.3163460169613921E-12</c:v>
                </c:pt>
                <c:pt idx="102">
                  <c:v>6.3163460169613921E-12</c:v>
                </c:pt>
                <c:pt idx="103">
                  <c:v>6.3163460169613921E-12</c:v>
                </c:pt>
                <c:pt idx="104">
                  <c:v>6.3163460169613921E-12</c:v>
                </c:pt>
                <c:pt idx="105">
                  <c:v>6.3163460169613921E-12</c:v>
                </c:pt>
                <c:pt idx="106">
                  <c:v>6.3163460169613921E-12</c:v>
                </c:pt>
                <c:pt idx="107">
                  <c:v>6.3163460169613921E-12</c:v>
                </c:pt>
                <c:pt idx="108">
                  <c:v>6.3163460169613921E-12</c:v>
                </c:pt>
                <c:pt idx="109">
                  <c:v>6.3163460169613921E-12</c:v>
                </c:pt>
                <c:pt idx="110">
                  <c:v>6.3163460169613921E-12</c:v>
                </c:pt>
                <c:pt idx="111">
                  <c:v>6.3163460169613921E-12</c:v>
                </c:pt>
                <c:pt idx="112">
                  <c:v>6.3163460169613921E-12</c:v>
                </c:pt>
                <c:pt idx="113">
                  <c:v>6.3163460169613921E-12</c:v>
                </c:pt>
                <c:pt idx="114">
                  <c:v>6.3163460169613921E-12</c:v>
                </c:pt>
                <c:pt idx="115">
                  <c:v>6.3163460169613921E-12</c:v>
                </c:pt>
                <c:pt idx="116">
                  <c:v>6.3163460169613921E-12</c:v>
                </c:pt>
                <c:pt idx="117">
                  <c:v>6.3163460169613921E-12</c:v>
                </c:pt>
                <c:pt idx="118">
                  <c:v>6.3163460169613921E-12</c:v>
                </c:pt>
                <c:pt idx="119">
                  <c:v>6.3163460169613921E-12</c:v>
                </c:pt>
                <c:pt idx="120">
                  <c:v>6.3163460169613921E-12</c:v>
                </c:pt>
                <c:pt idx="121">
                  <c:v>6.3163460169613921E-12</c:v>
                </c:pt>
                <c:pt idx="122">
                  <c:v>6.3163460169613921E-12</c:v>
                </c:pt>
                <c:pt idx="123">
                  <c:v>6.3163460169613921E-12</c:v>
                </c:pt>
                <c:pt idx="124">
                  <c:v>6.3163460169613921E-12</c:v>
                </c:pt>
                <c:pt idx="125">
                  <c:v>6.3163460169613921E-12</c:v>
                </c:pt>
                <c:pt idx="126">
                  <c:v>6.3163460169613921E-12</c:v>
                </c:pt>
                <c:pt idx="127">
                  <c:v>6.3163460169613921E-12</c:v>
                </c:pt>
                <c:pt idx="128">
                  <c:v>6.3163460169613921E-12</c:v>
                </c:pt>
                <c:pt idx="129">
                  <c:v>6.3163460169613921E-12</c:v>
                </c:pt>
                <c:pt idx="130">
                  <c:v>6.3163460169613921E-12</c:v>
                </c:pt>
                <c:pt idx="131">
                  <c:v>6.3163460169613921E-12</c:v>
                </c:pt>
                <c:pt idx="132">
                  <c:v>6.3163460169613921E-12</c:v>
                </c:pt>
                <c:pt idx="133">
                  <c:v>6.3163460169613921E-12</c:v>
                </c:pt>
                <c:pt idx="134">
                  <c:v>6.3163460169613921E-12</c:v>
                </c:pt>
                <c:pt idx="135">
                  <c:v>6.3163460169613921E-12</c:v>
                </c:pt>
                <c:pt idx="136">
                  <c:v>6.3163460169613921E-12</c:v>
                </c:pt>
                <c:pt idx="137">
                  <c:v>6.3163460169613921E-12</c:v>
                </c:pt>
                <c:pt idx="138">
                  <c:v>6.3163460169613921E-12</c:v>
                </c:pt>
                <c:pt idx="139">
                  <c:v>6.3163460169613921E-12</c:v>
                </c:pt>
                <c:pt idx="140">
                  <c:v>6.3163460169613921E-12</c:v>
                </c:pt>
                <c:pt idx="141">
                  <c:v>6.3163460169613921E-12</c:v>
                </c:pt>
                <c:pt idx="142">
                  <c:v>6.3163460169613921E-12</c:v>
                </c:pt>
                <c:pt idx="143">
                  <c:v>6.3163460169613921E-12</c:v>
                </c:pt>
                <c:pt idx="144">
                  <c:v>6.3163460169613921E-12</c:v>
                </c:pt>
                <c:pt idx="145">
                  <c:v>6.3163460169613921E-12</c:v>
                </c:pt>
                <c:pt idx="146">
                  <c:v>6.3163460169613921E-12</c:v>
                </c:pt>
                <c:pt idx="147">
                  <c:v>6.3163460169613921E-12</c:v>
                </c:pt>
                <c:pt idx="148">
                  <c:v>6.3163460169613921E-12</c:v>
                </c:pt>
                <c:pt idx="149">
                  <c:v>6.3163460169613921E-12</c:v>
                </c:pt>
                <c:pt idx="150">
                  <c:v>6.3163460169613921E-12</c:v>
                </c:pt>
                <c:pt idx="151">
                  <c:v>6.3163460169613921E-12</c:v>
                </c:pt>
                <c:pt idx="152">
                  <c:v>6.3163460169613921E-12</c:v>
                </c:pt>
                <c:pt idx="153">
                  <c:v>6.3163460169613921E-12</c:v>
                </c:pt>
                <c:pt idx="154">
                  <c:v>6.3163460169613921E-12</c:v>
                </c:pt>
                <c:pt idx="155">
                  <c:v>6.3163460169613921E-12</c:v>
                </c:pt>
                <c:pt idx="156">
                  <c:v>6.3163460169613921E-12</c:v>
                </c:pt>
                <c:pt idx="157">
                  <c:v>6.3163460169613921E-12</c:v>
                </c:pt>
                <c:pt idx="158">
                  <c:v>6.3163460169613921E-12</c:v>
                </c:pt>
                <c:pt idx="159">
                  <c:v>6.3163460169613921E-12</c:v>
                </c:pt>
                <c:pt idx="160">
                  <c:v>6.3163460169613921E-12</c:v>
                </c:pt>
                <c:pt idx="161">
                  <c:v>6.3163460169613921E-12</c:v>
                </c:pt>
                <c:pt idx="162">
                  <c:v>6.3163460169613921E-12</c:v>
                </c:pt>
                <c:pt idx="163">
                  <c:v>6.3163460169613921E-12</c:v>
                </c:pt>
                <c:pt idx="164">
                  <c:v>6.3163460169613921E-12</c:v>
                </c:pt>
                <c:pt idx="165">
                  <c:v>6.3163460169613921E-12</c:v>
                </c:pt>
                <c:pt idx="166">
                  <c:v>6.3163460169613921E-12</c:v>
                </c:pt>
                <c:pt idx="167">
                  <c:v>6.3163460169613921E-12</c:v>
                </c:pt>
                <c:pt idx="168">
                  <c:v>6.3163460169613921E-12</c:v>
                </c:pt>
                <c:pt idx="169">
                  <c:v>6.3163460169613921E-12</c:v>
                </c:pt>
                <c:pt idx="170">
                  <c:v>6.3163460169613921E-12</c:v>
                </c:pt>
                <c:pt idx="171">
                  <c:v>6.3163460169613921E-12</c:v>
                </c:pt>
                <c:pt idx="172">
                  <c:v>6.3163460169613921E-12</c:v>
                </c:pt>
                <c:pt idx="173">
                  <c:v>6.3163460169613921E-12</c:v>
                </c:pt>
                <c:pt idx="174">
                  <c:v>6.3163460169613921E-12</c:v>
                </c:pt>
                <c:pt idx="175">
                  <c:v>6.3163460169613921E-12</c:v>
                </c:pt>
                <c:pt idx="176">
                  <c:v>6.3163460169613921E-12</c:v>
                </c:pt>
                <c:pt idx="177">
                  <c:v>6.3163460169613921E-12</c:v>
                </c:pt>
                <c:pt idx="178">
                  <c:v>6.3163460169613921E-12</c:v>
                </c:pt>
                <c:pt idx="179">
                  <c:v>6.3163460169613921E-12</c:v>
                </c:pt>
                <c:pt idx="180">
                  <c:v>6.3163460169613921E-12</c:v>
                </c:pt>
                <c:pt idx="181">
                  <c:v>6.3163460169613921E-12</c:v>
                </c:pt>
                <c:pt idx="182">
                  <c:v>6.3163460169613921E-12</c:v>
                </c:pt>
                <c:pt idx="183">
                  <c:v>6.3163460169613921E-12</c:v>
                </c:pt>
                <c:pt idx="184">
                  <c:v>6.3163460169613921E-12</c:v>
                </c:pt>
                <c:pt idx="185">
                  <c:v>6.3163460169613921E-12</c:v>
                </c:pt>
                <c:pt idx="186">
                  <c:v>6.3163460169613921E-12</c:v>
                </c:pt>
                <c:pt idx="187">
                  <c:v>6.3163460169613921E-12</c:v>
                </c:pt>
                <c:pt idx="188">
                  <c:v>6.3163460169613921E-12</c:v>
                </c:pt>
                <c:pt idx="189">
                  <c:v>6.3163460169613921E-12</c:v>
                </c:pt>
                <c:pt idx="190">
                  <c:v>6.3163460169613921E-12</c:v>
                </c:pt>
                <c:pt idx="191">
                  <c:v>6.3163460169613921E-12</c:v>
                </c:pt>
                <c:pt idx="192">
                  <c:v>6.3163460169613921E-12</c:v>
                </c:pt>
                <c:pt idx="193">
                  <c:v>6.3163460169613921E-12</c:v>
                </c:pt>
                <c:pt idx="194">
                  <c:v>6.3163460169613921E-12</c:v>
                </c:pt>
                <c:pt idx="195">
                  <c:v>6.3163460169613921E-12</c:v>
                </c:pt>
                <c:pt idx="196">
                  <c:v>6.3163460169613921E-12</c:v>
                </c:pt>
                <c:pt idx="197">
                  <c:v>6.3163460169613921E-12</c:v>
                </c:pt>
                <c:pt idx="198">
                  <c:v>6.3163460169613921E-12</c:v>
                </c:pt>
                <c:pt idx="199">
                  <c:v>6.3163460169613921E-12</c:v>
                </c:pt>
                <c:pt idx="200">
                  <c:v>6.3163460169613921E-12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74407664"/>
        <c:axId val="-1774409296"/>
      </c:scatterChart>
      <c:valAx>
        <c:axId val="-1774407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4409296"/>
        <c:crosses val="autoZero"/>
        <c:crossBetween val="midCat"/>
      </c:valAx>
      <c:valAx>
        <c:axId val="-177440929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74407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25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25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25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25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25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25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25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25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25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25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25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25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25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25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25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25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25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4" zoomScale="80" zoomScaleNormal="80" workbookViewId="0">
      <selection activeCell="E15" sqref="E1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4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6" t="s">
        <v>192</v>
      </c>
      <c r="C3" s="297"/>
      <c r="D3" s="297"/>
      <c r="E3" s="297"/>
      <c r="F3" s="298"/>
      <c r="G3" s="91"/>
      <c r="I3" s="224" t="s">
        <v>304</v>
      </c>
      <c r="J3" s="9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3"/>
      <c r="B4" s="93"/>
      <c r="C4" s="93"/>
      <c r="D4" s="93"/>
      <c r="E4" s="93"/>
      <c r="F4" s="93"/>
      <c r="G4" s="234"/>
      <c r="I4" s="224" t="s">
        <v>305</v>
      </c>
      <c r="J4" s="9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2" t="s">
        <v>231</v>
      </c>
      <c r="B5" s="302"/>
      <c r="C5" s="26">
        <v>10.64</v>
      </c>
      <c r="D5" s="303" t="s">
        <v>229</v>
      </c>
      <c r="E5" s="304"/>
      <c r="F5" s="93"/>
      <c r="G5" s="234"/>
      <c r="H5" s="235"/>
      <c r="I5" s="235"/>
      <c r="J5" s="24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4"/>
      <c r="B6" s="94"/>
      <c r="C6" s="95"/>
      <c r="D6" s="89"/>
      <c r="E6" s="89"/>
      <c r="F6" s="29"/>
      <c r="G6" s="236"/>
      <c r="H6" s="237"/>
      <c r="I6" s="237"/>
      <c r="J6" s="244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38" ht="26.25" x14ac:dyDescent="0.25">
      <c r="A7" s="300" t="s">
        <v>226</v>
      </c>
      <c r="B7" s="300"/>
      <c r="C7" s="93"/>
      <c r="D7" s="93"/>
      <c r="E7" s="5"/>
      <c r="F7" s="93"/>
      <c r="G7" s="234"/>
      <c r="H7" s="235"/>
      <c r="I7" s="235"/>
      <c r="J7" s="243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9"/>
      <c r="J8" s="243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</v>
      </c>
      <c r="C9" s="35">
        <v>0.35</v>
      </c>
      <c r="D9" s="36">
        <f t="shared" ref="D9:D18" si="0">C9*$C$5</f>
        <v>3.7239999999999998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4" t="s">
        <v>306</v>
      </c>
      <c r="I9" s="250"/>
      <c r="J9" s="243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9</v>
      </c>
      <c r="C10" s="35">
        <v>0.121</v>
      </c>
      <c r="D10" s="36">
        <f t="shared" si="0"/>
        <v>1.2874400000000001</v>
      </c>
      <c r="E10" s="37">
        <v>130</v>
      </c>
      <c r="F10" s="38" t="str">
        <f t="array" ref="F10">IF(E10="","",IF(INDEX(A:A,MAX(IF(ISNUMBER($A$62:$A$81),ROW($A$62:$A$81),"")))&lt;&gt;E10,"Corrigez : révolution incorrecte","OK"))</f>
        <v>OK</v>
      </c>
      <c r="I10" s="250"/>
      <c r="J10" s="243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21</v>
      </c>
      <c r="C11" s="35">
        <v>0.11600000000000001</v>
      </c>
      <c r="D11" s="36">
        <f t="shared" si="0"/>
        <v>1.2342400000000002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7"/>
      <c r="I11" s="250"/>
      <c r="J11" s="243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52</v>
      </c>
      <c r="C12" s="35">
        <v>0.1</v>
      </c>
      <c r="D12" s="36">
        <f t="shared" si="0"/>
        <v>1.0640000000000001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7"/>
      <c r="I12" s="250"/>
      <c r="J12" s="243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164</v>
      </c>
      <c r="C13" s="35">
        <v>8.4000000000000005E-2</v>
      </c>
      <c r="D13" s="36">
        <f t="shared" si="0"/>
        <v>0.89376000000000011</v>
      </c>
      <c r="E13" s="37">
        <v>109</v>
      </c>
      <c r="F13" s="38" t="str">
        <f t="array" ref="F13">IF(E13="","",IF(INDEX(A:A,MAX(IF(ISNUMBER($A$140:$A$159),ROW($A$140:$A$159),"")))&lt;&gt;E13,"Corrigez : révolution incorrecte","OK"))</f>
        <v>OK</v>
      </c>
      <c r="H13" s="227"/>
      <c r="I13" s="250"/>
      <c r="J13" s="243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102</v>
      </c>
      <c r="C14" s="35">
        <v>5.8000000000000003E-2</v>
      </c>
      <c r="D14" s="36">
        <f t="shared" si="0"/>
        <v>0.61712000000000011</v>
      </c>
      <c r="E14" s="37">
        <v>130</v>
      </c>
      <c r="F14" s="38" t="str">
        <f t="array" ref="F14">IF(E14="","",IF(INDEX(A:A,MAX(IF(ISNUMBER($A$166:$A$185),ROW($A$166:$A$185),"")))&lt;&gt;E14,"Corrigez : révolution incorrecte","OK"))</f>
        <v>OK</v>
      </c>
      <c r="H14" s="227"/>
      <c r="I14" s="250"/>
      <c r="J14" s="243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</v>
      </c>
      <c r="C15" s="35">
        <v>0.05</v>
      </c>
      <c r="D15" s="36">
        <f t="shared" si="0"/>
        <v>0.53200000000000003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H15" s="227"/>
      <c r="I15" s="250"/>
      <c r="J15" s="243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30</v>
      </c>
      <c r="C16" s="35">
        <v>0.05</v>
      </c>
      <c r="D16" s="36">
        <f t="shared" si="0"/>
        <v>0.53200000000000003</v>
      </c>
      <c r="E16" s="37">
        <v>80</v>
      </c>
      <c r="F16" s="38" t="str">
        <f t="array" ref="F16">IF(E16="","",IF(INDEX(A:A,MAX(IF(ISNUMBER($A$218:$A$237),ROW($A$218:$A$237),"")))&lt;&gt;E16,"Corrigez : révolution incorrecte","OK"))</f>
        <v>OK</v>
      </c>
      <c r="H16" s="227"/>
      <c r="I16" s="250"/>
      <c r="J16" s="243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8</v>
      </c>
      <c r="C17" s="35">
        <v>2.1000000000000001E-2</v>
      </c>
      <c r="D17" s="36">
        <f t="shared" si="0"/>
        <v>0.22344000000000003</v>
      </c>
      <c r="E17" s="37">
        <v>80</v>
      </c>
      <c r="F17" s="38" t="str">
        <f t="array" ref="F17">IF(E17="","",IF(INDEX(A:A,MAX(IF(ISNUMBER($A$244:$A$263),ROW($A$244:$A$263),"")))&lt;&gt;E17,"Corrigez : révolution incorrecte","OK"))</f>
        <v>OK</v>
      </c>
      <c r="H17" s="227"/>
      <c r="I17" s="250"/>
      <c r="J17" s="243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7"/>
      <c r="I18" s="250"/>
      <c r="J18" s="243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6"/>
      <c r="B19" s="39" t="s">
        <v>175</v>
      </c>
      <c r="C19" s="40">
        <f>SUM(C9:C18)</f>
        <v>0.95000000000000007</v>
      </c>
      <c r="D19" s="41">
        <f>SUM(D9:D18)</f>
        <v>10.108000000000001</v>
      </c>
      <c r="E19" s="5"/>
      <c r="F19" s="97"/>
      <c r="G19" s="238"/>
      <c r="H19" s="239"/>
      <c r="I19" s="238"/>
      <c r="J19" s="24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6"/>
      <c r="B20" s="42" t="s">
        <v>230</v>
      </c>
      <c r="C20" s="43" t="str">
        <f>IF(C19&gt;100%,"Erreur : corrigez","OK")</f>
        <v>OK</v>
      </c>
      <c r="D20" s="245"/>
      <c r="F20" s="237"/>
      <c r="G20" s="237"/>
      <c r="H20" s="239"/>
      <c r="I20" s="238"/>
      <c r="J20" s="24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0"/>
      <c r="I21" s="251"/>
      <c r="J21" s="243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9" t="s">
        <v>232</v>
      </c>
      <c r="B22" s="299"/>
      <c r="C22" s="95"/>
      <c r="H22" s="226"/>
      <c r="I22" s="244"/>
      <c r="J22" s="244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spans="1:45" x14ac:dyDescent="0.25">
      <c r="A23" s="5"/>
      <c r="B23" s="5"/>
      <c r="C23" s="5"/>
      <c r="H23" s="217"/>
      <c r="I23" s="243"/>
      <c r="J23" s="243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98"/>
      <c r="F24" s="98"/>
      <c r="G24" s="241"/>
      <c r="H24" s="227"/>
      <c r="I24" s="241"/>
      <c r="J24" s="24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99"/>
      <c r="E25" s="5"/>
      <c r="F25" s="99"/>
      <c r="G25" s="242"/>
      <c r="H25" s="227"/>
      <c r="I25" s="242"/>
      <c r="J25" s="24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98"/>
      <c r="F26" s="98"/>
      <c r="G26" s="241"/>
      <c r="I26" s="241"/>
      <c r="J26" s="241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98"/>
      <c r="F27" s="98"/>
      <c r="G27" s="241"/>
      <c r="I27" s="241"/>
      <c r="J27" s="241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3"/>
      <c r="I28" s="243"/>
      <c r="J28" s="24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3"/>
      <c r="I29" s="243"/>
      <c r="J29" s="24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1" t="s">
        <v>227</v>
      </c>
      <c r="B30" s="301"/>
      <c r="D30" s="246"/>
      <c r="H30" s="244"/>
      <c r="I30" s="244"/>
      <c r="J30" s="244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</row>
    <row r="31" spans="1:45" x14ac:dyDescent="0.25">
      <c r="A31" s="5"/>
      <c r="B31" s="5"/>
      <c r="H31" s="243"/>
      <c r="I31" s="243"/>
      <c r="J31" s="243"/>
      <c r="K31" s="246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pubescent</v>
      </c>
      <c r="D32" s="255" t="s">
        <v>307</v>
      </c>
      <c r="K32" s="24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8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0"/>
      <c r="J34" s="247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1">
        <v>42</v>
      </c>
      <c r="C36" s="61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1">
        <f>62+8</f>
        <v>70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1">
        <f>76+8+21</f>
        <v>105</v>
      </c>
      <c r="C38" s="61">
        <v>1</v>
      </c>
      <c r="D38" s="61">
        <f>8+21</f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1">
        <f>95+21</f>
        <v>116</v>
      </c>
      <c r="C39" s="61"/>
      <c r="D39" s="61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1">
        <f>116+21+21</f>
        <v>158</v>
      </c>
      <c r="C40" s="61">
        <v>2</v>
      </c>
      <c r="D40" s="61">
        <f>21+21</f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1">
        <f>137+21</f>
        <v>158</v>
      </c>
      <c r="C41" s="61"/>
      <c r="D41" s="61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1">
        <f>157+21+21</f>
        <v>199</v>
      </c>
      <c r="C42" s="61">
        <v>3</v>
      </c>
      <c r="D42" s="61">
        <f>21+21</f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1">
        <f>176+21</f>
        <v>197</v>
      </c>
      <c r="C43" s="61"/>
      <c r="D43" s="61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chevelu</v>
      </c>
      <c r="D58" s="255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8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0"/>
      <c r="J60" s="247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1">
        <f>47/1.56</f>
        <v>30.128205128205128</v>
      </c>
      <c r="C62" s="53"/>
      <c r="D62" s="61"/>
      <c r="E62" s="54"/>
      <c r="F62" s="54"/>
      <c r="G62" s="54"/>
      <c r="H62" s="54"/>
      <c r="I62" s="56">
        <f>IFERROR(B62/A62,"")</f>
        <v>2.0085470085470085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1">
        <f>(86+6)/1.56</f>
        <v>58.974358974358971</v>
      </c>
      <c r="C63" s="53">
        <v>1</v>
      </c>
      <c r="D63" s="61">
        <f>(6+10)/1.56</f>
        <v>10.256410256410255</v>
      </c>
      <c r="E63" s="54"/>
      <c r="F63" s="54"/>
      <c r="G63" s="54"/>
      <c r="H63" s="54">
        <v>1</v>
      </c>
      <c r="I63" s="52">
        <f>IF(A63&lt;&gt;0,(B63-(B62-D62))/(A63-A62),"")</f>
        <v>5.7692307692307683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1">
        <f>127/1.56</f>
        <v>81.410256410256409</v>
      </c>
      <c r="C64" s="53"/>
      <c r="D64" s="61"/>
      <c r="E64" s="54"/>
      <c r="F64" s="54"/>
      <c r="G64" s="54"/>
      <c r="H64" s="54"/>
      <c r="I64" s="52">
        <f>IF(A64&lt;&gt;0,(B64-(B63-D63))/(A64-A63),"")</f>
        <v>6.5384615384615383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1">
        <f>(167+13)/1.56</f>
        <v>115.38461538461539</v>
      </c>
      <c r="C65" s="53">
        <v>2</v>
      </c>
      <c r="D65" s="61">
        <f>(13+15)/1.56</f>
        <v>17.948717948717949</v>
      </c>
      <c r="E65" s="54"/>
      <c r="F65" s="54"/>
      <c r="G65" s="54"/>
      <c r="H65" s="54">
        <v>1</v>
      </c>
      <c r="I65" s="52">
        <f>IF(A65&lt;&gt;0,(B65-(B64-D64))/(A65-A64),"")</f>
        <v>6.7948717948717956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1">
        <f>205/1.56</f>
        <v>131.41025641025641</v>
      </c>
      <c r="C66" s="53"/>
      <c r="D66" s="61"/>
      <c r="E66" s="54"/>
      <c r="F66" s="54"/>
      <c r="G66" s="54"/>
      <c r="H66" s="54"/>
      <c r="I66" s="52">
        <f t="shared" ref="I66:I81" si="2">IF(A66&lt;&gt;0,(B66-(B65-D65))/(A66-A65),"")</f>
        <v>6.7948717948717956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1">
        <f>(239+17)/1.56</f>
        <v>164.10256410256409</v>
      </c>
      <c r="C67" s="53">
        <v>3</v>
      </c>
      <c r="D67" s="61">
        <f>(17+18)/1.56</f>
        <v>22.435897435897434</v>
      </c>
      <c r="E67" s="54"/>
      <c r="F67" s="54"/>
      <c r="G67" s="54"/>
      <c r="H67" s="54"/>
      <c r="I67" s="52">
        <f t="shared" si="2"/>
        <v>6.5384615384615357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1">
        <f>270/1.56</f>
        <v>173.07692307692307</v>
      </c>
      <c r="C68" s="53"/>
      <c r="D68" s="61"/>
      <c r="E68" s="54"/>
      <c r="F68" s="54"/>
      <c r="G68" s="54"/>
      <c r="H68" s="54"/>
      <c r="I68" s="52">
        <f t="shared" si="2"/>
        <v>6.2820512820512819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61">
        <f>(298+19)/1.56</f>
        <v>203.2051282051282</v>
      </c>
      <c r="C69" s="53">
        <v>4</v>
      </c>
      <c r="D69" s="61">
        <f>(19+19)/1.56</f>
        <v>24.358974358974358</v>
      </c>
      <c r="E69" s="54"/>
      <c r="F69" s="54"/>
      <c r="G69" s="54"/>
      <c r="H69" s="54"/>
      <c r="I69" s="52">
        <f t="shared" si="2"/>
        <v>6.0256410256410273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61">
        <f>323/1.56</f>
        <v>207.05128205128204</v>
      </c>
      <c r="C70" s="53"/>
      <c r="D70" s="61"/>
      <c r="E70" s="54"/>
      <c r="F70" s="54"/>
      <c r="G70" s="54"/>
      <c r="H70" s="54"/>
      <c r="I70" s="52">
        <f t="shared" si="2"/>
        <v>5.6410256410256405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61">
        <f>(345+19)/1.56</f>
        <v>233.33333333333331</v>
      </c>
      <c r="C71" s="53">
        <v>5</v>
      </c>
      <c r="D71" s="61">
        <f>(19+19)/1.56</f>
        <v>24.358974358974358</v>
      </c>
      <c r="E71" s="54"/>
      <c r="F71" s="54"/>
      <c r="G71" s="54"/>
      <c r="H71" s="54"/>
      <c r="I71" s="52">
        <f t="shared" si="2"/>
        <v>5.2564102564102537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61">
        <f>365/1.56</f>
        <v>233.97435897435898</v>
      </c>
      <c r="C72" s="53"/>
      <c r="D72" s="61"/>
      <c r="E72" s="54"/>
      <c r="F72" s="54"/>
      <c r="G72" s="54"/>
      <c r="H72" s="54"/>
      <c r="I72" s="52">
        <f t="shared" si="2"/>
        <v>5.0000000000000053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70</v>
      </c>
      <c r="B73" s="61">
        <f>(385+18)/1.56</f>
        <v>258.33333333333331</v>
      </c>
      <c r="C73" s="53">
        <v>6</v>
      </c>
      <c r="D73" s="61">
        <f>(18+18)/1.56</f>
        <v>23.076923076923077</v>
      </c>
      <c r="E73" s="54"/>
      <c r="F73" s="54"/>
      <c r="G73" s="54"/>
      <c r="H73" s="54"/>
      <c r="I73" s="52">
        <f t="shared" si="2"/>
        <v>4.8717948717948669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75</v>
      </c>
      <c r="B74" s="61">
        <f>402/1.56</f>
        <v>257.69230769230768</v>
      </c>
      <c r="C74" s="53"/>
      <c r="D74" s="61"/>
      <c r="E74" s="57"/>
      <c r="F74" s="57"/>
      <c r="G74" s="57"/>
      <c r="H74" s="57"/>
      <c r="I74" s="52">
        <f t="shared" si="2"/>
        <v>4.4871794871794863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80</v>
      </c>
      <c r="B75" s="61">
        <f>(418+18)/1.56</f>
        <v>279.4871794871795</v>
      </c>
      <c r="C75" s="53">
        <v>7</v>
      </c>
      <c r="D75" s="61">
        <f>(18+17)/1.56</f>
        <v>22.435897435897434</v>
      </c>
      <c r="E75" s="57"/>
      <c r="F75" s="57"/>
      <c r="G75" s="57"/>
      <c r="H75" s="57"/>
      <c r="I75" s="52">
        <f t="shared" si="2"/>
        <v>4.3589743589743648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8">
        <v>85</v>
      </c>
      <c r="B76" s="288">
        <f>432/1.56</f>
        <v>276.92307692307691</v>
      </c>
      <c r="C76" s="53"/>
      <c r="D76" s="53"/>
      <c r="E76" s="57"/>
      <c r="F76" s="57"/>
      <c r="G76" s="57"/>
      <c r="H76" s="57"/>
      <c r="I76" s="52">
        <f t="shared" si="2"/>
        <v>3.9743589743589722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8">
        <v>90</v>
      </c>
      <c r="B77" s="288">
        <f>(445+17)/1.56</f>
        <v>296.15384615384613</v>
      </c>
      <c r="C77" s="53">
        <v>8</v>
      </c>
      <c r="D77" s="53">
        <f>(17+16)/1.56</f>
        <v>21.153846153846153</v>
      </c>
      <c r="E77" s="57"/>
      <c r="F77" s="57"/>
      <c r="G77" s="57"/>
      <c r="H77" s="57"/>
      <c r="I77" s="52">
        <f t="shared" si="2"/>
        <v>3.8461538461538454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8">
        <v>100</v>
      </c>
      <c r="B78" s="288">
        <f>(467+16)/1.56</f>
        <v>309.61538461538458</v>
      </c>
      <c r="C78" s="53">
        <v>9</v>
      </c>
      <c r="D78" s="53">
        <f>(16+16)/1.56</f>
        <v>20.512820512820511</v>
      </c>
      <c r="E78" s="57"/>
      <c r="F78" s="57"/>
      <c r="G78" s="57"/>
      <c r="H78" s="57"/>
      <c r="I78" s="52">
        <f t="shared" si="2"/>
        <v>3.4615384615384586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8">
        <v>110</v>
      </c>
      <c r="B79" s="288">
        <f>(486+15)/1.56</f>
        <v>321.15384615384613</v>
      </c>
      <c r="C79" s="53">
        <v>10</v>
      </c>
      <c r="D79" s="53">
        <f>(15+15)/1.56</f>
        <v>19.23076923076923</v>
      </c>
      <c r="E79" s="57"/>
      <c r="F79" s="57"/>
      <c r="G79" s="57"/>
      <c r="H79" s="57"/>
      <c r="I79" s="52">
        <f t="shared" si="2"/>
        <v>3.2051282051282044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8">
        <v>120</v>
      </c>
      <c r="B80" s="288">
        <f>(502+14)/1.56</f>
        <v>330.76923076923077</v>
      </c>
      <c r="C80" s="53">
        <v>11</v>
      </c>
      <c r="D80" s="53">
        <f>(14+14)/1.56</f>
        <v>17.948717948717949</v>
      </c>
      <c r="E80" s="57"/>
      <c r="F80" s="57"/>
      <c r="G80" s="57"/>
      <c r="H80" s="57"/>
      <c r="I80" s="52">
        <f t="shared" si="2"/>
        <v>2.8846153846153868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8">
        <v>130</v>
      </c>
      <c r="B81" s="288">
        <f>(516+13)/1.56</f>
        <v>339.10256410256409</v>
      </c>
      <c r="C81" s="53">
        <v>12</v>
      </c>
      <c r="D81" s="289">
        <f>B81</f>
        <v>339.10256410256409</v>
      </c>
      <c r="E81" s="57"/>
      <c r="F81" s="57"/>
      <c r="G81" s="57"/>
      <c r="H81" s="57"/>
      <c r="I81" s="52">
        <f t="shared" si="2"/>
        <v>2.6282051282051269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Erable champêtre</v>
      </c>
      <c r="D84" s="255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1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8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0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1">
        <f>22.3+15.1</f>
        <v>37.4</v>
      </c>
      <c r="C88" s="61"/>
      <c r="D88" s="61"/>
      <c r="E88" s="54"/>
      <c r="F88" s="54"/>
      <c r="G88" s="54"/>
      <c r="H88" s="54"/>
      <c r="I88" s="56">
        <f>IFERROR(B88/A88,"")</f>
        <v>2.4933333333333332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1">
        <f>52+15.1+28</f>
        <v>95.1</v>
      </c>
      <c r="C89" s="61">
        <v>1</v>
      </c>
      <c r="D89" s="61">
        <f>15.1+28</f>
        <v>43.1</v>
      </c>
      <c r="E89" s="54"/>
      <c r="F89" s="54"/>
      <c r="G89" s="54"/>
      <c r="H89" s="54">
        <v>1</v>
      </c>
      <c r="I89" s="56">
        <f t="shared" ref="I89:I107" si="3">IF(A89&lt;&gt;0,(B89-(B88-D88))/(A89-A88),"")</f>
        <v>11.54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1">
        <f>86.5+28</f>
        <v>114.5</v>
      </c>
      <c r="C90" s="61"/>
      <c r="D90" s="61"/>
      <c r="E90" s="54"/>
      <c r="F90" s="54"/>
      <c r="G90" s="54"/>
      <c r="H90" s="54"/>
      <c r="I90" s="56">
        <f t="shared" si="3"/>
        <v>12.500000000000002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1">
        <f>118.5+28+28</f>
        <v>174.5</v>
      </c>
      <c r="C91" s="61">
        <v>2</v>
      </c>
      <c r="D91" s="61">
        <f>28+28</f>
        <v>56</v>
      </c>
      <c r="E91" s="54"/>
      <c r="F91" s="54"/>
      <c r="G91" s="54"/>
      <c r="H91" s="54">
        <v>1</v>
      </c>
      <c r="I91" s="56">
        <f t="shared" si="3"/>
        <v>12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1">
        <f>144.4+28</f>
        <v>172.4</v>
      </c>
      <c r="C92" s="61"/>
      <c r="D92" s="61"/>
      <c r="E92" s="54"/>
      <c r="F92" s="54"/>
      <c r="G92" s="54"/>
      <c r="H92" s="54"/>
      <c r="I92" s="56">
        <f t="shared" si="3"/>
        <v>10.780000000000001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1">
        <f>163.6+28+28</f>
        <v>219.6</v>
      </c>
      <c r="C93" s="61">
        <v>3</v>
      </c>
      <c r="D93" s="61">
        <f>28+28</f>
        <v>56</v>
      </c>
      <c r="E93" s="54"/>
      <c r="F93" s="54"/>
      <c r="G93" s="54"/>
      <c r="H93" s="54"/>
      <c r="I93" s="56">
        <f t="shared" si="3"/>
        <v>9.4399999999999977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61">
        <v>45</v>
      </c>
      <c r="B94" s="61">
        <f>182.8+21.8</f>
        <v>204.60000000000002</v>
      </c>
      <c r="C94" s="61"/>
      <c r="D94" s="61"/>
      <c r="E94" s="54"/>
      <c r="F94" s="54"/>
      <c r="G94" s="54"/>
      <c r="H94" s="54"/>
      <c r="I94" s="56">
        <f t="shared" si="3"/>
        <v>8.2000000000000064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1">
        <v>50</v>
      </c>
      <c r="B95" s="61">
        <f>201.9+21.8+16.5</f>
        <v>240.20000000000002</v>
      </c>
      <c r="C95" s="61">
        <v>4</v>
      </c>
      <c r="D95" s="61">
        <f>21.8+16.5</f>
        <v>38.299999999999997</v>
      </c>
      <c r="E95" s="54"/>
      <c r="F95" s="54"/>
      <c r="G95" s="54"/>
      <c r="H95" s="54"/>
      <c r="I95" s="56">
        <f t="shared" si="3"/>
        <v>7.1199999999999992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1">
        <v>55</v>
      </c>
      <c r="B96" s="61">
        <f>219.1+13.4</f>
        <v>232.5</v>
      </c>
      <c r="C96" s="61"/>
      <c r="D96" s="61"/>
      <c r="E96" s="54"/>
      <c r="F96" s="54"/>
      <c r="G96" s="54"/>
      <c r="H96" s="54"/>
      <c r="I96" s="56">
        <f t="shared" si="3"/>
        <v>6.119999999999993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1">
        <v>60</v>
      </c>
      <c r="B97" s="61">
        <f>233.1+13.4+11.8</f>
        <v>258.3</v>
      </c>
      <c r="C97" s="61">
        <v>5</v>
      </c>
      <c r="D97" s="61">
        <f>13.4+11.8</f>
        <v>25.200000000000003</v>
      </c>
      <c r="E97" s="54"/>
      <c r="F97" s="54"/>
      <c r="G97" s="54"/>
      <c r="H97" s="54"/>
      <c r="I97" s="56">
        <f t="shared" si="3"/>
        <v>5.1600000000000019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1">
        <v>65</v>
      </c>
      <c r="B98" s="61">
        <f>243.9+10.9</f>
        <v>254.8</v>
      </c>
      <c r="C98" s="61"/>
      <c r="D98" s="61"/>
      <c r="E98" s="54"/>
      <c r="F98" s="54"/>
      <c r="G98" s="54"/>
      <c r="H98" s="54"/>
      <c r="I98" s="56">
        <f t="shared" si="3"/>
        <v>4.3399999999999981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1">
        <v>70</v>
      </c>
      <c r="B99" s="61">
        <f>252.7+10.9+10</f>
        <v>273.59999999999997</v>
      </c>
      <c r="C99" s="61">
        <v>6</v>
      </c>
      <c r="D99" s="61">
        <f>10.9+10</f>
        <v>20.9</v>
      </c>
      <c r="E99" s="54"/>
      <c r="F99" s="54"/>
      <c r="G99" s="54"/>
      <c r="H99" s="54"/>
      <c r="I99" s="56">
        <f t="shared" si="3"/>
        <v>3.7599999999999909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1">
        <v>75</v>
      </c>
      <c r="B100" s="61">
        <f>260.6+9.1</f>
        <v>269.70000000000005</v>
      </c>
      <c r="C100" s="61"/>
      <c r="D100" s="61"/>
      <c r="E100" s="54"/>
      <c r="F100" s="54"/>
      <c r="G100" s="54"/>
      <c r="H100" s="54"/>
      <c r="I100" s="56">
        <f t="shared" si="3"/>
        <v>3.4000000000000172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1">
        <v>80</v>
      </c>
      <c r="B101" s="61">
        <f>267.3+9.1+8.2</f>
        <v>284.60000000000002</v>
      </c>
      <c r="C101" s="61">
        <v>7</v>
      </c>
      <c r="D101" s="61">
        <f>B101</f>
        <v>284.60000000000002</v>
      </c>
      <c r="E101" s="54"/>
      <c r="F101" s="54"/>
      <c r="G101" s="54"/>
      <c r="H101" s="54"/>
      <c r="I101" s="56">
        <f t="shared" si="3"/>
        <v>2.9799999999999955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1"/>
      <c r="B102" s="53"/>
      <c r="C102" s="61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1"/>
      <c r="B103" s="53"/>
      <c r="C103" s="61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1"/>
      <c r="B104" s="53"/>
      <c r="C104" s="61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Cormier</v>
      </c>
      <c r="D110" s="255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8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0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1">
        <v>42</v>
      </c>
      <c r="C114" s="61"/>
      <c r="D114" s="61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1">
        <f>62+8</f>
        <v>70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1">
        <f>76+8+21</f>
        <v>105</v>
      </c>
      <c r="C116" s="61">
        <v>1</v>
      </c>
      <c r="D116" s="61">
        <f>8+21</f>
        <v>29</v>
      </c>
      <c r="E116" s="54"/>
      <c r="F116" s="54"/>
      <c r="G116" s="54"/>
      <c r="H116" s="54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1">
        <f>95+21</f>
        <v>116</v>
      </c>
      <c r="C117" s="61"/>
      <c r="D117" s="61"/>
      <c r="E117" s="54"/>
      <c r="F117" s="54"/>
      <c r="G117" s="54"/>
      <c r="H117" s="54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1">
        <f>116+21+21</f>
        <v>158</v>
      </c>
      <c r="C118" s="61">
        <v>2</v>
      </c>
      <c r="D118" s="61">
        <f>21+21</f>
        <v>42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1">
        <f>137+21</f>
        <v>158</v>
      </c>
      <c r="C119" s="61"/>
      <c r="D119" s="61"/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1">
        <f>157+21+21</f>
        <v>199</v>
      </c>
      <c r="C120" s="61">
        <v>3</v>
      </c>
      <c r="D120" s="61">
        <f>21+21</f>
        <v>42</v>
      </c>
      <c r="E120" s="54"/>
      <c r="F120" s="54"/>
      <c r="G120" s="54"/>
      <c r="H120" s="54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55</v>
      </c>
      <c r="B121" s="61">
        <f>176+21</f>
        <v>197</v>
      </c>
      <c r="C121" s="61"/>
      <c r="D121" s="61"/>
      <c r="E121" s="54"/>
      <c r="F121" s="54"/>
      <c r="G121" s="54"/>
      <c r="H121" s="54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60</v>
      </c>
      <c r="B122" s="53">
        <v>235</v>
      </c>
      <c r="C122" s="53">
        <v>4</v>
      </c>
      <c r="D122" s="53">
        <v>42</v>
      </c>
      <c r="E122" s="54"/>
      <c r="F122" s="54"/>
      <c r="G122" s="54"/>
      <c r="H122" s="54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65</v>
      </c>
      <c r="B123" s="53">
        <v>229</v>
      </c>
      <c r="C123" s="53"/>
      <c r="D123" s="53"/>
      <c r="E123" s="54"/>
      <c r="F123" s="54"/>
      <c r="G123" s="54"/>
      <c r="H123" s="54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70</v>
      </c>
      <c r="B124" s="53">
        <v>263</v>
      </c>
      <c r="C124" s="53">
        <v>5</v>
      </c>
      <c r="D124" s="53">
        <v>42</v>
      </c>
      <c r="E124" s="54"/>
      <c r="F124" s="54"/>
      <c r="G124" s="54"/>
      <c r="H124" s="54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75</v>
      </c>
      <c r="B125" s="53">
        <v>252</v>
      </c>
      <c r="C125" s="53"/>
      <c r="D125" s="53"/>
      <c r="E125" s="54"/>
      <c r="F125" s="54"/>
      <c r="G125" s="54"/>
      <c r="H125" s="54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80</v>
      </c>
      <c r="B126" s="53">
        <v>282</v>
      </c>
      <c r="C126" s="53">
        <v>6</v>
      </c>
      <c r="D126" s="53">
        <v>42</v>
      </c>
      <c r="E126" s="54"/>
      <c r="F126" s="54"/>
      <c r="G126" s="54"/>
      <c r="H126" s="54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90</v>
      </c>
      <c r="B127" s="53">
        <v>296</v>
      </c>
      <c r="C127" s="53">
        <v>7</v>
      </c>
      <c r="D127" s="53">
        <v>42</v>
      </c>
      <c r="E127" s="54"/>
      <c r="F127" s="54"/>
      <c r="G127" s="54"/>
      <c r="H127" s="54"/>
      <c r="I127" s="56">
        <f t="shared" si="4"/>
        <v>5.6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100</v>
      </c>
      <c r="B128" s="53">
        <v>303</v>
      </c>
      <c r="C128" s="53">
        <v>8</v>
      </c>
      <c r="D128" s="53">
        <v>42</v>
      </c>
      <c r="E128" s="54"/>
      <c r="F128" s="54"/>
      <c r="G128" s="54"/>
      <c r="H128" s="54"/>
      <c r="I128" s="56">
        <f t="shared" si="4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110</v>
      </c>
      <c r="B129" s="53">
        <v>305</v>
      </c>
      <c r="C129" s="53">
        <v>9</v>
      </c>
      <c r="D129" s="53">
        <v>39</v>
      </c>
      <c r="E129" s="54"/>
      <c r="F129" s="54"/>
      <c r="G129" s="54"/>
      <c r="H129" s="54"/>
      <c r="I129" s="56">
        <f t="shared" si="4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120</v>
      </c>
      <c r="B130" s="53">
        <v>303</v>
      </c>
      <c r="C130" s="53">
        <v>10</v>
      </c>
      <c r="D130" s="53">
        <v>35</v>
      </c>
      <c r="E130" s="54"/>
      <c r="F130" s="54"/>
      <c r="G130" s="54"/>
      <c r="H130" s="54"/>
      <c r="I130" s="56">
        <f t="shared" si="4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130</v>
      </c>
      <c r="B131" s="53">
        <v>300</v>
      </c>
      <c r="C131" s="53">
        <v>11</v>
      </c>
      <c r="D131" s="53">
        <v>31</v>
      </c>
      <c r="E131" s="54"/>
      <c r="F131" s="54"/>
      <c r="G131" s="54"/>
      <c r="H131" s="54"/>
      <c r="I131" s="56">
        <f t="shared" si="4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140</v>
      </c>
      <c r="B132" s="53">
        <v>296</v>
      </c>
      <c r="C132" s="53">
        <v>12</v>
      </c>
      <c r="D132" s="53">
        <v>27</v>
      </c>
      <c r="E132" s="54"/>
      <c r="F132" s="54"/>
      <c r="G132" s="54"/>
      <c r="H132" s="54"/>
      <c r="I132" s="56">
        <f t="shared" si="4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150</v>
      </c>
      <c r="B133" s="53">
        <v>293</v>
      </c>
      <c r="C133" s="53">
        <v>13</v>
      </c>
      <c r="D133" s="53">
        <v>293</v>
      </c>
      <c r="E133" s="54"/>
      <c r="F133" s="54"/>
      <c r="G133" s="54"/>
      <c r="H133" s="54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Cèdre de l'Atlas</v>
      </c>
      <c r="D136" s="255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1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8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0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30</v>
      </c>
      <c r="B140" s="61">
        <f>134.26/1.3</f>
        <v>103.27692307692307</v>
      </c>
      <c r="C140" s="61"/>
      <c r="D140" s="61"/>
      <c r="E140" s="54"/>
      <c r="F140" s="54"/>
      <c r="G140" s="54"/>
      <c r="H140" s="54">
        <v>1</v>
      </c>
      <c r="I140" s="59">
        <f>IFERROR(B140/A140,"")</f>
        <v>3.4425641025641025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35</v>
      </c>
      <c r="B141" s="61">
        <f>192.26/1.3</f>
        <v>147.89230769230767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8.9230769230769198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40</v>
      </c>
      <c r="B142" s="61">
        <f>257.14/1.3</f>
        <v>197.79999999999998</v>
      </c>
      <c r="C142" s="61"/>
      <c r="D142" s="61"/>
      <c r="E142" s="54"/>
      <c r="F142" s="54"/>
      <c r="G142" s="54"/>
      <c r="H142" s="54"/>
      <c r="I142" s="59">
        <f t="shared" si="5"/>
        <v>9.981538461538463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45</v>
      </c>
      <c r="B143" s="61">
        <f>327.79/1.3</f>
        <v>252.14615384615385</v>
      </c>
      <c r="C143" s="61"/>
      <c r="D143" s="61"/>
      <c r="E143" s="54"/>
      <c r="F143" s="54"/>
      <c r="G143" s="54"/>
      <c r="H143" s="54"/>
      <c r="I143" s="59">
        <f t="shared" si="5"/>
        <v>10.869230769230773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51</v>
      </c>
      <c r="B144" s="61">
        <f>418.39/1.3</f>
        <v>321.8384615384615</v>
      </c>
      <c r="C144" s="61">
        <v>1</v>
      </c>
      <c r="D144" s="61">
        <f>130.4/1.3</f>
        <v>100.30769230769231</v>
      </c>
      <c r="E144" s="54"/>
      <c r="F144" s="54"/>
      <c r="G144" s="54"/>
      <c r="H144" s="54"/>
      <c r="I144" s="59">
        <f t="shared" si="5"/>
        <v>11.615384615384608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57</v>
      </c>
      <c r="B145" s="61">
        <f>370.22/1.3</f>
        <v>284.78461538461539</v>
      </c>
      <c r="C145" s="61"/>
      <c r="D145" s="61"/>
      <c r="E145" s="54"/>
      <c r="F145" s="54"/>
      <c r="G145" s="54"/>
      <c r="H145" s="54"/>
      <c r="I145" s="59">
        <f t="shared" si="5"/>
        <v>10.542307692307702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63</v>
      </c>
      <c r="B146" s="61">
        <f>455.9/1.3</f>
        <v>350.69230769230768</v>
      </c>
      <c r="C146" s="61">
        <v>2</v>
      </c>
      <c r="D146" s="61">
        <f>140.51/1.3</f>
        <v>108.08461538461538</v>
      </c>
      <c r="E146" s="54"/>
      <c r="F146" s="54"/>
      <c r="G146" s="54"/>
      <c r="H146" s="54"/>
      <c r="I146" s="59">
        <f t="shared" si="5"/>
        <v>10.984615384615381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279">
        <v>69</v>
      </c>
      <c r="B147" s="61">
        <f>390.97/1.3</f>
        <v>300.74615384615385</v>
      </c>
      <c r="C147" s="61"/>
      <c r="D147" s="61"/>
      <c r="E147" s="54"/>
      <c r="F147" s="54"/>
      <c r="G147" s="54"/>
      <c r="H147" s="54"/>
      <c r="I147" s="59">
        <f>IF(A147&lt;&gt;0,(B147-(B146-D146))/(A147-A146),"")</f>
        <v>9.6897435897435908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279">
        <v>75</v>
      </c>
      <c r="B148" s="61">
        <f>468.62/1.3</f>
        <v>360.47692307692307</v>
      </c>
      <c r="C148" s="61">
        <v>3</v>
      </c>
      <c r="D148" s="61">
        <f>110.97/1.3</f>
        <v>85.361538461538458</v>
      </c>
      <c r="E148" s="54"/>
      <c r="F148" s="54"/>
      <c r="G148" s="54"/>
      <c r="H148" s="54"/>
      <c r="I148" s="59">
        <f t="shared" si="5"/>
        <v>9.9551282051282044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279">
        <v>81</v>
      </c>
      <c r="B149" s="61">
        <f>427.32/1.3</f>
        <v>328.7076923076923</v>
      </c>
      <c r="C149" s="61"/>
      <c r="D149" s="61"/>
      <c r="E149" s="54"/>
      <c r="F149" s="54"/>
      <c r="G149" s="54"/>
      <c r="H149" s="54"/>
      <c r="I149" s="59">
        <f t="shared" si="5"/>
        <v>8.9320512820512761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279">
        <v>87</v>
      </c>
      <c r="B150" s="61">
        <f>498.08/1.3</f>
        <v>383.13846153846151</v>
      </c>
      <c r="C150" s="61">
        <v>4</v>
      </c>
      <c r="D150" s="61">
        <f>107.82/1.3</f>
        <v>82.938461538461524</v>
      </c>
      <c r="E150" s="54"/>
      <c r="F150" s="54"/>
      <c r="G150" s="54"/>
      <c r="H150" s="54"/>
      <c r="I150" s="59">
        <f t="shared" si="5"/>
        <v>9.0717948717948698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279">
        <v>93</v>
      </c>
      <c r="B151" s="61">
        <f>453.6/1.3</f>
        <v>348.92307692307691</v>
      </c>
      <c r="C151" s="61"/>
      <c r="D151" s="61"/>
      <c r="E151" s="54"/>
      <c r="F151" s="54"/>
      <c r="G151" s="54"/>
      <c r="H151" s="54"/>
      <c r="I151" s="59">
        <f t="shared" si="5"/>
        <v>8.1205128205128201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279">
        <v>99</v>
      </c>
      <c r="B152" s="61">
        <f>517.23/1.3</f>
        <v>397.8692307692308</v>
      </c>
      <c r="C152" s="61">
        <v>5</v>
      </c>
      <c r="D152" s="61">
        <f>257.82/1.3</f>
        <v>198.32307692307691</v>
      </c>
      <c r="E152" s="54"/>
      <c r="F152" s="54"/>
      <c r="G152" s="54"/>
      <c r="H152" s="54"/>
      <c r="I152" s="59">
        <f t="shared" si="5"/>
        <v>8.1576923076923151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279">
        <v>104</v>
      </c>
      <c r="B153" s="61">
        <f>297.43/1.3</f>
        <v>228.7923076923077</v>
      </c>
      <c r="C153" s="61"/>
      <c r="D153" s="61"/>
      <c r="E153" s="54"/>
      <c r="F153" s="54"/>
      <c r="G153" s="54"/>
      <c r="H153" s="54"/>
      <c r="I153" s="59">
        <f t="shared" si="5"/>
        <v>5.849230769230763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279">
        <v>109</v>
      </c>
      <c r="B154" s="53">
        <v>256.09230769230771</v>
      </c>
      <c r="C154" s="53">
        <v>6</v>
      </c>
      <c r="D154" s="53">
        <v>256.09230769230771</v>
      </c>
      <c r="E154" s="54"/>
      <c r="F154" s="54"/>
      <c r="G154" s="54"/>
      <c r="H154" s="54"/>
      <c r="I154" s="59">
        <f t="shared" si="5"/>
        <v>5.4600000000000026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/>
      <c r="B155" s="53"/>
      <c r="C155" s="53"/>
      <c r="D155" s="53"/>
      <c r="E155" s="54"/>
      <c r="F155" s="54"/>
      <c r="G155" s="54"/>
      <c r="H155" s="54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/>
      <c r="B156" s="53"/>
      <c r="C156" s="53"/>
      <c r="D156" s="53"/>
      <c r="E156" s="54"/>
      <c r="F156" s="54"/>
      <c r="G156" s="54"/>
      <c r="H156" s="54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/>
      <c r="B157" s="53"/>
      <c r="C157" s="53"/>
      <c r="D157" s="53"/>
      <c r="E157" s="54"/>
      <c r="F157" s="54"/>
      <c r="G157" s="54"/>
      <c r="H157" s="54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/>
      <c r="B158" s="53"/>
      <c r="C158" s="53"/>
      <c r="D158" s="53"/>
      <c r="E158" s="54"/>
      <c r="F158" s="54"/>
      <c r="G158" s="54"/>
      <c r="H158" s="54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/>
      <c r="B159" s="53"/>
      <c r="C159" s="53"/>
      <c r="D159" s="53"/>
      <c r="E159" s="54"/>
      <c r="F159" s="54"/>
      <c r="G159" s="54"/>
      <c r="H159" s="54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Micocoulier de Provence</v>
      </c>
      <c r="D162" s="255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1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8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0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1">
        <f>57/1.56</f>
        <v>36.53846153846154</v>
      </c>
      <c r="C166" s="61"/>
      <c r="D166" s="61"/>
      <c r="E166" s="54"/>
      <c r="F166" s="54"/>
      <c r="G166" s="54"/>
      <c r="H166" s="54"/>
      <c r="I166" s="52">
        <f>IFERROR(B166/A166,"")</f>
        <v>1.8269230769230771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61">
        <f>(87+7)/1.56</f>
        <v>60.256410256410255</v>
      </c>
      <c r="C167" s="61"/>
      <c r="D167" s="61"/>
      <c r="E167" s="54"/>
      <c r="F167" s="54"/>
      <c r="G167" s="54"/>
      <c r="H167" s="54"/>
      <c r="I167" s="52">
        <f t="shared" ref="I167:I185" si="6">IF(A167&lt;&gt;0,(B167-(B166-D166))/(A167-A166),"")</f>
        <v>4.7435897435897427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61">
        <f>(117+7+9)/1.56</f>
        <v>85.256410256410248</v>
      </c>
      <c r="C168" s="61">
        <v>1</v>
      </c>
      <c r="D168" s="61">
        <f>(7+9+11)/1.56</f>
        <v>17.307692307692307</v>
      </c>
      <c r="E168" s="54"/>
      <c r="F168" s="54"/>
      <c r="G168" s="54"/>
      <c r="H168" s="54">
        <v>1</v>
      </c>
      <c r="I168" s="52">
        <f t="shared" si="6"/>
        <v>4.9999999999999982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61">
        <f>146/1.56</f>
        <v>93.589743589743591</v>
      </c>
      <c r="C169" s="61"/>
      <c r="D169" s="61"/>
      <c r="E169" s="54"/>
      <c r="F169" s="54"/>
      <c r="G169" s="54"/>
      <c r="H169" s="54"/>
      <c r="I169" s="52">
        <f t="shared" si="6"/>
        <v>5.1282051282051295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61">
        <f>(173+13)/1.56</f>
        <v>119.23076923076923</v>
      </c>
      <c r="C170" s="61">
        <v>2</v>
      </c>
      <c r="D170" s="61">
        <f>(13+14)/1.56</f>
        <v>17.307692307692307</v>
      </c>
      <c r="E170" s="54"/>
      <c r="F170" s="54"/>
      <c r="G170" s="54"/>
      <c r="H170" s="54"/>
      <c r="I170" s="52">
        <f t="shared" si="6"/>
        <v>5.1282051282051269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61">
        <f>197/1.56</f>
        <v>126.28205128205128</v>
      </c>
      <c r="C171" s="61"/>
      <c r="D171" s="61"/>
      <c r="E171" s="54"/>
      <c r="F171" s="54"/>
      <c r="G171" s="54"/>
      <c r="H171" s="54"/>
      <c r="I171" s="52">
        <f t="shared" si="6"/>
        <v>4.8717948717948731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1">
        <f>(219+14)/1.56</f>
        <v>149.35897435897436</v>
      </c>
      <c r="C172" s="61">
        <v>3</v>
      </c>
      <c r="D172" s="61">
        <f>(14+15)/1.56</f>
        <v>18.589743589743588</v>
      </c>
      <c r="E172" s="54"/>
      <c r="F172" s="54"/>
      <c r="G172" s="54"/>
      <c r="H172" s="54"/>
      <c r="I172" s="52">
        <f t="shared" si="6"/>
        <v>4.6153846153846159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55</v>
      </c>
      <c r="B173" s="61">
        <f>239/1.56</f>
        <v>153.2051282051282</v>
      </c>
      <c r="C173" s="61"/>
      <c r="D173" s="61"/>
      <c r="E173" s="54"/>
      <c r="F173" s="54"/>
      <c r="G173" s="54"/>
      <c r="H173" s="54"/>
      <c r="I173" s="52">
        <f t="shared" si="6"/>
        <v>4.4871794871794863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60</v>
      </c>
      <c r="B174" s="53">
        <f>(257+15)/1.56</f>
        <v>174.35897435897436</v>
      </c>
      <c r="C174" s="53">
        <v>4</v>
      </c>
      <c r="D174" s="53">
        <f>(15+15)/1.56</f>
        <v>19.23076923076923</v>
      </c>
      <c r="E174" s="54"/>
      <c r="F174" s="54"/>
      <c r="G174" s="54"/>
      <c r="H174" s="54"/>
      <c r="I174" s="52">
        <f t="shared" si="6"/>
        <v>4.2307692307692317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65</v>
      </c>
      <c r="B175" s="53">
        <f>273/1.56</f>
        <v>175</v>
      </c>
      <c r="C175" s="53"/>
      <c r="D175" s="53"/>
      <c r="E175" s="54"/>
      <c r="F175" s="54"/>
      <c r="G175" s="54"/>
      <c r="H175" s="54"/>
      <c r="I175" s="52">
        <f t="shared" si="6"/>
        <v>3.9743589743589722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70</v>
      </c>
      <c r="B176" s="53">
        <f>(288+15)/1.56</f>
        <v>194.23076923076923</v>
      </c>
      <c r="C176" s="53">
        <v>5</v>
      </c>
      <c r="D176" s="53">
        <f>(15+14)/1.56</f>
        <v>18.589743589743588</v>
      </c>
      <c r="E176" s="54"/>
      <c r="F176" s="54"/>
      <c r="G176" s="54"/>
      <c r="H176" s="54"/>
      <c r="I176" s="52">
        <f t="shared" si="6"/>
        <v>3.8461538461538454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75</v>
      </c>
      <c r="B177" s="53">
        <f>301/1.56</f>
        <v>192.94871794871796</v>
      </c>
      <c r="C177" s="53"/>
      <c r="D177" s="53"/>
      <c r="E177" s="54"/>
      <c r="F177" s="54"/>
      <c r="G177" s="54"/>
      <c r="H177" s="54"/>
      <c r="I177" s="52">
        <f t="shared" si="6"/>
        <v>3.4615384615384643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80</v>
      </c>
      <c r="B178" s="53">
        <f>(313+14)/1.56</f>
        <v>209.61538461538461</v>
      </c>
      <c r="C178" s="53">
        <v>6</v>
      </c>
      <c r="D178" s="53">
        <f>(14+14)/1.56</f>
        <v>17.948717948717949</v>
      </c>
      <c r="E178" s="54"/>
      <c r="F178" s="54"/>
      <c r="G178" s="54"/>
      <c r="H178" s="54"/>
      <c r="I178" s="52">
        <f t="shared" si="6"/>
        <v>3.3333333333333313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85</v>
      </c>
      <c r="B179" s="53">
        <f>324/1.56</f>
        <v>207.69230769230768</v>
      </c>
      <c r="C179" s="53"/>
      <c r="D179" s="53"/>
      <c r="E179" s="54"/>
      <c r="F179" s="54"/>
      <c r="G179" s="54"/>
      <c r="H179" s="54"/>
      <c r="I179" s="52">
        <f t="shared" si="6"/>
        <v>3.2051282051282044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90</v>
      </c>
      <c r="B180" s="53">
        <f>(334+13)/1.56</f>
        <v>222.43589743589743</v>
      </c>
      <c r="C180" s="53">
        <v>7</v>
      </c>
      <c r="D180" s="53">
        <f>(13+13)/1.56</f>
        <v>16.666666666666668</v>
      </c>
      <c r="E180" s="54"/>
      <c r="F180" s="54"/>
      <c r="G180" s="54"/>
      <c r="H180" s="54"/>
      <c r="I180" s="52">
        <f t="shared" si="6"/>
        <v>2.9487179487179502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95</v>
      </c>
      <c r="B181" s="53">
        <f>344/1.56</f>
        <v>220.5128205128205</v>
      </c>
      <c r="C181" s="53"/>
      <c r="D181" s="53"/>
      <c r="E181" s="54"/>
      <c r="F181" s="54"/>
      <c r="G181" s="54"/>
      <c r="H181" s="54"/>
      <c r="I181" s="52">
        <f t="shared" si="6"/>
        <v>2.9487179487179445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100</v>
      </c>
      <c r="B182" s="53">
        <f>(352+13)/1.56</f>
        <v>233.97435897435898</v>
      </c>
      <c r="C182" s="53">
        <v>8</v>
      </c>
      <c r="D182" s="53">
        <f>(13+12)/1.56</f>
        <v>16.025641025641026</v>
      </c>
      <c r="E182" s="54"/>
      <c r="F182" s="54"/>
      <c r="G182" s="54"/>
      <c r="H182" s="54"/>
      <c r="I182" s="52">
        <f t="shared" si="6"/>
        <v>2.6923076923076961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110</v>
      </c>
      <c r="B183" s="53">
        <f>(368+11)/1.56</f>
        <v>242.94871794871793</v>
      </c>
      <c r="C183" s="53">
        <v>9</v>
      </c>
      <c r="D183" s="53">
        <f>(11+11)/1.56</f>
        <v>14.102564102564102</v>
      </c>
      <c r="E183" s="54"/>
      <c r="F183" s="54"/>
      <c r="G183" s="54"/>
      <c r="H183" s="54"/>
      <c r="I183" s="52">
        <f t="shared" si="6"/>
        <v>2.4999999999999973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120</v>
      </c>
      <c r="B184" s="53">
        <f>(382+11)/1.56</f>
        <v>251.92307692307691</v>
      </c>
      <c r="C184" s="53">
        <v>10</v>
      </c>
      <c r="D184" s="53">
        <f>(11+10)/1.56</f>
        <v>13.461538461538462</v>
      </c>
      <c r="E184" s="54"/>
      <c r="F184" s="54"/>
      <c r="G184" s="54"/>
      <c r="H184" s="54"/>
      <c r="I184" s="52">
        <f t="shared" si="6"/>
        <v>2.3076923076923093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130</v>
      </c>
      <c r="B185" s="53">
        <f>(394+10)/1.56</f>
        <v>258.97435897435895</v>
      </c>
      <c r="C185" s="53">
        <v>11</v>
      </c>
      <c r="D185" s="53">
        <f>B185</f>
        <v>258.97435897435895</v>
      </c>
      <c r="E185" s="54"/>
      <c r="F185" s="54"/>
      <c r="G185" s="54"/>
      <c r="H185" s="54"/>
      <c r="I185" s="52">
        <f t="shared" si="6"/>
        <v>2.0512820512820498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Alisier torminal</v>
      </c>
      <c r="D188" s="255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1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8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0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61">
        <v>42</v>
      </c>
      <c r="C192" s="61"/>
      <c r="D192" s="61"/>
      <c r="E192" s="54"/>
      <c r="F192" s="54"/>
      <c r="G192" s="54"/>
      <c r="H192" s="54"/>
      <c r="I192" s="52">
        <f>IFERROR(B192/A192,"")</f>
        <v>2.1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61">
        <f>62+8</f>
        <v>70</v>
      </c>
      <c r="C193" s="61"/>
      <c r="D193" s="61"/>
      <c r="E193" s="54"/>
      <c r="F193" s="54"/>
      <c r="G193" s="54"/>
      <c r="H193" s="54"/>
      <c r="I193" s="52">
        <f t="shared" ref="I193:I211" si="7">IF(A193&lt;&gt;0,(B193-(B192-D192))/(A193-A192),"")</f>
        <v>5.6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61">
        <f>76+8+21</f>
        <v>105</v>
      </c>
      <c r="C194" s="61">
        <v>1</v>
      </c>
      <c r="D194" s="61">
        <f>8+21</f>
        <v>29</v>
      </c>
      <c r="E194" s="54"/>
      <c r="F194" s="54"/>
      <c r="G194" s="54"/>
      <c r="H194" s="54">
        <v>1</v>
      </c>
      <c r="I194" s="52">
        <f t="shared" si="7"/>
        <v>7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35</v>
      </c>
      <c r="B195" s="61">
        <f>95+21</f>
        <v>116</v>
      </c>
      <c r="C195" s="61"/>
      <c r="D195" s="61"/>
      <c r="E195" s="54"/>
      <c r="F195" s="54"/>
      <c r="G195" s="54"/>
      <c r="H195" s="54"/>
      <c r="I195" s="52">
        <f t="shared" si="7"/>
        <v>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40</v>
      </c>
      <c r="B196" s="61">
        <f>116+21+21</f>
        <v>158</v>
      </c>
      <c r="C196" s="61">
        <v>2</v>
      </c>
      <c r="D196" s="61">
        <f>21+21</f>
        <v>42</v>
      </c>
      <c r="E196" s="54"/>
      <c r="F196" s="54"/>
      <c r="G196" s="54"/>
      <c r="H196" s="54"/>
      <c r="I196" s="52">
        <f t="shared" si="7"/>
        <v>8.4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45</v>
      </c>
      <c r="B197" s="61">
        <f>137+21</f>
        <v>158</v>
      </c>
      <c r="C197" s="61"/>
      <c r="D197" s="61"/>
      <c r="E197" s="54"/>
      <c r="F197" s="54"/>
      <c r="G197" s="54"/>
      <c r="H197" s="54"/>
      <c r="I197" s="52">
        <f t="shared" si="7"/>
        <v>8.4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50</v>
      </c>
      <c r="B198" s="61">
        <f>157+21+21</f>
        <v>199</v>
      </c>
      <c r="C198" s="61">
        <v>3</v>
      </c>
      <c r="D198" s="61">
        <f>21+21</f>
        <v>42</v>
      </c>
      <c r="E198" s="54"/>
      <c r="F198" s="54"/>
      <c r="G198" s="54"/>
      <c r="H198" s="54"/>
      <c r="I198" s="52">
        <f t="shared" si="7"/>
        <v>8.1999999999999993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55</v>
      </c>
      <c r="B199" s="61">
        <f>176+21</f>
        <v>197</v>
      </c>
      <c r="C199" s="61"/>
      <c r="D199" s="61"/>
      <c r="E199" s="54"/>
      <c r="F199" s="54"/>
      <c r="G199" s="54"/>
      <c r="H199" s="54"/>
      <c r="I199" s="52">
        <f t="shared" si="7"/>
        <v>8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60</v>
      </c>
      <c r="B200" s="53">
        <v>235</v>
      </c>
      <c r="C200" s="53">
        <v>4</v>
      </c>
      <c r="D200" s="53">
        <v>42</v>
      </c>
      <c r="E200" s="54"/>
      <c r="F200" s="54"/>
      <c r="G200" s="54"/>
      <c r="H200" s="54"/>
      <c r="I200" s="52">
        <f t="shared" si="7"/>
        <v>7.6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65</v>
      </c>
      <c r="B201" s="53">
        <v>229</v>
      </c>
      <c r="C201" s="53"/>
      <c r="D201" s="53"/>
      <c r="E201" s="54"/>
      <c r="F201" s="54"/>
      <c r="G201" s="54"/>
      <c r="H201" s="54"/>
      <c r="I201" s="52">
        <f t="shared" si="7"/>
        <v>7.2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70</v>
      </c>
      <c r="B202" s="53">
        <v>263</v>
      </c>
      <c r="C202" s="53">
        <v>5</v>
      </c>
      <c r="D202" s="53">
        <v>42</v>
      </c>
      <c r="E202" s="54"/>
      <c r="F202" s="54"/>
      <c r="G202" s="54"/>
      <c r="H202" s="54"/>
      <c r="I202" s="52">
        <f t="shared" si="7"/>
        <v>6.8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75</v>
      </c>
      <c r="B203" s="53">
        <v>252</v>
      </c>
      <c r="C203" s="53"/>
      <c r="D203" s="53"/>
      <c r="E203" s="54"/>
      <c r="F203" s="54"/>
      <c r="G203" s="54"/>
      <c r="H203" s="54"/>
      <c r="I203" s="52">
        <f t="shared" si="7"/>
        <v>6.2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80</v>
      </c>
      <c r="B204" s="53">
        <v>282</v>
      </c>
      <c r="C204" s="53">
        <v>6</v>
      </c>
      <c r="D204" s="53">
        <v>42</v>
      </c>
      <c r="E204" s="54"/>
      <c r="F204" s="54"/>
      <c r="G204" s="54"/>
      <c r="H204" s="54"/>
      <c r="I204" s="52">
        <f t="shared" si="7"/>
        <v>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90</v>
      </c>
      <c r="B205" s="53">
        <v>296</v>
      </c>
      <c r="C205" s="53">
        <v>7</v>
      </c>
      <c r="D205" s="53">
        <v>42</v>
      </c>
      <c r="E205" s="54"/>
      <c r="F205" s="54"/>
      <c r="G205" s="54"/>
      <c r="H205" s="54"/>
      <c r="I205" s="52">
        <f t="shared" si="7"/>
        <v>5.6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100</v>
      </c>
      <c r="B206" s="53">
        <v>303</v>
      </c>
      <c r="C206" s="53">
        <v>8</v>
      </c>
      <c r="D206" s="53">
        <v>42</v>
      </c>
      <c r="E206" s="54"/>
      <c r="F206" s="54"/>
      <c r="G206" s="54"/>
      <c r="H206" s="54"/>
      <c r="I206" s="52">
        <f t="shared" si="7"/>
        <v>4.9000000000000004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110</v>
      </c>
      <c r="B207" s="53">
        <v>305</v>
      </c>
      <c r="C207" s="53">
        <v>9</v>
      </c>
      <c r="D207" s="53">
        <v>39</v>
      </c>
      <c r="E207" s="54"/>
      <c r="F207" s="54"/>
      <c r="G207" s="54"/>
      <c r="H207" s="54"/>
      <c r="I207" s="52">
        <f t="shared" si="7"/>
        <v>4.4000000000000004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120</v>
      </c>
      <c r="B208" s="53">
        <v>303</v>
      </c>
      <c r="C208" s="53">
        <v>10</v>
      </c>
      <c r="D208" s="53">
        <v>35</v>
      </c>
      <c r="E208" s="54"/>
      <c r="F208" s="54"/>
      <c r="G208" s="54"/>
      <c r="H208" s="54"/>
      <c r="I208" s="52">
        <f t="shared" si="7"/>
        <v>3.7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130</v>
      </c>
      <c r="B209" s="53">
        <v>300</v>
      </c>
      <c r="C209" s="53">
        <v>11</v>
      </c>
      <c r="D209" s="53">
        <v>31</v>
      </c>
      <c r="E209" s="54"/>
      <c r="F209" s="54"/>
      <c r="G209" s="54"/>
      <c r="H209" s="54"/>
      <c r="I209" s="52">
        <f t="shared" si="7"/>
        <v>3.2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140</v>
      </c>
      <c r="B210" s="53">
        <v>296</v>
      </c>
      <c r="C210" s="53">
        <v>12</v>
      </c>
      <c r="D210" s="53">
        <v>27</v>
      </c>
      <c r="E210" s="54"/>
      <c r="F210" s="54"/>
      <c r="G210" s="54"/>
      <c r="H210" s="54"/>
      <c r="I210" s="52">
        <f t="shared" si="7"/>
        <v>2.7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150</v>
      </c>
      <c r="B211" s="53">
        <v>293</v>
      </c>
      <c r="C211" s="53">
        <v>13</v>
      </c>
      <c r="D211" s="53">
        <v>293</v>
      </c>
      <c r="E211" s="54"/>
      <c r="F211" s="54"/>
      <c r="G211" s="54"/>
      <c r="H211" s="54"/>
      <c r="I211" s="52">
        <f t="shared" si="7"/>
        <v>2.4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Noyer</v>
      </c>
      <c r="D214" s="255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8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0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15</v>
      </c>
      <c r="B218" s="61">
        <f>22.3+15.1</f>
        <v>37.4</v>
      </c>
      <c r="C218" s="61"/>
      <c r="D218" s="61"/>
      <c r="E218" s="54"/>
      <c r="F218" s="54"/>
      <c r="G218" s="54"/>
      <c r="H218" s="54"/>
      <c r="I218" s="56">
        <f>IFERROR(B218/A218,"")</f>
        <v>2.4933333333333332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20</v>
      </c>
      <c r="B219" s="61">
        <f>52+15.1+28</f>
        <v>95.1</v>
      </c>
      <c r="C219" s="61">
        <v>1</v>
      </c>
      <c r="D219" s="61">
        <f>15.1+28</f>
        <v>43.1</v>
      </c>
      <c r="E219" s="54"/>
      <c r="F219" s="54"/>
      <c r="G219" s="54"/>
      <c r="H219" s="54">
        <v>1</v>
      </c>
      <c r="I219" s="56">
        <f t="shared" ref="I219:I237" si="8">IF(A219&lt;&gt;0,(B219-(B218-D218))/(A219-A218),"")</f>
        <v>11.54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25</v>
      </c>
      <c r="B220" s="61">
        <f>86.5+28</f>
        <v>114.5</v>
      </c>
      <c r="C220" s="61"/>
      <c r="D220" s="61"/>
      <c r="E220" s="54"/>
      <c r="F220" s="54"/>
      <c r="G220" s="54"/>
      <c r="H220" s="54"/>
      <c r="I220" s="56">
        <f t="shared" si="8"/>
        <v>12.500000000000002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30</v>
      </c>
      <c r="B221" s="61">
        <f>118.5+28+28</f>
        <v>174.5</v>
      </c>
      <c r="C221" s="61">
        <v>2</v>
      </c>
      <c r="D221" s="61">
        <f>28+28</f>
        <v>56</v>
      </c>
      <c r="E221" s="54"/>
      <c r="F221" s="54"/>
      <c r="G221" s="54"/>
      <c r="H221" s="54">
        <v>1</v>
      </c>
      <c r="I221" s="56">
        <f t="shared" si="8"/>
        <v>12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35</v>
      </c>
      <c r="B222" s="61">
        <f>144.4+28</f>
        <v>172.4</v>
      </c>
      <c r="C222" s="61"/>
      <c r="D222" s="61"/>
      <c r="E222" s="54"/>
      <c r="F222" s="54"/>
      <c r="G222" s="54"/>
      <c r="H222" s="54"/>
      <c r="I222" s="56">
        <f t="shared" si="8"/>
        <v>10.780000000000001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40</v>
      </c>
      <c r="B223" s="61">
        <f>163.6+28+28</f>
        <v>219.6</v>
      </c>
      <c r="C223" s="61">
        <v>3</v>
      </c>
      <c r="D223" s="61">
        <f>28+28</f>
        <v>56</v>
      </c>
      <c r="E223" s="54"/>
      <c r="F223" s="54"/>
      <c r="G223" s="54"/>
      <c r="H223" s="54"/>
      <c r="I223" s="56">
        <f t="shared" si="8"/>
        <v>9.4399999999999977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61">
        <v>45</v>
      </c>
      <c r="B224" s="61">
        <f>182.8+21.8</f>
        <v>204.60000000000002</v>
      </c>
      <c r="C224" s="61"/>
      <c r="D224" s="61"/>
      <c r="E224" s="54"/>
      <c r="F224" s="54"/>
      <c r="G224" s="54"/>
      <c r="H224" s="54"/>
      <c r="I224" s="56">
        <f t="shared" si="8"/>
        <v>8.2000000000000064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61">
        <v>50</v>
      </c>
      <c r="B225" s="61">
        <f>201.9+21.8+16.5</f>
        <v>240.20000000000002</v>
      </c>
      <c r="C225" s="61">
        <v>4</v>
      </c>
      <c r="D225" s="61">
        <f>21.8+16.5</f>
        <v>38.299999999999997</v>
      </c>
      <c r="E225" s="54"/>
      <c r="F225" s="54"/>
      <c r="G225" s="54"/>
      <c r="H225" s="54"/>
      <c r="I225" s="56">
        <f t="shared" si="8"/>
        <v>7.1199999999999992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61">
        <v>55</v>
      </c>
      <c r="B226" s="61">
        <f>219.1+13.4</f>
        <v>232.5</v>
      </c>
      <c r="C226" s="61"/>
      <c r="D226" s="61"/>
      <c r="E226" s="54"/>
      <c r="F226" s="54"/>
      <c r="G226" s="54"/>
      <c r="H226" s="54"/>
      <c r="I226" s="56">
        <f t="shared" si="8"/>
        <v>6.119999999999993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61">
        <v>60</v>
      </c>
      <c r="B227" s="61">
        <f>233.1+13.4+11.8</f>
        <v>258.3</v>
      </c>
      <c r="C227" s="61">
        <v>5</v>
      </c>
      <c r="D227" s="61">
        <f>13.4+11.8</f>
        <v>25.200000000000003</v>
      </c>
      <c r="E227" s="54"/>
      <c r="F227" s="54"/>
      <c r="G227" s="54"/>
      <c r="H227" s="54"/>
      <c r="I227" s="56">
        <f t="shared" si="8"/>
        <v>5.1600000000000019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61">
        <v>65</v>
      </c>
      <c r="B228" s="61">
        <f>243.9+10.9</f>
        <v>254.8</v>
      </c>
      <c r="C228" s="61"/>
      <c r="D228" s="61"/>
      <c r="E228" s="54"/>
      <c r="F228" s="54"/>
      <c r="G228" s="54"/>
      <c r="H228" s="54"/>
      <c r="I228" s="56">
        <f t="shared" si="8"/>
        <v>4.3399999999999981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61">
        <v>70</v>
      </c>
      <c r="B229" s="61">
        <f>252.7+10.9+10</f>
        <v>273.59999999999997</v>
      </c>
      <c r="C229" s="61">
        <v>6</v>
      </c>
      <c r="D229" s="61">
        <f>10.9+10</f>
        <v>20.9</v>
      </c>
      <c r="E229" s="54"/>
      <c r="F229" s="54"/>
      <c r="G229" s="54"/>
      <c r="H229" s="54"/>
      <c r="I229" s="56">
        <f t="shared" si="8"/>
        <v>3.7599999999999909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61">
        <v>75</v>
      </c>
      <c r="B230" s="61">
        <f>260.6+9.1</f>
        <v>269.70000000000005</v>
      </c>
      <c r="C230" s="61"/>
      <c r="D230" s="61"/>
      <c r="E230" s="54"/>
      <c r="F230" s="54"/>
      <c r="G230" s="54"/>
      <c r="H230" s="54"/>
      <c r="I230" s="56">
        <f t="shared" si="8"/>
        <v>3.4000000000000172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61">
        <v>80</v>
      </c>
      <c r="B231" s="61">
        <f>267.3+9.1+8.2</f>
        <v>284.60000000000002</v>
      </c>
      <c r="C231" s="61">
        <v>7</v>
      </c>
      <c r="D231" s="61">
        <f>B231</f>
        <v>284.60000000000002</v>
      </c>
      <c r="E231" s="54"/>
      <c r="F231" s="54"/>
      <c r="G231" s="54"/>
      <c r="H231" s="54"/>
      <c r="I231" s="56">
        <f t="shared" si="8"/>
        <v>2.9799999999999955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Châtaignier</v>
      </c>
      <c r="D240" s="255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1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8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0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15</v>
      </c>
      <c r="B244" s="61">
        <f>22.3+15.1</f>
        <v>37.4</v>
      </c>
      <c r="C244" s="61"/>
      <c r="D244" s="61"/>
      <c r="E244" s="54"/>
      <c r="F244" s="54"/>
      <c r="G244" s="54"/>
      <c r="H244" s="54"/>
      <c r="I244" s="56">
        <f>IFERROR(B244/A244,"")</f>
        <v>2.4933333333333332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20</v>
      </c>
      <c r="B245" s="61">
        <f>52+15.1+28</f>
        <v>95.1</v>
      </c>
      <c r="C245" s="61">
        <v>1</v>
      </c>
      <c r="D245" s="61">
        <f>15.1+28</f>
        <v>43.1</v>
      </c>
      <c r="E245" s="54"/>
      <c r="F245" s="54"/>
      <c r="G245" s="54"/>
      <c r="H245" s="54">
        <v>1</v>
      </c>
      <c r="I245" s="56">
        <f>IF(A245&lt;&gt;0,(B245-(B244-D244))/(A245-A244),"")</f>
        <v>11.54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25</v>
      </c>
      <c r="B246" s="61">
        <f>86.5+28</f>
        <v>114.5</v>
      </c>
      <c r="C246" s="61"/>
      <c r="D246" s="61"/>
      <c r="E246" s="54"/>
      <c r="F246" s="54"/>
      <c r="G246" s="54"/>
      <c r="H246" s="54"/>
      <c r="I246" s="56">
        <f>IF(A246&lt;&gt;0,(B246-(B245-D245))/(A246-A245),"")</f>
        <v>12.500000000000002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30</v>
      </c>
      <c r="B247" s="61">
        <f>118.5+28+28</f>
        <v>174.5</v>
      </c>
      <c r="C247" s="61">
        <v>2</v>
      </c>
      <c r="D247" s="61">
        <f>28+28</f>
        <v>56</v>
      </c>
      <c r="E247" s="54"/>
      <c r="F247" s="54"/>
      <c r="G247" s="54"/>
      <c r="H247" s="54">
        <v>1</v>
      </c>
      <c r="I247" s="56">
        <f t="shared" ref="I247:I263" si="9">IF(A247&lt;&gt;0,(B247-(B246-D246))/(A247-A246),"")</f>
        <v>12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35</v>
      </c>
      <c r="B248" s="61">
        <f>144.4+28</f>
        <v>172.4</v>
      </c>
      <c r="C248" s="61"/>
      <c r="D248" s="61"/>
      <c r="E248" s="54"/>
      <c r="F248" s="54"/>
      <c r="G248" s="54"/>
      <c r="H248" s="54"/>
      <c r="I248" s="56">
        <f t="shared" si="9"/>
        <v>10.780000000000001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40</v>
      </c>
      <c r="B249" s="61">
        <f>163.6+28+28</f>
        <v>219.6</v>
      </c>
      <c r="C249" s="61">
        <v>3</v>
      </c>
      <c r="D249" s="61">
        <f>28+28</f>
        <v>56</v>
      </c>
      <c r="E249" s="54"/>
      <c r="F249" s="54"/>
      <c r="G249" s="54"/>
      <c r="H249" s="54"/>
      <c r="I249" s="56">
        <f t="shared" si="9"/>
        <v>9.4399999999999977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61">
        <v>45</v>
      </c>
      <c r="B250" s="61">
        <f>182.8+21.8</f>
        <v>204.60000000000002</v>
      </c>
      <c r="C250" s="61"/>
      <c r="D250" s="61"/>
      <c r="E250" s="54"/>
      <c r="F250" s="54"/>
      <c r="G250" s="54"/>
      <c r="H250" s="54"/>
      <c r="I250" s="56">
        <f t="shared" si="9"/>
        <v>8.2000000000000064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61">
        <v>50</v>
      </c>
      <c r="B251" s="61">
        <f>201.9+21.8+16.5</f>
        <v>240.20000000000002</v>
      </c>
      <c r="C251" s="61">
        <v>4</v>
      </c>
      <c r="D251" s="61">
        <f>21.8+16.5</f>
        <v>38.299999999999997</v>
      </c>
      <c r="E251" s="54"/>
      <c r="F251" s="54"/>
      <c r="G251" s="54"/>
      <c r="H251" s="54"/>
      <c r="I251" s="56">
        <f t="shared" si="9"/>
        <v>7.1199999999999992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61">
        <v>55</v>
      </c>
      <c r="B252" s="61">
        <f>219.1+13.4</f>
        <v>232.5</v>
      </c>
      <c r="C252" s="61"/>
      <c r="D252" s="61"/>
      <c r="E252" s="54"/>
      <c r="F252" s="54"/>
      <c r="G252" s="54"/>
      <c r="H252" s="54"/>
      <c r="I252" s="56">
        <f t="shared" si="9"/>
        <v>6.119999999999993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61">
        <v>60</v>
      </c>
      <c r="B253" s="61">
        <f>233.1+13.4+11.8</f>
        <v>258.3</v>
      </c>
      <c r="C253" s="61">
        <v>5</v>
      </c>
      <c r="D253" s="61">
        <f>13.4+11.8</f>
        <v>25.200000000000003</v>
      </c>
      <c r="E253" s="54"/>
      <c r="F253" s="54"/>
      <c r="G253" s="54"/>
      <c r="H253" s="54"/>
      <c r="I253" s="56">
        <f t="shared" si="9"/>
        <v>5.1600000000000019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61">
        <v>65</v>
      </c>
      <c r="B254" s="61">
        <f>243.9+10.9</f>
        <v>254.8</v>
      </c>
      <c r="C254" s="61"/>
      <c r="D254" s="61"/>
      <c r="E254" s="54"/>
      <c r="F254" s="54"/>
      <c r="G254" s="54"/>
      <c r="H254" s="54"/>
      <c r="I254" s="56">
        <f t="shared" si="9"/>
        <v>4.3399999999999981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61">
        <v>70</v>
      </c>
      <c r="B255" s="61">
        <f>252.7+10.9+10</f>
        <v>273.59999999999997</v>
      </c>
      <c r="C255" s="61">
        <v>6</v>
      </c>
      <c r="D255" s="61">
        <f>10.9+10</f>
        <v>20.9</v>
      </c>
      <c r="E255" s="54"/>
      <c r="F255" s="54"/>
      <c r="G255" s="54"/>
      <c r="H255" s="54"/>
      <c r="I255" s="56">
        <f t="shared" si="9"/>
        <v>3.7599999999999909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61">
        <v>75</v>
      </c>
      <c r="B256" s="61">
        <f>260.6+9.1</f>
        <v>269.70000000000005</v>
      </c>
      <c r="C256" s="61"/>
      <c r="D256" s="61"/>
      <c r="E256" s="54"/>
      <c r="F256" s="54"/>
      <c r="G256" s="54"/>
      <c r="H256" s="54"/>
      <c r="I256" s="56">
        <f t="shared" si="9"/>
        <v>3.4000000000000172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61">
        <v>80</v>
      </c>
      <c r="B257" s="61">
        <f>267.3+9.1+8.2</f>
        <v>284.60000000000002</v>
      </c>
      <c r="C257" s="61">
        <v>7</v>
      </c>
      <c r="D257" s="61">
        <f>B257</f>
        <v>284.60000000000002</v>
      </c>
      <c r="E257" s="54"/>
      <c r="F257" s="54"/>
      <c r="G257" s="54"/>
      <c r="H257" s="54"/>
      <c r="I257" s="56">
        <f t="shared" si="9"/>
        <v>2.9799999999999955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4"/>
      <c r="F258" s="54"/>
      <c r="G258" s="54"/>
      <c r="H258" s="54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4"/>
      <c r="F259" s="54"/>
      <c r="G259" s="54"/>
      <c r="H259" s="54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4"/>
      <c r="F260" s="54"/>
      <c r="G260" s="54"/>
      <c r="H260" s="54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4"/>
      <c r="F261" s="54"/>
      <c r="G261" s="54"/>
      <c r="H261" s="54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4"/>
      <c r="F262" s="54"/>
      <c r="G262" s="54"/>
      <c r="H262" s="54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4"/>
      <c r="F263" s="54"/>
      <c r="G263" s="54"/>
      <c r="H263" s="54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5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1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8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0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0"/>
      <c r="B283" s="61"/>
      <c r="C283" s="90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9" sqref="B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2"/>
      <c r="K1" s="10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3" t="s">
        <v>296</v>
      </c>
      <c r="C5" s="103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3"/>
      <c r="C6" s="233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4"/>
      <c r="B7" s="29" t="s">
        <v>295</v>
      </c>
      <c r="C7" s="105" t="s">
        <v>214</v>
      </c>
      <c r="D7" s="231"/>
      <c r="E7" s="106"/>
      <c r="F7" s="29" t="s">
        <v>295</v>
      </c>
      <c r="G7" s="105" t="s">
        <v>215</v>
      </c>
      <c r="H7" s="232"/>
      <c r="I7" s="232"/>
      <c r="J7" s="232"/>
      <c r="K7" s="232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spans="1:38" ht="17.25" customHeight="1" x14ac:dyDescent="0.25">
      <c r="A8" s="110">
        <v>1</v>
      </c>
      <c r="B8" s="62">
        <v>1</v>
      </c>
      <c r="C8" s="52" t="s">
        <v>177</v>
      </c>
      <c r="D8" s="25"/>
      <c r="E8" s="110">
        <v>4</v>
      </c>
      <c r="F8" s="62">
        <v>0</v>
      </c>
      <c r="G8" s="107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0">
        <v>2</v>
      </c>
      <c r="B9" s="62">
        <v>0</v>
      </c>
      <c r="C9" s="113" t="s">
        <v>216</v>
      </c>
      <c r="D9" s="25"/>
      <c r="E9" s="110">
        <v>5</v>
      </c>
      <c r="F9" s="62">
        <v>0</v>
      </c>
      <c r="G9" s="108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0">
        <v>3</v>
      </c>
      <c r="B10" s="62">
        <v>0</v>
      </c>
      <c r="C10" s="114" t="s">
        <v>217</v>
      </c>
      <c r="D10" s="25"/>
      <c r="E10" s="5"/>
      <c r="F10" s="111">
        <f>SUM(F7:F9)</f>
        <v>0</v>
      </c>
      <c r="G10" s="109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1">
        <v>0</v>
      </c>
      <c r="C11" s="109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2"/>
      <c r="B13" s="112"/>
      <c r="C13" s="103" t="s">
        <v>273</v>
      </c>
      <c r="D13" s="232"/>
      <c r="E13" s="104"/>
      <c r="F13" s="112"/>
      <c r="G13" s="103" t="s">
        <v>301</v>
      </c>
      <c r="H13" s="232"/>
      <c r="I13" s="232"/>
      <c r="J13" s="232"/>
      <c r="K13" s="232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</row>
    <row r="14" spans="1:38" s="4" customFormat="1" ht="21" customHeight="1" x14ac:dyDescent="0.25">
      <c r="A14" s="232"/>
      <c r="B14" s="112"/>
      <c r="C14" s="103" t="s">
        <v>309</v>
      </c>
      <c r="D14" s="232"/>
      <c r="E14" s="104"/>
      <c r="F14" s="112"/>
      <c r="G14" s="103" t="s">
        <v>294</v>
      </c>
      <c r="H14" s="232"/>
      <c r="I14" s="232"/>
      <c r="J14" s="232"/>
      <c r="K14" s="232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1</v>
      </c>
      <c r="C16" s="115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0</v>
      </c>
      <c r="C17" s="115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5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1">
        <f>SUM(B16:B18)</f>
        <v>1</v>
      </c>
      <c r="C19" s="109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5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8" bestFit="1" customWidth="1"/>
    <col min="2" max="4" width="11.42578125" style="68"/>
    <col min="5" max="5" width="9.5703125" style="68" customWidth="1"/>
    <col min="6" max="7" width="11.42578125" style="68"/>
    <col min="8" max="8" width="10.7109375" style="68" customWidth="1"/>
    <col min="9" max="9" width="9.42578125" style="68" customWidth="1"/>
    <col min="10" max="11" width="10.5703125" style="68" bestFit="1" customWidth="1"/>
    <col min="12" max="12" width="14" style="68" bestFit="1" customWidth="1"/>
    <col min="13" max="13" width="14" style="68" customWidth="1"/>
    <col min="14" max="23" width="11.42578125" style="68"/>
    <col min="24" max="24" width="11.7109375" style="68" bestFit="1" customWidth="1"/>
    <col min="25" max="25" width="14.5703125" style="68" bestFit="1" customWidth="1"/>
    <col min="26" max="26" width="12.42578125" style="68" bestFit="1" customWidth="1"/>
    <col min="27" max="27" width="9.7109375" style="68" bestFit="1" customWidth="1"/>
    <col min="28" max="28" width="11" style="68" bestFit="1" customWidth="1"/>
    <col min="29" max="29" width="9.42578125" style="68" bestFit="1" customWidth="1"/>
    <col min="30" max="31" width="9.42578125" style="68" customWidth="1"/>
    <col min="32" max="32" width="11.42578125" style="68"/>
    <col min="33" max="34" width="14" style="68" bestFit="1" customWidth="1"/>
    <col min="35" max="35" width="10.5703125" style="68" bestFit="1" customWidth="1"/>
    <col min="36" max="36" width="9.42578125" style="68" bestFit="1" customWidth="1"/>
    <col min="37" max="38" width="10.5703125" style="68" bestFit="1" customWidth="1"/>
    <col min="39" max="41" width="10.5703125" style="68" customWidth="1"/>
    <col min="42" max="42" width="9" style="68" bestFit="1" customWidth="1"/>
    <col min="43" max="43" width="10.5703125" style="68" bestFit="1" customWidth="1"/>
    <col min="44" max="44" width="9.28515625" style="68" bestFit="1" customWidth="1"/>
    <col min="45" max="45" width="11.7109375" style="68" bestFit="1" customWidth="1"/>
    <col min="46" max="46" width="8.42578125" style="68" bestFit="1" customWidth="1"/>
    <col min="47" max="47" width="9.42578125" style="68" bestFit="1" customWidth="1"/>
    <col min="48" max="48" width="9.7109375" style="68" bestFit="1" customWidth="1"/>
    <col min="49" max="49" width="11" style="68" bestFit="1" customWidth="1"/>
    <col min="50" max="50" width="9.42578125" style="68" bestFit="1" customWidth="1"/>
    <col min="51" max="52" width="9.42578125" style="68" customWidth="1"/>
    <col min="53" max="53" width="10.5703125" style="68" bestFit="1" customWidth="1"/>
    <col min="54" max="54" width="14.28515625" style="68" customWidth="1"/>
    <col min="55" max="55" width="14" style="68" customWidth="1"/>
    <col min="56" max="56" width="10.5703125" style="68" bestFit="1" customWidth="1"/>
    <col min="57" max="57" width="9.42578125" style="68" bestFit="1" customWidth="1"/>
    <col min="58" max="59" width="10.5703125" style="68" bestFit="1" customWidth="1"/>
    <col min="60" max="62" width="10.5703125" style="68" customWidth="1"/>
    <col min="63" max="63" width="9" style="68" bestFit="1" customWidth="1"/>
    <col min="64" max="64" width="10.5703125" style="68" bestFit="1" customWidth="1"/>
    <col min="65" max="65" width="9.28515625" style="68" bestFit="1" customWidth="1"/>
    <col min="66" max="66" width="11.7109375" style="68" bestFit="1" customWidth="1"/>
    <col min="67" max="67" width="8.42578125" style="68" bestFit="1" customWidth="1"/>
    <col min="68" max="68" width="9.42578125" style="68" bestFit="1" customWidth="1"/>
    <col min="69" max="69" width="9.7109375" style="68" bestFit="1" customWidth="1"/>
    <col min="70" max="70" width="11" style="68" bestFit="1" customWidth="1"/>
    <col min="71" max="71" width="9.42578125" style="68" bestFit="1" customWidth="1"/>
    <col min="72" max="73" width="9.42578125" style="68" customWidth="1"/>
    <col min="74" max="74" width="10.5703125" style="68" bestFit="1" customWidth="1"/>
    <col min="75" max="75" width="14" style="68" bestFit="1" customWidth="1"/>
    <col min="76" max="76" width="13.85546875" style="68" customWidth="1"/>
    <col min="77" max="77" width="10.5703125" style="68" bestFit="1" customWidth="1"/>
    <col min="78" max="78" width="9.42578125" style="68" bestFit="1" customWidth="1"/>
    <col min="79" max="80" width="10.5703125" style="68" bestFit="1" customWidth="1"/>
    <col min="81" max="83" width="10.5703125" style="68" customWidth="1"/>
    <col min="84" max="84" width="11.42578125" style="68"/>
    <col min="85" max="85" width="10.5703125" style="68" bestFit="1" customWidth="1"/>
    <col min="86" max="86" width="9.28515625" style="68" bestFit="1" customWidth="1"/>
    <col min="87" max="87" width="11.7109375" style="68" bestFit="1" customWidth="1"/>
    <col min="88" max="88" width="8.42578125" style="68" bestFit="1" customWidth="1"/>
    <col min="89" max="89" width="9.42578125" style="68" bestFit="1" customWidth="1"/>
    <col min="90" max="90" width="9.7109375" style="68" bestFit="1" customWidth="1"/>
    <col min="91" max="91" width="11" style="68" bestFit="1" customWidth="1"/>
    <col min="92" max="92" width="9.42578125" style="68" bestFit="1" customWidth="1"/>
    <col min="93" max="94" width="9.42578125" style="68" customWidth="1"/>
    <col min="95" max="95" width="11.42578125" style="68"/>
    <col min="96" max="97" width="14" style="68" customWidth="1"/>
    <col min="98" max="98" width="10.5703125" style="68" bestFit="1" customWidth="1"/>
    <col min="99" max="99" width="9.42578125" style="68" bestFit="1" customWidth="1"/>
    <col min="100" max="101" width="10.5703125" style="68" bestFit="1" customWidth="1"/>
    <col min="102" max="104" width="10.5703125" style="68" customWidth="1"/>
    <col min="105" max="105" width="9" style="68" bestFit="1" customWidth="1"/>
    <col min="106" max="106" width="10.5703125" style="68" bestFit="1" customWidth="1"/>
    <col min="107" max="107" width="9.28515625" style="68" bestFit="1" customWidth="1"/>
    <col min="108" max="108" width="11.7109375" style="68" bestFit="1" customWidth="1"/>
    <col min="109" max="109" width="8.42578125" style="68" bestFit="1" customWidth="1"/>
    <col min="110" max="110" width="9.42578125" style="68" bestFit="1" customWidth="1"/>
    <col min="111" max="111" width="9.7109375" style="68" bestFit="1" customWidth="1"/>
    <col min="112" max="112" width="11" style="68" bestFit="1" customWidth="1"/>
    <col min="113" max="113" width="9.42578125" style="68" bestFit="1" customWidth="1"/>
    <col min="114" max="115" width="9.42578125" style="68" customWidth="1"/>
    <col min="116" max="116" width="10.5703125" style="68" bestFit="1" customWidth="1"/>
    <col min="117" max="117" width="14.28515625" style="68" customWidth="1"/>
    <col min="118" max="118" width="14" style="68" bestFit="1" customWidth="1"/>
    <col min="119" max="119" width="10.5703125" style="68" bestFit="1" customWidth="1"/>
    <col min="120" max="120" width="9.42578125" style="68" bestFit="1" customWidth="1"/>
    <col min="121" max="122" width="10.5703125" style="68" bestFit="1" customWidth="1"/>
    <col min="123" max="125" width="10.5703125" style="68" customWidth="1"/>
    <col min="126" max="126" width="9" style="68" bestFit="1" customWidth="1"/>
    <col min="127" max="127" width="10.5703125" style="68" bestFit="1" customWidth="1"/>
    <col min="128" max="128" width="9.28515625" style="68" bestFit="1" customWidth="1"/>
    <col min="129" max="129" width="11.7109375" style="68" bestFit="1" customWidth="1"/>
    <col min="130" max="130" width="8.42578125" style="68" bestFit="1" customWidth="1"/>
    <col min="131" max="131" width="9.42578125" style="68" bestFit="1" customWidth="1"/>
    <col min="132" max="132" width="9.7109375" style="68" bestFit="1" customWidth="1"/>
    <col min="133" max="133" width="11" style="68" bestFit="1" customWidth="1"/>
    <col min="134" max="134" width="9.42578125" style="68" bestFit="1" customWidth="1"/>
    <col min="135" max="136" width="9.42578125" style="68" customWidth="1"/>
    <col min="137" max="137" width="10.5703125" style="68" bestFit="1" customWidth="1"/>
    <col min="138" max="139" width="14" style="68" customWidth="1"/>
    <col min="140" max="140" width="10.5703125" style="68" bestFit="1" customWidth="1"/>
    <col min="141" max="141" width="9.42578125" style="68" bestFit="1" customWidth="1"/>
    <col min="142" max="143" width="10.5703125" style="68" bestFit="1" customWidth="1"/>
    <col min="144" max="146" width="10.5703125" style="68" customWidth="1"/>
    <col min="147" max="147" width="9" style="68" bestFit="1" customWidth="1"/>
    <col min="148" max="148" width="10.5703125" style="68" bestFit="1" customWidth="1"/>
    <col min="149" max="149" width="9.28515625" style="68" bestFit="1" customWidth="1"/>
    <col min="150" max="150" width="11.7109375" style="68" bestFit="1" customWidth="1"/>
    <col min="151" max="151" width="8.42578125" style="68" bestFit="1" customWidth="1"/>
    <col min="152" max="152" width="9.42578125" style="68" bestFit="1" customWidth="1"/>
    <col min="153" max="153" width="9.7109375" style="68" bestFit="1" customWidth="1"/>
    <col min="154" max="154" width="11" style="68" bestFit="1" customWidth="1"/>
    <col min="155" max="155" width="9.42578125" style="68" bestFit="1" customWidth="1"/>
    <col min="156" max="157" width="9.42578125" style="68" customWidth="1"/>
    <col min="158" max="158" width="11.42578125" style="68"/>
    <col min="159" max="160" width="14" style="68" bestFit="1" customWidth="1"/>
    <col min="161" max="161" width="10.5703125" style="68" bestFit="1" customWidth="1"/>
    <col min="162" max="162" width="9.42578125" style="68" bestFit="1" customWidth="1"/>
    <col min="163" max="164" width="10.5703125" style="68" bestFit="1" customWidth="1"/>
    <col min="165" max="167" width="10.5703125" style="68" customWidth="1"/>
    <col min="168" max="168" width="9" style="68" bestFit="1" customWidth="1"/>
    <col min="169" max="169" width="10.5703125" style="68" bestFit="1" customWidth="1"/>
    <col min="170" max="170" width="9.28515625" style="68" bestFit="1" customWidth="1"/>
    <col min="171" max="171" width="11.7109375" style="68" bestFit="1" customWidth="1"/>
    <col min="172" max="172" width="8.140625" style="68" bestFit="1" customWidth="1"/>
    <col min="173" max="173" width="9.42578125" style="68" bestFit="1" customWidth="1"/>
    <col min="174" max="174" width="9.7109375" style="68" bestFit="1" customWidth="1"/>
    <col min="175" max="175" width="11" style="68" bestFit="1" customWidth="1"/>
    <col min="176" max="176" width="9.42578125" style="68" bestFit="1" customWidth="1"/>
    <col min="177" max="178" width="9.42578125" style="68" customWidth="1"/>
    <col min="179" max="179" width="10.5703125" style="68" bestFit="1" customWidth="1"/>
    <col min="180" max="181" width="14" style="68" bestFit="1" customWidth="1"/>
    <col min="182" max="182" width="10.5703125" style="68" bestFit="1" customWidth="1"/>
    <col min="183" max="183" width="9.42578125" style="68" bestFit="1" customWidth="1"/>
    <col min="184" max="185" width="10.5703125" style="68" bestFit="1" customWidth="1"/>
    <col min="186" max="188" width="10.5703125" style="68" customWidth="1"/>
    <col min="189" max="189" width="9" style="68" bestFit="1" customWidth="1"/>
    <col min="190" max="190" width="10.5703125" style="68" bestFit="1" customWidth="1"/>
    <col min="191" max="191" width="9.28515625" style="68" bestFit="1" customWidth="1"/>
    <col min="192" max="192" width="11.42578125" style="68"/>
    <col min="193" max="193" width="8.42578125" style="68" bestFit="1" customWidth="1"/>
    <col min="194" max="194" width="9.42578125" style="68" bestFit="1" customWidth="1"/>
    <col min="195" max="195" width="9.7109375" style="68" bestFit="1" customWidth="1"/>
    <col min="196" max="196" width="11" style="68" bestFit="1" customWidth="1"/>
    <col min="197" max="197" width="9.42578125" style="68" bestFit="1" customWidth="1"/>
    <col min="198" max="199" width="9.42578125" style="68" customWidth="1"/>
    <col min="200" max="200" width="10.5703125" style="68" bestFit="1" customWidth="1"/>
    <col min="201" max="201" width="14" style="68" customWidth="1"/>
    <col min="202" max="202" width="14.28515625" style="68" customWidth="1"/>
    <col min="203" max="203" width="10.5703125" style="68" bestFit="1" customWidth="1"/>
    <col min="204" max="204" width="9.42578125" style="68" bestFit="1" customWidth="1"/>
    <col min="205" max="206" width="10.5703125" style="68" bestFit="1" customWidth="1"/>
    <col min="207" max="209" width="10.5703125" style="68" customWidth="1"/>
    <col min="210" max="210" width="9" style="68" bestFit="1" customWidth="1"/>
    <col min="211" max="211" width="10.5703125" style="68" bestFit="1" customWidth="1"/>
    <col min="212" max="212" width="9.28515625" style="68" bestFit="1" customWidth="1"/>
    <col min="213" max="213" width="11.7109375" style="68" bestFit="1" customWidth="1"/>
    <col min="214" max="214" width="8.42578125" style="68" bestFit="1" customWidth="1"/>
    <col min="215" max="215" width="9.42578125" style="68" bestFit="1" customWidth="1"/>
    <col min="216" max="216" width="9.7109375" style="68" bestFit="1" customWidth="1"/>
    <col min="217" max="217" width="11" style="68" bestFit="1" customWidth="1"/>
    <col min="218" max="218" width="9.42578125" style="68" bestFit="1" customWidth="1"/>
    <col min="219" max="16384" width="11.42578125" style="68"/>
  </cols>
  <sheetData>
    <row r="1" spans="1:218" s="5" customFormat="1" ht="27" thickBot="1" x14ac:dyDescent="0.45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Chêne pubescent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Chêne chevelu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Erable champêtre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Cormier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Cèdre de l'Atlas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Micocoulier de Provence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Alisier torminal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>Noyer</v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>Châtaignier</v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75.75" thickBot="1" x14ac:dyDescent="0.3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6" t="s">
        <v>299</v>
      </c>
      <c r="I2" s="69" t="s">
        <v>298</v>
      </c>
      <c r="J2" s="70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298</v>
      </c>
      <c r="AE2" s="70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298</v>
      </c>
      <c r="AZ2" s="70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298</v>
      </c>
      <c r="BU2" s="70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298</v>
      </c>
      <c r="CP2" s="70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298</v>
      </c>
      <c r="DK2" s="70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298</v>
      </c>
      <c r="EF2" s="70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298</v>
      </c>
      <c r="FA2" s="70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298</v>
      </c>
      <c r="FV2" s="70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298</v>
      </c>
      <c r="GQ2" s="70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4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165</v>
      </c>
      <c r="S3" s="60">
        <f ca="1">AVERAGE(OFFSET($R$3,0,0,'Données projet'!$E$9+1,1))-AVERAGE(OFFSET($H$3,0,0,'Données projet'!$E$9+1,1))</f>
        <v>516.30971934066179</v>
      </c>
      <c r="T3" s="60">
        <f>IF('Données projet'!E9&gt;30,$R$33-$H$33,LOOKUP('Données projet'!$E$9,$A$3:$A$203,R3:R203)-LOOKUP('Données projet'!$E$9,$A$3:$A$203,$H$3:$H$203))</f>
        <v>290.84286505723571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165</v>
      </c>
      <c r="AN3" s="60">
        <f ca="1">AVERAGE(OFFSET($AM$3,0,0,'Données projet'!$E$10+1,1))-AVERAGE(OFFSET($H$3,0,0,'Données projet'!$E$10+1,1))</f>
        <v>529.00505223594837</v>
      </c>
      <c r="AO3" s="60">
        <f>IF('Données projet'!E10&gt;30,$AM$33-$H$33,LOOKUP('Données projet'!$E$10,$A$3:$A$203,AM3:AM203)-LOOKUP('Données projet'!$E$10,$A$3:$A$203,$H$3:$H$203))</f>
        <v>321.23004033257985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165</v>
      </c>
      <c r="BI3" s="60">
        <f ca="1">AVERAGE(OFFSET($BH$3,0,0,'Données projet'!$E$11+1,1))-AVERAGE(OFFSET($H$3,0,0,'Données projet'!$E$11+1,1))</f>
        <v>363.28611056308665</v>
      </c>
      <c r="BJ3" s="60">
        <f>IF('Données projet'!E11&gt;30,$BH$33-$H$33,LOOKUP('Données projet'!$E$11,$A$3:$A$203,BH3:BH203)-LOOKUP('Données projet'!$E$11,$A$3:$A$203,$H$3:$H$203))</f>
        <v>389.43647559455974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165</v>
      </c>
      <c r="CD3" s="60">
        <f ca="1">AVERAGE(OFFSET($CC$3,0,0,'Données projet'!$E$12+1,1))-AVERAGE(OFFSET($H$3,0,0,'Données projet'!$E$12+1,1))</f>
        <v>542.90832990875208</v>
      </c>
      <c r="CE3" s="60">
        <f>IF('Données projet'!E12&gt;30,$CC$33-$H$33,LOOKUP('Données projet'!$E$12,$A$3:$A$203,CC3:CC203)-LOOKUP('Données projet'!$E$12,$A$3:$A$203,$H$3:$H$203))</f>
        <v>304.94365539329362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165</v>
      </c>
      <c r="CY3" s="60">
        <f ca="1">AVERAGE(OFFSET($CX$3,0,0,'Données projet'!$E$13+1,1))-AVERAGE(OFFSET($H$3,0,0,'Données projet'!$E$13+1,1))</f>
        <v>277.77877239988635</v>
      </c>
      <c r="CZ3" s="60">
        <f>IF('Données projet'!E13&gt;30,$CX$33-$H$33,LOOKUP('Données projet'!$E$13,$A$3:$A$203,CX3:CX203)-LOOKUP('Données projet'!$E$13,$A$3:$A$203,$H$3:$H$203))</f>
        <v>164.65640238394164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165</v>
      </c>
      <c r="DT3" s="60">
        <f ca="1">AVERAGE(OFFSET($DS$3,0,0,'Données projet'!$E$14+1,1))-AVERAGE(OFFSET($H$3,0,0,'Données projet'!$E$14+1,1))</f>
        <v>354.30160274624632</v>
      </c>
      <c r="DU3" s="60">
        <f>IF('Données projet'!E14&gt;30,$DS$33-$H$33,LOOKUP('Données projet'!$E$14,$A$3:$A$203,DS3:DS203)-LOOKUP('Données projet'!$E$14,$A$3:$A$203,$H$3:$H$203))</f>
        <v>218.8005329382452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165</v>
      </c>
      <c r="EO3" s="60">
        <f ca="1">AVERAGE(OFFSET($EN$3,0,0,'Données projet'!$E$15+1,1))-AVERAGE(OFFSET($H$3,0,0,'Données projet'!$E$15+1,1))</f>
        <v>496.33873798282525</v>
      </c>
      <c r="EP3" s="60">
        <f>IF('Données projet'!E15&gt;30,$EN$33-$H$33,LOOKUP('Données projet'!$E$15,$A$3:$A$203,EN3:EN203)-LOOKUP('Données projet'!$E$15,$A$3:$A$203,$H$3:$H$203))</f>
        <v>280.25465074992246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165</v>
      </c>
      <c r="FJ3" s="60">
        <f ca="1">AVERAGE(OFFSET($FI$3,0,0,'Données projet'!$E$16+1,1))-AVERAGE(OFFSET($H$3,0,0,'Données projet'!$E$16+1,1))</f>
        <v>341.66430955115521</v>
      </c>
      <c r="FK3" s="60">
        <f>IF('Données projet'!E16&gt;30,$FI$33-$H$33,LOOKUP('Données projet'!$E$16,$A$3:$A$203,FI3:FI203)-LOOKUP('Données projet'!$E$16,$A$3:$A$203,$H$3:$H$203))</f>
        <v>366.15174925159192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0">
        <f>GC3+(FU3+FV3)*44/12</f>
        <v>165</v>
      </c>
      <c r="GE3" s="60">
        <f ca="1">AVERAGE(OFFSET($GD$3,0,0,'Données projet'!$E$17+1,1))-AVERAGE(OFFSET($H$3,0,0,'Données projet'!$E$17+1,1))</f>
        <v>314.58662400031631</v>
      </c>
      <c r="GF3" s="60">
        <f>IF('Données projet'!E17&gt;30,$GD$33-$H$33,LOOKUP('Données projet'!$E$17,$A$3:$A$203,GD3:GD203)-LOOKUP('Données projet'!$E$17,$A$3:$A$203,$H$3:$H$203))</f>
        <v>336.99073123405981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4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60">
        <f t="shared" si="0"/>
        <v>170.89982938223079</v>
      </c>
      <c r="S4" s="60">
        <f ca="1">AVERAGE(OFFSET($R$3,0,0,'Données projet'!$E$9+1,1))-AVERAGE(OFFSET($H$3,0,0,'Données projet'!$E$9+1,1))</f>
        <v>516.30971934066179</v>
      </c>
      <c r="T4" s="60">
        <f>$T$3</f>
        <v>290.84286505723571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2.0085470085470085</v>
      </c>
      <c r="AI4" s="14">
        <f>IF('Données projet'!$A$62&gt;35,AI3+AH4-AQ3,IF(A4&lt;'Données projet'!$A$62,$AF$205^A4,IF(A4='Données projet'!$A$62,'Données projet'!$B$62,AI3+AH4-AQ3)))</f>
        <v>1.2548684989282006</v>
      </c>
      <c r="AJ4" s="14">
        <f>AI4*VLOOKUP('Données projet'!$B$10,Paramètres!$A$1:$I$89,3,0)*VLOOKUP('Données projet'!$B$10,Paramètres!$A$1:$I$89,5,0)</f>
        <v>1.3115885550797555</v>
      </c>
      <c r="AK4" s="14">
        <f>EXP(-1.0587+0.8836*LN(AJ4)+0.284)</f>
        <v>0.5856498554818651</v>
      </c>
      <c r="AL4" s="22">
        <f t="shared" ref="AL4:AL67" si="4">(AJ4+AK4)*0.475*44/12</f>
        <v>3.3043568983948219</v>
      </c>
      <c r="AM4" s="60">
        <f t="shared" ref="AM4:AM67" si="5">AL4+(AD4+AE4)*44/12</f>
        <v>171.11679085131865</v>
      </c>
      <c r="AN4" s="60">
        <f ca="1">AVERAGE(OFFSET($AM$3,0,0,'Données projet'!$E$10+1,1))-AVERAGE(OFFSET($H$3,0,0,'Données projet'!$E$10+1,1))</f>
        <v>529.00505223594837</v>
      </c>
      <c r="AO4" s="60">
        <f>$AO$3</f>
        <v>321.23004033257985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2.4933333333333332</v>
      </c>
      <c r="BD4" s="13">
        <f>IF('Données projet'!$A$88&gt;35,BD3+BC4-BL3,IF(A4&lt;'Données projet'!$A$88,$BA$205^A4,IF(A4='Données projet'!$A$88,'Données projet'!$B$88,BD3+BC4-BL3)))</f>
        <v>1.2730870686066207</v>
      </c>
      <c r="BE4" s="14">
        <f>BD4*VLOOKUP('Données projet'!$B$11,Paramètres!$A$1:$I$89,3,0)*VLOOKUP('Données projet'!$B$11,Paramètres!$A$1:$I$89,5,0)</f>
        <v>1.1121688631347439</v>
      </c>
      <c r="BF4" s="14">
        <f>EXP(-1.0587+0.8836*LN(BE4)+0.284)</f>
        <v>0.50623075212543323</v>
      </c>
      <c r="BG4" s="22">
        <f t="shared" ref="BG4:BG67" si="7">(BE4+BF4)*0.475*44/12</f>
        <v>2.8187126632448081</v>
      </c>
      <c r="BH4" s="60">
        <f t="shared" ref="BH4:BH67" si="8">BG4+(AY4+AZ4)*44/12</f>
        <v>170.63114661616865</v>
      </c>
      <c r="BI4" s="60">
        <f ca="1">AVERAGE(OFFSET($BH$3,0,0,'Données projet'!$E$11+1,1))-AVERAGE(OFFSET($H$3,0,0,'Données projet'!$E$11+1,1))</f>
        <v>363.28611056308665</v>
      </c>
      <c r="BJ4" s="60">
        <f>$BJ$3</f>
        <v>389.43647559455974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1.2975860072835741</v>
      </c>
      <c r="CA4" s="14">
        <f>EXP(-1.0587+0.8836*LN(BZ4)+0.284)</f>
        <v>0.58012177912374829</v>
      </c>
      <c r="CB4" s="22">
        <f t="shared" ref="CB4:CB67" si="10">(BZ4+CA4)*0.475*44/12</f>
        <v>3.2703410613260862</v>
      </c>
      <c r="CC4" s="60">
        <f t="shared" ref="CC4:CC67" si="11">CB4+(BT4+BU4)*44/12</f>
        <v>171.08277501424993</v>
      </c>
      <c r="CD4" s="60">
        <f ca="1">AVERAGE(OFFSET($CC$3,0,0,'Données projet'!$E$12+1,1))-AVERAGE(OFFSET($H$3,0,0,'Données projet'!$E$12+1,1))</f>
        <v>542.90832990875208</v>
      </c>
      <c r="CE4" s="60">
        <f>$CE$3</f>
        <v>304.94365539329362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3.4425641025641025</v>
      </c>
      <c r="CT4" s="13">
        <f>IF('Données projet'!$A$140&gt;35,CT3+CS4-DB3,IF(A4&lt;'Données projet'!$A$140,$CQ$205^A4,IF(A4='Données projet'!$A$140,'Données projet'!$B$140,CT3+CS4-DB3)))</f>
        <v>1.1671681906248585</v>
      </c>
      <c r="CU4" s="18">
        <f>CT4*VLOOKUP('Données projet'!$B$13,Paramètres!$A$1:$I$89,3,0)*VLOOKUP('Données projet'!$B$13,Paramètres!$A$1:$I$89,5,0)</f>
        <v>0.54623471321243378</v>
      </c>
      <c r="CV4" s="14">
        <f>EXP(-1.0587+0.8836*LN(CU4)+0.284)</f>
        <v>0.27008496636632595</v>
      </c>
      <c r="CW4" s="22">
        <f t="shared" ref="CW4:CW67" si="13">(CU4+CV4)*0.475*44/12</f>
        <v>1.4217567752663396</v>
      </c>
      <c r="CX4" s="60">
        <f t="shared" ref="CX4:CX67" si="14">CW4+(CO4+CP4)*44/12</f>
        <v>169.23419072819019</v>
      </c>
      <c r="CY4" s="60">
        <f ca="1">AVERAGE(OFFSET($CX$3,0,0,'Données projet'!$E$13+1,1))-AVERAGE(OFFSET($H$3,0,0,'Données projet'!$E$13+1,1))</f>
        <v>277.77877239988635</v>
      </c>
      <c r="CZ4" s="60">
        <f>$CZ$3</f>
        <v>164.65640238394164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1.8269230769230771</v>
      </c>
      <c r="DO4" s="13">
        <f>IF('Données projet'!$A$166&gt;35,DO3+DN4-DW3,IF(A4&lt;'Données projet'!$A$166,$DL$205^A4,IF(A4='Données projet'!$A$166,'Données projet'!$B$166,DO3+DN4-DW3)))</f>
        <v>1.197119521332874</v>
      </c>
      <c r="DP4" s="18">
        <f>DO4*VLOOKUP('Données projet'!$B$14,Paramètres!$A$1:$I$89,3,0)*VLOOKUP('Données projet'!$B$14,Paramètres!$A$1:$I$89,5,0)</f>
        <v>1.027128549303606</v>
      </c>
      <c r="DQ4" s="14">
        <f>EXP(-1.0587+0.8836*LN(DP4)+0.284)</f>
        <v>0.47187149030466674</v>
      </c>
      <c r="DR4" s="22">
        <f t="shared" ref="DR4:DR67" si="16">(DP4+DQ4)*0.475*44/12</f>
        <v>2.6107584023177419</v>
      </c>
      <c r="DS4" s="60">
        <f t="shared" ref="DS4:DS67" si="17">DR4+(DJ4+DK4)*44/12</f>
        <v>170.42319235524158</v>
      </c>
      <c r="DT4" s="60">
        <f ca="1">AVERAGE(OFFSET($DS$3,0,0,'Données projet'!$E$14+1,1))-AVERAGE(OFFSET($H$3,0,0,'Données projet'!$E$14+1,1))</f>
        <v>354.30160274624632</v>
      </c>
      <c r="DU4" s="60">
        <f>$DU$3</f>
        <v>218.8005329382452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2.1</v>
      </c>
      <c r="EJ4" s="13">
        <f>IF('Données projet'!$A$192&gt;35,EJ3+EI4-ER3,IF(A4&lt;'Données projet'!$A$192,$EG$205^A4,IF(A4='Données projet'!$A$192,'Données projet'!$B$192,EJ3+EI4-ER3)))</f>
        <v>1.2054868146447177</v>
      </c>
      <c r="EK4" s="18">
        <f>EJ4*VLOOKUP('Données projet'!$B$15,Paramètres!$A$1:$I$89,3,0)*VLOOKUP('Données projet'!$B$15,Paramètres!$A$1:$I$89,5,0)</f>
        <v>1.165946847124371</v>
      </c>
      <c r="EL4" s="14">
        <f>EXP(-1.0587+0.8836*LN(EK4)+0.284)</f>
        <v>0.52780002987456354</v>
      </c>
      <c r="EM4" s="22">
        <f t="shared" ref="EM4:EM67" si="19">(EK4+EL4)*0.475*44/12</f>
        <v>2.9499424774398109</v>
      </c>
      <c r="EN4" s="60">
        <f t="shared" ref="EN4:EN67" si="20">EM4+(EE4+EF4)*44/12</f>
        <v>170.76237643036364</v>
      </c>
      <c r="EO4" s="60">
        <f ca="1">AVERAGE(OFFSET($EN$3,0,0,'Données projet'!$E$15+1,1))-AVERAGE(OFFSET($H$3,0,0,'Données projet'!$E$15+1,1))</f>
        <v>496.33873798282525</v>
      </c>
      <c r="EP4" s="60">
        <f>$EP$3</f>
        <v>280.25465074992246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2.4933333333333332</v>
      </c>
      <c r="FE4" s="13">
        <f>IF('Données projet'!$A$218&gt;35,FE3+FD4-FM3,IF(A4&lt;'Données projet'!$A$218,$FB$205^A4,IF(A4='Données projet'!$A$218,'Données projet'!$B$218,FE3+FD4-FM3)))</f>
        <v>1.2730870686066207</v>
      </c>
      <c r="FF4" s="18">
        <f>FE4*VLOOKUP('Données projet'!$B$16,Paramètres!$A$1:$I$89,3,0)*VLOOKUP('Données projet'!$B$16,Paramètres!$A$1:$I$89,5,0)</f>
        <v>1.0327282300536906</v>
      </c>
      <c r="FG4" s="14">
        <f>EXP(-1.0587+0.8836*LN(FF4)+0.284)</f>
        <v>0.47414386723193569</v>
      </c>
      <c r="FH4" s="22">
        <f t="shared" ref="FH4:FH67" si="22">(FF4+FG4)*0.475*44/12</f>
        <v>2.6244689027724655</v>
      </c>
      <c r="FI4" s="60">
        <f t="shared" ref="FI4:FI67" si="23">FH4+(EZ4+FA4)*44/12</f>
        <v>170.4369028556963</v>
      </c>
      <c r="FJ4" s="60">
        <f ca="1">AVERAGE(OFFSET($FI$3,0,0,'Données projet'!$E$16+1,1))-AVERAGE(OFFSET($H$3,0,0,'Données projet'!$E$16+1,1))</f>
        <v>341.66430955115521</v>
      </c>
      <c r="FK4" s="60">
        <f>$FK$3</f>
        <v>366.15174925159192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2.4933333333333332</v>
      </c>
      <c r="FZ4" s="13">
        <f>IF('Données projet'!$A$244&gt;35,FZ3+FY4-GH3,IF(A4&lt;'Données projet'!$A$244,$FW$205^A4,IF(A4='Données projet'!$A$244,'Données projet'!$B$244,FZ3+FY4-GH3)))</f>
        <v>1.2730870686066207</v>
      </c>
      <c r="GA4" s="18">
        <f>FZ4*VLOOKUP('Données projet'!$B$17,Paramètres!$A$1:$I$89,3,0)*VLOOKUP('Données projet'!$B$17,Paramètres!$A$1:$I$89,5,0)</f>
        <v>0.93342743870237421</v>
      </c>
      <c r="GB4" s="14">
        <f>EXP(-1.0587+0.8836*LN(GA4)+0.284)</f>
        <v>0.43362593613342421</v>
      </c>
      <c r="GC4" s="22">
        <f t="shared" ref="GC4:GC67" si="25">(GA4+GB4)*0.475*44/12</f>
        <v>2.3809512945056821</v>
      </c>
      <c r="GD4" s="60">
        <f t="shared" ref="GD4:GD67" si="26">GC4+(FU4+FV4)*44/12</f>
        <v>170.19338524742952</v>
      </c>
      <c r="GE4" s="60">
        <f ca="1">AVERAGE(OFFSET($GD$3,0,0,'Données projet'!$E$17+1,1))-AVERAGE(OFFSET($H$3,0,0,'Données projet'!$E$17+1,1))</f>
        <v>314.58662400031631</v>
      </c>
      <c r="GF4" s="60">
        <f>$GF$3</f>
        <v>336.99073123405981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4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60">
        <f t="shared" si="0"/>
        <v>174.29423362025418</v>
      </c>
      <c r="S5" s="60">
        <f ca="1">AVERAGE(OFFSET($R$3,0,0,'Données projet'!$E$9+1,1))-AVERAGE(OFFSET($H$3,0,0,'Données projet'!$E$9+1,1))</f>
        <v>516.30971934066179</v>
      </c>
      <c r="T5" s="60">
        <f t="shared" ref="T5:T68" si="34">$T$3</f>
        <v>290.84286505723571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2.0085470085470085</v>
      </c>
      <c r="AI5" s="14">
        <f>IF('Données projet'!$A$62&gt;35,AI4+AH5-AQ4,IF(A5&lt;'Données projet'!$A$62,$AF$205^A5,IF(A5='Données projet'!$A$62,'Données projet'!$B$62,AI4+AH5-AQ4)))</f>
        <v>1.5746949496023155</v>
      </c>
      <c r="AJ5" s="14">
        <f>AI5*VLOOKUP('Données projet'!$B$10,Paramètres!$A$1:$I$89,3,0)*VLOOKUP('Données projet'!$B$10,Paramètres!$A$1:$I$89,5,0)</f>
        <v>1.6458711613243404</v>
      </c>
      <c r="AK5" s="14">
        <f t="shared" ref="AK5:AK68" si="35">EXP(-1.0587+0.8836*LN(AJ5)+0.284)</f>
        <v>0.71574681686586372</v>
      </c>
      <c r="AL5" s="22">
        <f t="shared" si="4"/>
        <v>4.1131513120146055</v>
      </c>
      <c r="AM5" s="60">
        <f t="shared" si="5"/>
        <v>174.71043259951543</v>
      </c>
      <c r="AN5" s="60">
        <f ca="1">AVERAGE(OFFSET($AM$3,0,0,'Données projet'!$E$10+1,1))-AVERAGE(OFFSET($H$3,0,0,'Données projet'!$E$10+1,1))</f>
        <v>529.00505223594837</v>
      </c>
      <c r="AO5" s="60">
        <f t="shared" ref="AO5:AO68" si="36">$AO$3</f>
        <v>321.23004033257985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2.4933333333333332</v>
      </c>
      <c r="BD5" s="13">
        <f>IF('Données projet'!$A$88&gt;35,BD4+BC5-BL4,IF(A5&lt;'Données projet'!$A$88,$BA$205^A5,IF(A5='Données projet'!$A$88,'Données projet'!$B$88,BD4+BC5-BL4)))</f>
        <v>1.6207506842533985</v>
      </c>
      <c r="BE5" s="14">
        <f>BD5*VLOOKUP('Données projet'!$B$11,Paramètres!$A$1:$I$89,3,0)*VLOOKUP('Données projet'!$B$11,Paramètres!$A$1:$I$89,5,0)</f>
        <v>1.4158877977637692</v>
      </c>
      <c r="BF5" s="14">
        <f t="shared" ref="BF5:BF68" si="37">EXP(-1.0587+0.8836*LN(BE5)+0.284)</f>
        <v>0.62661551960081552</v>
      </c>
      <c r="BG5" s="22">
        <f t="shared" si="7"/>
        <v>3.5573599444099848</v>
      </c>
      <c r="BH5" s="60">
        <f t="shared" si="8"/>
        <v>174.15464123191083</v>
      </c>
      <c r="BI5" s="60">
        <f ca="1">AVERAGE(OFFSET($BH$3,0,0,'Données projet'!$E$11+1,1))-AVERAGE(OFFSET($H$3,0,0,'Données projet'!$E$11+1,1))</f>
        <v>363.28611056308665</v>
      </c>
      <c r="BJ5" s="60">
        <f t="shared" ref="BJ5:BJ68" si="38">$BJ$3</f>
        <v>389.43647559455974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1.5642228226478332</v>
      </c>
      <c r="CA5" s="14">
        <f t="shared" ref="CA5:CA68" si="39">EXP(-1.0587+0.8836*LN(BZ5)+0.284)</f>
        <v>0.68428075179095682</v>
      </c>
      <c r="CB5" s="22">
        <f t="shared" si="10"/>
        <v>3.9161437254808931</v>
      </c>
      <c r="CC5" s="60">
        <f t="shared" si="11"/>
        <v>174.51342501298171</v>
      </c>
      <c r="CD5" s="60">
        <f ca="1">AVERAGE(OFFSET($CC$3,0,0,'Données projet'!$E$12+1,1))-AVERAGE(OFFSET($H$3,0,0,'Données projet'!$E$12+1,1))</f>
        <v>542.90832990875208</v>
      </c>
      <c r="CE5" s="60">
        <f t="shared" ref="CE5:CE68" si="40">$CE$3</f>
        <v>304.94365539329362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3.4425641025641025</v>
      </c>
      <c r="CT5" s="13">
        <f>IF('Données projet'!$A$140&gt;35,CT4+CS5-DB4,IF(A5&lt;'Données projet'!$A$140,$CQ$205^A5,IF(A5='Données projet'!$A$140,'Données projet'!$B$140,CT4+CS5-DB4)))</f>
        <v>1.3622815852065062</v>
      </c>
      <c r="CU5" s="18">
        <f>CT5*VLOOKUP('Données projet'!$B$13,Paramètres!$A$1:$I$89,3,0)*VLOOKUP('Données projet'!$B$13,Paramètres!$A$1:$I$89,5,0)</f>
        <v>0.63754778187664485</v>
      </c>
      <c r="CV5" s="14">
        <f t="shared" ref="CV5:CV68" si="41">EXP(-1.0587+0.8836*LN(CU5)+0.284)</f>
        <v>0.30961323785545058</v>
      </c>
      <c r="CW5" s="22">
        <f t="shared" si="13"/>
        <v>1.6496387760333995</v>
      </c>
      <c r="CX5" s="60">
        <f t="shared" si="14"/>
        <v>172.24692006353425</v>
      </c>
      <c r="CY5" s="60">
        <f ca="1">AVERAGE(OFFSET($CX$3,0,0,'Données projet'!$E$13+1,1))-AVERAGE(OFFSET($H$3,0,0,'Données projet'!$E$13+1,1))</f>
        <v>277.77877239988635</v>
      </c>
      <c r="CZ5" s="60">
        <f t="shared" ref="CZ5:CZ68" si="42">$CZ$3</f>
        <v>164.65640238394164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1.8269230769230771</v>
      </c>
      <c r="DO5" s="13">
        <f>IF('Données projet'!$A$166&gt;35,DO4+DN5-DW4,IF(A5&lt;'Données projet'!$A$166,$DL$205^A5,IF(A5='Données projet'!$A$166,'Données projet'!$B$166,DO4+DN5-DW4)))</f>
        <v>1.4330951483562495</v>
      </c>
      <c r="DP5" s="18">
        <f>DO5*VLOOKUP('Données projet'!$B$14,Paramètres!$A$1:$I$89,3,0)*VLOOKUP('Données projet'!$B$14,Paramètres!$A$1:$I$89,5,0)</f>
        <v>1.2295956372896624</v>
      </c>
      <c r="DQ5" s="14">
        <f t="shared" ref="DQ5:DQ68" si="43">EXP(-1.0587+0.8836*LN(DP5)+0.284)</f>
        <v>0.55317945887581388</v>
      </c>
      <c r="DR5" s="22">
        <f t="shared" si="16"/>
        <v>3.1049999591548709</v>
      </c>
      <c r="DS5" s="60">
        <f t="shared" si="17"/>
        <v>173.7022812466557</v>
      </c>
      <c r="DT5" s="60">
        <f ca="1">AVERAGE(OFFSET($DS$3,0,0,'Données projet'!$E$14+1,1))-AVERAGE(OFFSET($H$3,0,0,'Données projet'!$E$14+1,1))</f>
        <v>354.30160274624632</v>
      </c>
      <c r="DU5" s="60">
        <f t="shared" ref="DU5:DU68" si="44">$DU$3</f>
        <v>218.8005329382452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2.1</v>
      </c>
      <c r="EJ5" s="13">
        <f>IF('Données projet'!$A$192&gt;35,EJ4+EI5-ER4,IF(A5&lt;'Données projet'!$A$192,$EG$205^A5,IF(A5='Données projet'!$A$192,'Données projet'!$B$192,EJ4+EI5-ER4)))</f>
        <v>1.4531984602822681</v>
      </c>
      <c r="EK5" s="18">
        <f>EJ5*VLOOKUP('Données projet'!$B$15,Paramètres!$A$1:$I$89,3,0)*VLOOKUP('Données projet'!$B$15,Paramètres!$A$1:$I$89,5,0)</f>
        <v>1.4055335507850097</v>
      </c>
      <c r="EL5" s="14">
        <f t="shared" ref="EL5:EL68" si="45">EXP(-1.0587+0.8836*LN(EK5)+0.284)</f>
        <v>0.62256480317525631</v>
      </c>
      <c r="EM5" s="22">
        <f t="shared" si="19"/>
        <v>3.5322712998141292</v>
      </c>
      <c r="EN5" s="60">
        <f t="shared" si="20"/>
        <v>174.12955258731498</v>
      </c>
      <c r="EO5" s="60">
        <f ca="1">AVERAGE(OFFSET($EN$3,0,0,'Données projet'!$E$15+1,1))-AVERAGE(OFFSET($H$3,0,0,'Données projet'!$E$15+1,1))</f>
        <v>496.33873798282525</v>
      </c>
      <c r="EP5" s="60">
        <f t="shared" ref="EP5:EP68" si="46">$EP$3</f>
        <v>280.25465074992246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2.4933333333333332</v>
      </c>
      <c r="FE5" s="13">
        <f>IF('Données projet'!$A$218&gt;35,FE4+FD5-FM4,IF(A5&lt;'Données projet'!$A$218,$FB$205^A5,IF(A5='Données projet'!$A$218,'Données projet'!$B$218,FE4+FD5-FM4)))</f>
        <v>1.6207506842533985</v>
      </c>
      <c r="FF5" s="18">
        <f>FE5*VLOOKUP('Données projet'!$B$16,Paramètres!$A$1:$I$89,3,0)*VLOOKUP('Données projet'!$B$16,Paramètres!$A$1:$I$89,5,0)</f>
        <v>1.314752955066357</v>
      </c>
      <c r="FG5" s="14">
        <f t="shared" ref="FG5:FG68" si="47">EXP(-1.0587+0.8836*LN(FF5)+0.284)</f>
        <v>0.58689817733052874</v>
      </c>
      <c r="FH5" s="22">
        <f t="shared" si="22"/>
        <v>3.312042388924576</v>
      </c>
      <c r="FI5" s="60">
        <f t="shared" si="23"/>
        <v>173.9093236764254</v>
      </c>
      <c r="FJ5" s="60">
        <f ca="1">AVERAGE(OFFSET($FI$3,0,0,'Données projet'!$E$16+1,1))-AVERAGE(OFFSET($H$3,0,0,'Données projet'!$E$16+1,1))</f>
        <v>341.66430955115521</v>
      </c>
      <c r="FK5" s="60">
        <f t="shared" ref="FK5:FK68" si="48">$FK$3</f>
        <v>366.15174925159192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2.4933333333333332</v>
      </c>
      <c r="FZ5" s="13">
        <f>IF('Données projet'!$A$244&gt;35,FZ4+FY5-GH4,IF(A5&lt;'Données projet'!$A$244,$FW$205^A5,IF(A5='Données projet'!$A$244,'Données projet'!$B$244,FZ4+FY5-GH4)))</f>
        <v>1.6207506842533985</v>
      </c>
      <c r="GA5" s="18">
        <f>FZ5*VLOOKUP('Données projet'!$B$17,Paramètres!$A$1:$I$89,3,0)*VLOOKUP('Données projet'!$B$17,Paramètres!$A$1:$I$89,5,0)</f>
        <v>1.1883344016945918</v>
      </c>
      <c r="GB5" s="14">
        <f t="shared" ref="GB5:GB68" si="49">EXP(-1.0587+0.8836*LN(GA5)+0.284)</f>
        <v>0.5367448345281679</v>
      </c>
      <c r="GC5" s="22">
        <f t="shared" si="25"/>
        <v>3.0045130030879732</v>
      </c>
      <c r="GD5" s="60">
        <f t="shared" si="26"/>
        <v>173.6017942905888</v>
      </c>
      <c r="GE5" s="60">
        <f ca="1">AVERAGE(OFFSET($GD$3,0,0,'Données projet'!$E$17+1,1))-AVERAGE(OFFSET($H$3,0,0,'Données projet'!$E$17+1,1))</f>
        <v>314.58662400031631</v>
      </c>
      <c r="GF5" s="60">
        <f t="shared" ref="GF5:GF68" si="50">$GF$3</f>
        <v>336.99073123405981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4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1.7763369450933317</v>
      </c>
      <c r="P6" s="14">
        <f t="shared" si="33"/>
        <v>0.76565418883323866</v>
      </c>
      <c r="Q6" s="22">
        <f t="shared" si="2"/>
        <v>4.4273012249221102</v>
      </c>
      <c r="R6" s="60">
        <f t="shared" si="0"/>
        <v>177.78232179480699</v>
      </c>
      <c r="S6" s="60">
        <f ca="1">AVERAGE(OFFSET($R$3,0,0,'Données projet'!$E$9+1,1))-AVERAGE(OFFSET($H$3,0,0,'Données projet'!$E$9+1,1))</f>
        <v>516.30971934066179</v>
      </c>
      <c r="T6" s="60">
        <f t="shared" si="34"/>
        <v>290.84286505723571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2.0085470085470085</v>
      </c>
      <c r="AI6" s="14">
        <f>IF('Données projet'!$A$62&gt;35,AI5+AH6-AQ5,IF(A6&lt;'Données projet'!$A$62,$AF$205^A6,IF(A6='Données projet'!$A$62,'Données projet'!$B$62,AI5+AH6-AQ5)))</f>
        <v>1.9760350876772761</v>
      </c>
      <c r="AJ6" s="14">
        <f>AI6*VLOOKUP('Données projet'!$B$10,Paramètres!$A$1:$I$89,3,0)*VLOOKUP('Données projet'!$B$10,Paramètres!$A$1:$I$89,5,0)</f>
        <v>2.0653518736402892</v>
      </c>
      <c r="AK6" s="14">
        <f t="shared" si="35"/>
        <v>0.87474367330306557</v>
      </c>
      <c r="AL6" s="22">
        <f t="shared" si="4"/>
        <v>5.1206664109263427</v>
      </c>
      <c r="AM6" s="60">
        <f t="shared" si="5"/>
        <v>178.47568698081122</v>
      </c>
      <c r="AN6" s="60">
        <f ca="1">AVERAGE(OFFSET($AM$3,0,0,'Données projet'!$E$10+1,1))-AVERAGE(OFFSET($H$3,0,0,'Données projet'!$E$10+1,1))</f>
        <v>529.00505223594837</v>
      </c>
      <c r="AO6" s="60">
        <f t="shared" si="36"/>
        <v>321.23004033257985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2.4933333333333332</v>
      </c>
      <c r="BD6" s="13">
        <f>IF('Données projet'!$A$88&gt;35,BD5+BC6-BL5,IF(A6&lt;'Données projet'!$A$88,$BA$205^A6,IF(A6='Données projet'!$A$88,'Données projet'!$B$88,BD5+BC6-BL5)))</f>
        <v>2.0633567375583337</v>
      </c>
      <c r="BE6" s="14">
        <f>BD6*VLOOKUP('Données projet'!$B$11,Paramètres!$A$1:$I$89,3,0)*VLOOKUP('Données projet'!$B$11,Paramètres!$A$1:$I$89,5,0)</f>
        <v>1.8025484459309604</v>
      </c>
      <c r="BF6" s="14">
        <f t="shared" si="37"/>
        <v>0.77562852070138621</v>
      </c>
      <c r="BG6" s="22">
        <f t="shared" si="7"/>
        <v>4.4903248835513372</v>
      </c>
      <c r="BH6" s="60">
        <f t="shared" si="8"/>
        <v>177.84534545343621</v>
      </c>
      <c r="BI6" s="60">
        <f ca="1">AVERAGE(OFFSET($BH$3,0,0,'Données projet'!$E$11+1,1))-AVERAGE(OFFSET($H$3,0,0,'Données projet'!$E$11+1,1))</f>
        <v>363.28611056308665</v>
      </c>
      <c r="BJ6" s="60">
        <f t="shared" si="38"/>
        <v>389.43647559455974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1.885649987868306</v>
      </c>
      <c r="CA6" s="14">
        <f t="shared" si="39"/>
        <v>0.8071411281590839</v>
      </c>
      <c r="CB6" s="22">
        <f t="shared" si="10"/>
        <v>4.6899445270810372</v>
      </c>
      <c r="CC6" s="60">
        <f t="shared" si="11"/>
        <v>178.04496509696591</v>
      </c>
      <c r="CD6" s="60">
        <f ca="1">AVERAGE(OFFSET($CC$3,0,0,'Données projet'!$E$12+1,1))-AVERAGE(OFFSET($H$3,0,0,'Données projet'!$E$12+1,1))</f>
        <v>542.90832990875208</v>
      </c>
      <c r="CE6" s="60">
        <f t="shared" si="40"/>
        <v>304.94365539329362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3.4425641025641025</v>
      </c>
      <c r="CT6" s="13">
        <f>IF('Données projet'!$A$140&gt;35,CT5+CS6-DB5,IF(A6&lt;'Données projet'!$A$140,$CQ$205^A6,IF(A6='Données projet'!$A$140,'Données projet'!$B$140,CT5+CS6-DB5)))</f>
        <v>1.590011732927042</v>
      </c>
      <c r="CU6" s="18">
        <f>CT6*VLOOKUP('Données projet'!$B$13,Paramètres!$A$1:$I$89,3,0)*VLOOKUP('Données projet'!$B$13,Paramètres!$A$1:$I$89,5,0)</f>
        <v>0.7441254910098557</v>
      </c>
      <c r="CV6" s="14">
        <f t="shared" si="41"/>
        <v>0.35492666750402163</v>
      </c>
      <c r="CW6" s="22">
        <f t="shared" si="13"/>
        <v>1.9141825094116696</v>
      </c>
      <c r="CX6" s="60">
        <f t="shared" si="14"/>
        <v>175.26920307929655</v>
      </c>
      <c r="CY6" s="60">
        <f ca="1">AVERAGE(OFFSET($CX$3,0,0,'Données projet'!$E$13+1,1))-AVERAGE(OFFSET($H$3,0,0,'Données projet'!$E$13+1,1))</f>
        <v>277.77877239988635</v>
      </c>
      <c r="CZ6" s="60">
        <f t="shared" si="42"/>
        <v>164.65640238394164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1.8269230769230771</v>
      </c>
      <c r="DO6" s="13">
        <f>IF('Données projet'!$A$166&gt;35,DO5+DN6-DW5,IF(A6&lt;'Données projet'!$A$166,$DL$205^A6,IF(A6='Données projet'!$A$166,'Données projet'!$B$166,DO5+DN6-DW5)))</f>
        <v>1.7155861780246975</v>
      </c>
      <c r="DP6" s="18">
        <f>DO6*VLOOKUP('Données projet'!$B$14,Paramètres!$A$1:$I$89,3,0)*VLOOKUP('Données projet'!$B$14,Paramètres!$A$1:$I$89,5,0)</f>
        <v>1.4719729407451907</v>
      </c>
      <c r="DQ6" s="14">
        <f t="shared" si="43"/>
        <v>0.64849756768429179</v>
      </c>
      <c r="DR6" s="22">
        <f t="shared" si="16"/>
        <v>3.6931528021813484</v>
      </c>
      <c r="DS6" s="60">
        <f t="shared" si="17"/>
        <v>177.04817337206623</v>
      </c>
      <c r="DT6" s="60">
        <f ca="1">AVERAGE(OFFSET($DS$3,0,0,'Données projet'!$E$14+1,1))-AVERAGE(OFFSET($H$3,0,0,'Données projet'!$E$14+1,1))</f>
        <v>354.30160274624632</v>
      </c>
      <c r="DU6" s="60">
        <f t="shared" si="44"/>
        <v>218.8005329382452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2.1</v>
      </c>
      <c r="EJ6" s="13">
        <f>IF('Données projet'!$A$192&gt;35,EJ5+EI6-ER5,IF(A6&lt;'Données projet'!$A$192,$EG$205^A6,IF(A6='Données projet'!$A$192,'Données projet'!$B$192,EJ5+EI6-ER5)))</f>
        <v>1.7518115829322798</v>
      </c>
      <c r="EK6" s="18">
        <f>EJ6*VLOOKUP('Données projet'!$B$15,Paramètres!$A$1:$I$89,3,0)*VLOOKUP('Données projet'!$B$15,Paramètres!$A$1:$I$89,5,0)</f>
        <v>1.694352163012101</v>
      </c>
      <c r="EL6" s="14">
        <f t="shared" si="45"/>
        <v>0.73434428233124405</v>
      </c>
      <c r="EM6" s="22">
        <f t="shared" si="19"/>
        <v>4.2299796423063247</v>
      </c>
      <c r="EN6" s="60">
        <f t="shared" si="20"/>
        <v>177.5850002121912</v>
      </c>
      <c r="EO6" s="60">
        <f ca="1">AVERAGE(OFFSET($EN$3,0,0,'Données projet'!$E$15+1,1))-AVERAGE(OFFSET($H$3,0,0,'Données projet'!$E$15+1,1))</f>
        <v>496.33873798282525</v>
      </c>
      <c r="EP6" s="60">
        <f t="shared" si="46"/>
        <v>280.25465074992246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2.4933333333333332</v>
      </c>
      <c r="FE6" s="13">
        <f>IF('Données projet'!$A$218&gt;35,FE5+FD6-FM5,IF(A6&lt;'Données projet'!$A$218,$FB$205^A6,IF(A6='Données projet'!$A$218,'Données projet'!$B$218,FE5+FD6-FM5)))</f>
        <v>2.0633567375583337</v>
      </c>
      <c r="FF6" s="18">
        <f>FE6*VLOOKUP('Données projet'!$B$16,Paramètres!$A$1:$I$89,3,0)*VLOOKUP('Données projet'!$B$16,Paramètres!$A$1:$I$89,5,0)</f>
        <v>1.6737949855073202</v>
      </c>
      <c r="FG6" s="14">
        <f t="shared" si="47"/>
        <v>0.726466151644651</v>
      </c>
      <c r="FH6" s="22">
        <f t="shared" si="22"/>
        <v>4.1804548138730162</v>
      </c>
      <c r="FI6" s="60">
        <f t="shared" si="23"/>
        <v>177.5354753837579</v>
      </c>
      <c r="FJ6" s="60">
        <f ca="1">AVERAGE(OFFSET($FI$3,0,0,'Données projet'!$E$16+1,1))-AVERAGE(OFFSET($H$3,0,0,'Données projet'!$E$16+1,1))</f>
        <v>341.66430955115521</v>
      </c>
      <c r="FK6" s="60">
        <f t="shared" si="48"/>
        <v>366.15174925159192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2.4933333333333332</v>
      </c>
      <c r="FZ6" s="13">
        <f>IF('Données projet'!$A$244&gt;35,FZ5+FY6-GH5,IF(A6&lt;'Données projet'!$A$244,$FW$205^A6,IF(A6='Données projet'!$A$244,'Données projet'!$B$244,FZ5+FY6-GH5)))</f>
        <v>2.0633567375583337</v>
      </c>
      <c r="GA6" s="18">
        <f>FZ6*VLOOKUP('Données projet'!$B$17,Paramètres!$A$1:$I$89,3,0)*VLOOKUP('Données projet'!$B$17,Paramètres!$A$1:$I$89,5,0)</f>
        <v>1.5128531599777704</v>
      </c>
      <c r="GB6" s="14">
        <f t="shared" si="49"/>
        <v>0.66438603733339674</v>
      </c>
      <c r="GC6" s="22">
        <f t="shared" si="25"/>
        <v>3.7920249353169493</v>
      </c>
      <c r="GD6" s="60">
        <f t="shared" si="26"/>
        <v>177.14704550520185</v>
      </c>
      <c r="GE6" s="60">
        <f ca="1">AVERAGE(OFFSET($GD$3,0,0,'Données projet'!$E$17+1,1))-AVERAGE(OFFSET($H$3,0,0,'Données projet'!$E$17+1,1))</f>
        <v>314.58662400031631</v>
      </c>
      <c r="GF6" s="60">
        <f t="shared" si="50"/>
        <v>336.99073123405981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4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2.1413507656762891</v>
      </c>
      <c r="P7" s="14">
        <f t="shared" si="33"/>
        <v>0.9031249003236328</v>
      </c>
      <c r="Q7" s="22">
        <f t="shared" si="2"/>
        <v>5.3024617849498643</v>
      </c>
      <c r="R7" s="60">
        <f t="shared" si="0"/>
        <v>181.3885838491268</v>
      </c>
      <c r="S7" s="60">
        <f ca="1">AVERAGE(OFFSET($R$3,0,0,'Données projet'!$E$9+1,1))-AVERAGE(OFFSET($H$3,0,0,'Données projet'!$E$9+1,1))</f>
        <v>516.30971934066179</v>
      </c>
      <c r="T7" s="60">
        <f t="shared" si="34"/>
        <v>290.84286505723571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2.0085470085470085</v>
      </c>
      <c r="AI7" s="14">
        <f>IF('Données projet'!$A$62&gt;35,AI6+AH7-AQ6,IF(A7&lt;'Données projet'!$A$62,$AF$205^A7,IF(A7='Données projet'!$A$62,'Données projet'!$B$62,AI6+AH7-AQ6)))</f>
        <v>2.4796641843030387</v>
      </c>
      <c r="AJ7" s="14">
        <f>AI7*VLOOKUP('Données projet'!$B$10,Paramètres!$A$1:$I$89,3,0)*VLOOKUP('Données projet'!$B$10,Paramètres!$A$1:$I$89,5,0)</f>
        <v>2.5917450054335363</v>
      </c>
      <c r="AK7" s="14">
        <f t="shared" si="35"/>
        <v>1.069060282146026</v>
      </c>
      <c r="AL7" s="22">
        <f t="shared" si="4"/>
        <v>6.375902542534404</v>
      </c>
      <c r="AM7" s="60">
        <f t="shared" si="5"/>
        <v>182.46202460671134</v>
      </c>
      <c r="AN7" s="60">
        <f ca="1">AVERAGE(OFFSET($AM$3,0,0,'Données projet'!$E$10+1,1))-AVERAGE(OFFSET($H$3,0,0,'Données projet'!$E$10+1,1))</f>
        <v>529.00505223594837</v>
      </c>
      <c r="AO7" s="60">
        <f t="shared" si="36"/>
        <v>321.23004033257985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2.4933333333333332</v>
      </c>
      <c r="BD7" s="13">
        <f>IF('Données projet'!$A$88&gt;35,BD6+BC7-BL6,IF(A7&lt;'Données projet'!$A$88,$BA$205^A7,IF(A7='Données projet'!$A$88,'Données projet'!$B$88,BD6+BC7-BL6)))</f>
        <v>2.6268327805078595</v>
      </c>
      <c r="BE7" s="14">
        <f>BD7*VLOOKUP('Données projet'!$B$11,Paramètres!$A$1:$I$89,3,0)*VLOOKUP('Données projet'!$B$11,Paramètres!$A$1:$I$89,5,0)</f>
        <v>2.2948011170516667</v>
      </c>
      <c r="BF7" s="14">
        <f t="shared" si="37"/>
        <v>0.96007772438938166</v>
      </c>
      <c r="BG7" s="22">
        <f t="shared" si="7"/>
        <v>5.6689139821764911</v>
      </c>
      <c r="BH7" s="60">
        <f t="shared" si="8"/>
        <v>181.75503604635344</v>
      </c>
      <c r="BI7" s="60">
        <f ca="1">AVERAGE(OFFSET($BH$3,0,0,'Données projet'!$E$11+1,1))-AVERAGE(OFFSET($H$3,0,0,'Données projet'!$E$11+1,1))</f>
        <v>363.28611056308665</v>
      </c>
      <c r="BJ7" s="60">
        <f t="shared" si="38"/>
        <v>389.43647559455974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2.2731261974102144</v>
      </c>
      <c r="CA7" s="14">
        <f t="shared" si="39"/>
        <v>0.95206068424520052</v>
      </c>
      <c r="CB7" s="22">
        <f t="shared" si="10"/>
        <v>5.617200485549847</v>
      </c>
      <c r="CC7" s="60">
        <f t="shared" si="11"/>
        <v>181.70332254972681</v>
      </c>
      <c r="CD7" s="60">
        <f ca="1">AVERAGE(OFFSET($CC$3,0,0,'Données projet'!$E$12+1,1))-AVERAGE(OFFSET($H$3,0,0,'Données projet'!$E$12+1,1))</f>
        <v>542.90832990875208</v>
      </c>
      <c r="CE7" s="60">
        <f t="shared" si="40"/>
        <v>304.94365539329362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3.4425641025641025</v>
      </c>
      <c r="CT7" s="13">
        <f>IF('Données projet'!$A$140&gt;35,CT6+CS7-DB6,IF(A7&lt;'Données projet'!$A$140,$CQ$205^A7,IF(A7='Données projet'!$A$140,'Données projet'!$B$140,CT6+CS7-DB6)))</f>
        <v>1.8558111173927514</v>
      </c>
      <c r="CU7" s="18">
        <f>CT7*VLOOKUP('Données projet'!$B$13,Paramètres!$A$1:$I$89,3,0)*VLOOKUP('Données projet'!$B$13,Paramètres!$A$1:$I$89,5,0)</f>
        <v>0.86851960293980757</v>
      </c>
      <c r="CV7" s="14">
        <f t="shared" si="41"/>
        <v>0.40687194183965542</v>
      </c>
      <c r="CW7" s="22">
        <f t="shared" si="13"/>
        <v>2.2213069404908978</v>
      </c>
      <c r="CX7" s="60">
        <f t="shared" si="14"/>
        <v>178.30742900466785</v>
      </c>
      <c r="CY7" s="60">
        <f ca="1">AVERAGE(OFFSET($CX$3,0,0,'Données projet'!$E$13+1,1))-AVERAGE(OFFSET($H$3,0,0,'Données projet'!$E$13+1,1))</f>
        <v>277.77877239988635</v>
      </c>
      <c r="CZ7" s="60">
        <f t="shared" si="42"/>
        <v>164.65640238394164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1.8269230769230771</v>
      </c>
      <c r="DO7" s="13">
        <f>IF('Données projet'!$A$166&gt;35,DO6+DN7-DW6,IF(A7&lt;'Données projet'!$A$166,$DL$205^A7,IF(A7='Données projet'!$A$166,'Données projet'!$B$166,DO6+DN7-DW6)))</f>
        <v>2.0537617042422207</v>
      </c>
      <c r="DP7" s="18">
        <f>DO7*VLOOKUP('Données projet'!$B$14,Paramètres!$A$1:$I$89,3,0)*VLOOKUP('Données projet'!$B$14,Paramètres!$A$1:$I$89,5,0)</f>
        <v>1.7621275422398255</v>
      </c>
      <c r="DQ7" s="14">
        <f t="shared" si="43"/>
        <v>0.76023989782103218</v>
      </c>
      <c r="DR7" s="22">
        <f t="shared" si="16"/>
        <v>4.393123291439327</v>
      </c>
      <c r="DS7" s="60">
        <f t="shared" si="17"/>
        <v>180.47924535561629</v>
      </c>
      <c r="DT7" s="60">
        <f ca="1">AVERAGE(OFFSET($DS$3,0,0,'Données projet'!$E$14+1,1))-AVERAGE(OFFSET($H$3,0,0,'Données projet'!$E$14+1,1))</f>
        <v>354.30160274624632</v>
      </c>
      <c r="DU7" s="60">
        <f t="shared" si="44"/>
        <v>218.8005329382452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2.1</v>
      </c>
      <c r="EJ7" s="13">
        <f>IF('Données projet'!$A$192&gt;35,EJ6+EI7-ER6,IF(A7&lt;'Données projet'!$A$192,$EG$205^A7,IF(A7='Données projet'!$A$192,'Données projet'!$B$192,EJ6+EI7-ER6)))</f>
        <v>2.1117857649667546</v>
      </c>
      <c r="EK7" s="18">
        <f>EJ7*VLOOKUP('Données projet'!$B$15,Paramètres!$A$1:$I$89,3,0)*VLOOKUP('Données projet'!$B$15,Paramètres!$A$1:$I$89,5,0)</f>
        <v>2.042519191875845</v>
      </c>
      <c r="EL7" s="14">
        <f t="shared" si="45"/>
        <v>0.86619340226463792</v>
      </c>
      <c r="EM7" s="22">
        <f t="shared" si="19"/>
        <v>5.0660077681280073</v>
      </c>
      <c r="EN7" s="60">
        <f t="shared" si="20"/>
        <v>181.15212983230495</v>
      </c>
      <c r="EO7" s="60">
        <f ca="1">AVERAGE(OFFSET($EN$3,0,0,'Données projet'!$E$15+1,1))-AVERAGE(OFFSET($H$3,0,0,'Données projet'!$E$15+1,1))</f>
        <v>496.33873798282525</v>
      </c>
      <c r="EP7" s="60">
        <f t="shared" si="46"/>
        <v>280.25465074992246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2.4933333333333332</v>
      </c>
      <c r="FE7" s="13">
        <f>IF('Données projet'!$A$218&gt;35,FE6+FD7-FM6,IF(A7&lt;'Données projet'!$A$218,$FB$205^A7,IF(A7='Données projet'!$A$218,'Données projet'!$B$218,FE6+FD7-FM6)))</f>
        <v>2.6268327805078595</v>
      </c>
      <c r="FF7" s="18">
        <f>FE7*VLOOKUP('Données projet'!$B$16,Paramètres!$A$1:$I$89,3,0)*VLOOKUP('Données projet'!$B$16,Paramètres!$A$1:$I$89,5,0)</f>
        <v>2.1308867515479757</v>
      </c>
      <c r="FG7" s="14">
        <f t="shared" si="47"/>
        <v>0.89922424343834662</v>
      </c>
      <c r="FH7" s="22">
        <f t="shared" si="22"/>
        <v>5.2774433162678447</v>
      </c>
      <c r="FI7" s="60">
        <f t="shared" si="23"/>
        <v>181.36356538044478</v>
      </c>
      <c r="FJ7" s="60">
        <f ca="1">AVERAGE(OFFSET($FI$3,0,0,'Données projet'!$E$16+1,1))-AVERAGE(OFFSET($H$3,0,0,'Données projet'!$E$16+1,1))</f>
        <v>341.66430955115521</v>
      </c>
      <c r="FK7" s="60">
        <f t="shared" si="48"/>
        <v>366.15174925159192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2.4933333333333332</v>
      </c>
      <c r="FZ7" s="13">
        <f>IF('Données projet'!$A$244&gt;35,FZ6+FY7-GH6,IF(A7&lt;'Données projet'!$A$244,$FW$205^A7,IF(A7='Données projet'!$A$244,'Données projet'!$B$244,FZ6+FY7-GH6)))</f>
        <v>2.6268327805078595</v>
      </c>
      <c r="GA7" s="18">
        <f>FZ7*VLOOKUP('Données projet'!$B$17,Paramètres!$A$1:$I$89,3,0)*VLOOKUP('Données projet'!$B$17,Paramètres!$A$1:$I$89,5,0)</f>
        <v>1.9259937946683627</v>
      </c>
      <c r="GB7" s="14">
        <f t="shared" si="49"/>
        <v>0.82238109844429064</v>
      </c>
      <c r="GC7" s="22">
        <f t="shared" si="25"/>
        <v>4.7867529388378705</v>
      </c>
      <c r="GD7" s="60">
        <f t="shared" si="26"/>
        <v>180.87287500301483</v>
      </c>
      <c r="GE7" s="60">
        <f ca="1">AVERAGE(OFFSET($GD$3,0,0,'Données projet'!$E$17+1,1))-AVERAGE(OFFSET($H$3,0,0,'Données projet'!$E$17+1,1))</f>
        <v>314.58662400031631</v>
      </c>
      <c r="GF7" s="60">
        <f t="shared" si="50"/>
        <v>336.99073123405981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4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2.5813701135521372</v>
      </c>
      <c r="P8" s="14">
        <f t="shared" si="33"/>
        <v>1.0652780295337991</v>
      </c>
      <c r="Q8" s="22">
        <f t="shared" si="2"/>
        <v>6.3512455158746723</v>
      </c>
      <c r="R8" s="60">
        <f t="shared" si="0"/>
        <v>185.14229339232202</v>
      </c>
      <c r="S8" s="60">
        <f ca="1">AVERAGE(OFFSET($R$3,0,0,'Données projet'!$E$9+1,1))-AVERAGE(OFFSET($H$3,0,0,'Données projet'!$E$9+1,1))</f>
        <v>516.30971934066179</v>
      </c>
      <c r="T8" s="60">
        <f t="shared" si="34"/>
        <v>290.84286505723571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2.0085470085470085</v>
      </c>
      <c r="AI8" s="14">
        <f>IF('Données projet'!$A$62&gt;35,AI7+AH8-AQ7,IF(A8&lt;'Données projet'!$A$62,$AF$205^A8,IF(A8='Données projet'!$A$62,'Données projet'!$B$62,AI7+AH8-AQ7)))</f>
        <v>3.1116524728023753</v>
      </c>
      <c r="AJ8" s="14">
        <f>AI8*VLOOKUP('Données projet'!$B$10,Paramètres!$A$1:$I$89,3,0)*VLOOKUP('Données projet'!$B$10,Paramètres!$A$1:$I$89,5,0)</f>
        <v>3.2522991645730426</v>
      </c>
      <c r="AK8" s="14">
        <f t="shared" si="35"/>
        <v>1.3065426155602187</v>
      </c>
      <c r="AL8" s="22">
        <f t="shared" si="4"/>
        <v>7.9399827670654304</v>
      </c>
      <c r="AM8" s="60">
        <f t="shared" si="5"/>
        <v>186.73103064351278</v>
      </c>
      <c r="AN8" s="60">
        <f ca="1">AVERAGE(OFFSET($AM$3,0,0,'Données projet'!$E$10+1,1))-AVERAGE(OFFSET($H$3,0,0,'Données projet'!$E$10+1,1))</f>
        <v>529.00505223594837</v>
      </c>
      <c r="AO8" s="60">
        <f t="shared" si="36"/>
        <v>321.23004033257985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2.4933333333333332</v>
      </c>
      <c r="BD8" s="13">
        <f>IF('Données projet'!$A$88&gt;35,BD7+BC8-BL7,IF(A8&lt;'Données projet'!$A$88,$BA$205^A8,IF(A8='Données projet'!$A$88,'Données projet'!$B$88,BD7+BC8-BL7)))</f>
        <v>3.3441868442565297</v>
      </c>
      <c r="BE8" s="14">
        <f>BD8*VLOOKUP('Données projet'!$B$11,Paramètres!$A$1:$I$89,3,0)*VLOOKUP('Données projet'!$B$11,Paramètres!$A$1:$I$89,5,0)</f>
        <v>2.9214816271425046</v>
      </c>
      <c r="BF8" s="14">
        <f t="shared" si="37"/>
        <v>1.1883900762637927</v>
      </c>
      <c r="BG8" s="22">
        <f t="shared" si="7"/>
        <v>7.1580265500992999</v>
      </c>
      <c r="BH8" s="60">
        <f t="shared" si="8"/>
        <v>185.94907442654664</v>
      </c>
      <c r="BI8" s="60">
        <f ca="1">AVERAGE(OFFSET($BH$3,0,0,'Données projet'!$E$11+1,1))-AVERAGE(OFFSET($H$3,0,0,'Données projet'!$E$11+1,1))</f>
        <v>363.28611056308665</v>
      </c>
      <c r="BJ8" s="60">
        <f t="shared" si="38"/>
        <v>389.43647559455974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2.740223659001499</v>
      </c>
      <c r="CA8" s="14">
        <f t="shared" si="39"/>
        <v>1.1230000737947632</v>
      </c>
      <c r="CB8" s="22">
        <f t="shared" si="10"/>
        <v>6.7284480012868242</v>
      </c>
      <c r="CC8" s="60">
        <f t="shared" si="11"/>
        <v>185.51949587773419</v>
      </c>
      <c r="CD8" s="60">
        <f ca="1">AVERAGE(OFFSET($CC$3,0,0,'Données projet'!$E$12+1,1))-AVERAGE(OFFSET($H$3,0,0,'Données projet'!$E$12+1,1))</f>
        <v>542.90832990875208</v>
      </c>
      <c r="CE8" s="60">
        <f t="shared" si="40"/>
        <v>304.94365539329362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3.4425641025641025</v>
      </c>
      <c r="CT8" s="13">
        <f>IF('Données projet'!$A$140&gt;35,CT7+CS8-DB7,IF(A8&lt;'Données projet'!$A$140,$CQ$205^A8,IF(A8='Données projet'!$A$140,'Données projet'!$B$140,CT7+CS8-DB7)))</f>
        <v>2.1660437040287945</v>
      </c>
      <c r="CU8" s="18">
        <f>CT8*VLOOKUP('Données projet'!$B$13,Paramètres!$A$1:$I$89,3,0)*VLOOKUP('Données projet'!$B$13,Paramètres!$A$1:$I$89,5,0)</f>
        <v>1.0137084534854759</v>
      </c>
      <c r="CV8" s="14">
        <f t="shared" si="41"/>
        <v>0.46641966415357117</v>
      </c>
      <c r="CW8" s="22">
        <f t="shared" si="13"/>
        <v>2.5778898048880068</v>
      </c>
      <c r="CX8" s="60">
        <f t="shared" si="14"/>
        <v>181.36893768133535</v>
      </c>
      <c r="CY8" s="60">
        <f ca="1">AVERAGE(OFFSET($CX$3,0,0,'Données projet'!$E$13+1,1))-AVERAGE(OFFSET($H$3,0,0,'Données projet'!$E$13+1,1))</f>
        <v>277.77877239988635</v>
      </c>
      <c r="CZ8" s="60">
        <f t="shared" si="42"/>
        <v>164.65640238394164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1.8269230769230771</v>
      </c>
      <c r="DO8" s="13">
        <f>IF('Données projet'!$A$166&gt;35,DO7+DN8-DW7,IF(A8&lt;'Données projet'!$A$166,$DL$205^A8,IF(A8='Données projet'!$A$166,'Données projet'!$B$166,DO7+DN8-DW7)))</f>
        <v>2.4585982283142349</v>
      </c>
      <c r="DP8" s="18">
        <f>DO8*VLOOKUP('Données projet'!$B$14,Paramètres!$A$1:$I$89,3,0)*VLOOKUP('Données projet'!$B$14,Paramètres!$A$1:$I$89,5,0)</f>
        <v>2.1094772798936137</v>
      </c>
      <c r="DQ8" s="14">
        <f t="shared" si="43"/>
        <v>0.8912364996260157</v>
      </c>
      <c r="DR8" s="22">
        <f t="shared" si="16"/>
        <v>5.2262431659966877</v>
      </c>
      <c r="DS8" s="60">
        <f t="shared" si="17"/>
        <v>184.01729104244404</v>
      </c>
      <c r="DT8" s="60">
        <f ca="1">AVERAGE(OFFSET($DS$3,0,0,'Données projet'!$E$14+1,1))-AVERAGE(OFFSET($H$3,0,0,'Données projet'!$E$14+1,1))</f>
        <v>354.30160274624632</v>
      </c>
      <c r="DU8" s="60">
        <f t="shared" si="44"/>
        <v>218.8005329382452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2.1</v>
      </c>
      <c r="EJ8" s="13">
        <f>IF('Données projet'!$A$192&gt;35,EJ7+EI8-ER7,IF(A8&lt;'Données projet'!$A$192,$EG$205^A8,IF(A8='Données projet'!$A$192,'Données projet'!$B$192,EJ7+EI8-ER7)))</f>
        <v>2.5457298950218314</v>
      </c>
      <c r="EK8" s="18">
        <f>EJ8*VLOOKUP('Données projet'!$B$15,Paramètres!$A$1:$I$89,3,0)*VLOOKUP('Données projet'!$B$15,Paramètres!$A$1:$I$89,5,0)</f>
        <v>2.4622299544651152</v>
      </c>
      <c r="EL8" s="14">
        <f t="shared" si="45"/>
        <v>1.021715601495419</v>
      </c>
      <c r="EM8" s="22">
        <f t="shared" si="19"/>
        <v>6.0678718432979295</v>
      </c>
      <c r="EN8" s="60">
        <f t="shared" si="20"/>
        <v>184.85891971974527</v>
      </c>
      <c r="EO8" s="60">
        <f ca="1">AVERAGE(OFFSET($EN$3,0,0,'Données projet'!$E$15+1,1))-AVERAGE(OFFSET($H$3,0,0,'Données projet'!$E$15+1,1))</f>
        <v>496.33873798282525</v>
      </c>
      <c r="EP8" s="60">
        <f t="shared" si="46"/>
        <v>280.25465074992246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2.4933333333333332</v>
      </c>
      <c r="FE8" s="13">
        <f>IF('Données projet'!$A$218&gt;35,FE7+FD8-FM7,IF(A8&lt;'Données projet'!$A$218,$FB$205^A8,IF(A8='Données projet'!$A$218,'Données projet'!$B$218,FE7+FD8-FM7)))</f>
        <v>3.3441868442565297</v>
      </c>
      <c r="FF8" s="18">
        <f>FE8*VLOOKUP('Données projet'!$B$16,Paramètres!$A$1:$I$89,3,0)*VLOOKUP('Données projet'!$B$16,Paramètres!$A$1:$I$89,5,0)</f>
        <v>2.7128043680608971</v>
      </c>
      <c r="FG8" s="14">
        <f t="shared" si="47"/>
        <v>1.1130652655415023</v>
      </c>
      <c r="FH8" s="22">
        <f t="shared" si="22"/>
        <v>6.6633896118575118</v>
      </c>
      <c r="FI8" s="60">
        <f t="shared" si="23"/>
        <v>185.45443748830488</v>
      </c>
      <c r="FJ8" s="60">
        <f ca="1">AVERAGE(OFFSET($FI$3,0,0,'Données projet'!$E$16+1,1))-AVERAGE(OFFSET($H$3,0,0,'Données projet'!$E$16+1,1))</f>
        <v>341.66430955115521</v>
      </c>
      <c r="FK8" s="60">
        <f t="shared" si="48"/>
        <v>366.15174925159192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2.4933333333333332</v>
      </c>
      <c r="FZ8" s="13">
        <f>IF('Données projet'!$A$244&gt;35,FZ7+FY8-GH7,IF(A8&lt;'Données projet'!$A$244,$FW$205^A8,IF(A8='Données projet'!$A$244,'Données projet'!$B$244,FZ7+FY8-GH7)))</f>
        <v>3.3441868442565297</v>
      </c>
      <c r="GA8" s="18">
        <f>FZ8*VLOOKUP('Données projet'!$B$17,Paramètres!$A$1:$I$89,3,0)*VLOOKUP('Données projet'!$B$17,Paramètres!$A$1:$I$89,5,0)</f>
        <v>2.4519577942088877</v>
      </c>
      <c r="GB8" s="14">
        <f t="shared" si="49"/>
        <v>1.017948350920953</v>
      </c>
      <c r="GC8" s="22">
        <f t="shared" si="25"/>
        <v>6.0434198694344721</v>
      </c>
      <c r="GD8" s="60">
        <f t="shared" si="26"/>
        <v>184.83446774588182</v>
      </c>
      <c r="GE8" s="60">
        <f ca="1">AVERAGE(OFFSET($GD$3,0,0,'Données projet'!$E$17+1,1))-AVERAGE(OFFSET($H$3,0,0,'Données projet'!$E$17+1,1))</f>
        <v>314.58662400031631</v>
      </c>
      <c r="GF8" s="60">
        <f t="shared" si="50"/>
        <v>336.99073123405981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4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3.111807635605039</v>
      </c>
      <c r="P9" s="14">
        <f t="shared" si="33"/>
        <v>1.2565452240335246</v>
      </c>
      <c r="Q9" s="22">
        <f t="shared" si="2"/>
        <v>7.6082145638704972</v>
      </c>
      <c r="R9" s="60">
        <f t="shared" si="0"/>
        <v>189.07846666012946</v>
      </c>
      <c r="S9" s="60">
        <f ca="1">AVERAGE(OFFSET($R$3,0,0,'Données projet'!$E$9+1,1))-AVERAGE(OFFSET($H$3,0,0,'Données projet'!$E$9+1,1))</f>
        <v>516.30971934066179</v>
      </c>
      <c r="T9" s="60">
        <f t="shared" si="34"/>
        <v>290.84286505723571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2.0085470085470085</v>
      </c>
      <c r="AI9" s="14">
        <f>IF('Données projet'!$A$62&gt;35,AI8+AH9-AQ8,IF(A9&lt;'Données projet'!$A$62,$AF$205^A9,IF(A9='Données projet'!$A$62,'Données projet'!$B$62,AI8+AH9-AQ8)))</f>
        <v>3.9047146677317404</v>
      </c>
      <c r="AJ9" s="14">
        <f>AI9*VLOOKUP('Données projet'!$B$10,Paramètres!$A$1:$I$89,3,0)*VLOOKUP('Données projet'!$B$10,Paramètres!$A$1:$I$89,5,0)</f>
        <v>4.0812077707132151</v>
      </c>
      <c r="AK9" s="14">
        <f t="shared" si="35"/>
        <v>1.5967795593792025</v>
      </c>
      <c r="AL9" s="22">
        <f t="shared" si="4"/>
        <v>9.8891612665776254</v>
      </c>
      <c r="AM9" s="60">
        <f t="shared" si="5"/>
        <v>191.35941336283659</v>
      </c>
      <c r="AN9" s="60">
        <f ca="1">AVERAGE(OFFSET($AM$3,0,0,'Données projet'!$E$10+1,1))-AVERAGE(OFFSET($H$3,0,0,'Données projet'!$E$10+1,1))</f>
        <v>529.00505223594837</v>
      </c>
      <c r="AO9" s="60">
        <f t="shared" si="36"/>
        <v>321.23004033257985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2.4933333333333332</v>
      </c>
      <c r="BD9" s="13">
        <f>IF('Données projet'!$A$88&gt;35,BD8+BC9-BL8,IF(A9&lt;'Données projet'!$A$88,$BA$205^A9,IF(A9='Données projet'!$A$88,'Données projet'!$B$88,BD8+BC9-BL8)))</f>
        <v>4.2574410264273705</v>
      </c>
      <c r="BE9" s="14">
        <f>BD9*VLOOKUP('Données projet'!$B$11,Paramètres!$A$1:$I$89,3,0)*VLOOKUP('Données projet'!$B$11,Paramètres!$A$1:$I$89,5,0)</f>
        <v>3.7193004806869516</v>
      </c>
      <c r="BF9" s="14">
        <f t="shared" si="37"/>
        <v>1.4709965011014925</v>
      </c>
      <c r="BG9" s="22">
        <f t="shared" si="7"/>
        <v>9.0397672432815401</v>
      </c>
      <c r="BH9" s="60">
        <f t="shared" si="8"/>
        <v>190.51001933954052</v>
      </c>
      <c r="BI9" s="60">
        <f ca="1">AVERAGE(OFFSET($BH$3,0,0,'Données projet'!$E$11+1,1))-AVERAGE(OFFSET($H$3,0,0,'Données projet'!$E$11+1,1))</f>
        <v>363.28611056308665</v>
      </c>
      <c r="BJ9" s="60">
        <f t="shared" si="38"/>
        <v>389.43647559455974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3.3033034901038101</v>
      </c>
      <c r="CA9" s="14">
        <f t="shared" si="39"/>
        <v>1.3246310730107231</v>
      </c>
      <c r="CB9" s="22">
        <f t="shared" si="10"/>
        <v>8.0603193640911446</v>
      </c>
      <c r="CC9" s="60">
        <f t="shared" si="11"/>
        <v>189.53057146035013</v>
      </c>
      <c r="CD9" s="60">
        <f ca="1">AVERAGE(OFFSET($CC$3,0,0,'Données projet'!$E$12+1,1))-AVERAGE(OFFSET($H$3,0,0,'Données projet'!$E$12+1,1))</f>
        <v>542.90832990875208</v>
      </c>
      <c r="CE9" s="60">
        <f t="shared" si="40"/>
        <v>304.94365539329362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3.4425641025641025</v>
      </c>
      <c r="CT9" s="13">
        <f>IF('Données projet'!$A$140&gt;35,CT8+CS9-DB8,IF(A9&lt;'Données projet'!$A$140,$CQ$205^A9,IF(A9='Données projet'!$A$140,'Données projet'!$B$140,CT8+CS9-DB8)))</f>
        <v>2.5281373108456551</v>
      </c>
      <c r="CU9" s="18">
        <f>CT9*VLOOKUP('Données projet'!$B$13,Paramètres!$A$1:$I$89,3,0)*VLOOKUP('Données projet'!$B$13,Paramètres!$A$1:$I$89,5,0)</f>
        <v>1.1831682614757666</v>
      </c>
      <c r="CV9" s="14">
        <f t="shared" si="41"/>
        <v>0.53468249033221249</v>
      </c>
      <c r="CW9" s="22">
        <f t="shared" si="13"/>
        <v>2.9919233927322302</v>
      </c>
      <c r="CX9" s="60">
        <f t="shared" si="14"/>
        <v>184.46217548899119</v>
      </c>
      <c r="CY9" s="60">
        <f ca="1">AVERAGE(OFFSET($CX$3,0,0,'Données projet'!$E$13+1,1))-AVERAGE(OFFSET($H$3,0,0,'Données projet'!$E$13+1,1))</f>
        <v>277.77877239988635</v>
      </c>
      <c r="CZ9" s="60">
        <f t="shared" si="42"/>
        <v>164.65640238394164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1.8269230769230771</v>
      </c>
      <c r="DO9" s="13">
        <f>IF('Données projet'!$A$166&gt;35,DO8+DN9-DW8,IF(A9&lt;'Données projet'!$A$166,$DL$205^A9,IF(A9='Données projet'!$A$166,'Données projet'!$B$166,DO8+DN9-DW8)))</f>
        <v>2.943235934229389</v>
      </c>
      <c r="DP9" s="18">
        <f>DO9*VLOOKUP('Données projet'!$B$14,Paramètres!$A$1:$I$89,3,0)*VLOOKUP('Données projet'!$B$14,Paramètres!$A$1:$I$89,5,0)</f>
        <v>2.5252964315688162</v>
      </c>
      <c r="DQ9" s="14">
        <f t="shared" si="43"/>
        <v>1.0448050681662853</v>
      </c>
      <c r="DR9" s="22">
        <f t="shared" si="16"/>
        <v>6.2179267787053014</v>
      </c>
      <c r="DS9" s="60">
        <f t="shared" si="17"/>
        <v>187.68817887496428</v>
      </c>
      <c r="DT9" s="60">
        <f ca="1">AVERAGE(OFFSET($DS$3,0,0,'Données projet'!$E$14+1,1))-AVERAGE(OFFSET($H$3,0,0,'Données projet'!$E$14+1,1))</f>
        <v>354.30160274624632</v>
      </c>
      <c r="DU9" s="60">
        <f t="shared" si="44"/>
        <v>218.8005329382452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2.1</v>
      </c>
      <c r="EJ9" s="13">
        <f>IF('Données projet'!$A$192&gt;35,EJ8+EI9-ER8,IF(A9&lt;'Données projet'!$A$192,$EG$205^A9,IF(A9='Données projet'!$A$192,'Données projet'!$B$192,EJ8+EI9-ER8)))</f>
        <v>3.0688438220956993</v>
      </c>
      <c r="EK9" s="18">
        <f>EJ9*VLOOKUP('Données projet'!$B$15,Paramètres!$A$1:$I$89,3,0)*VLOOKUP('Données projet'!$B$15,Paramètres!$A$1:$I$89,5,0)</f>
        <v>2.9681857447309605</v>
      </c>
      <c r="EL9" s="14">
        <f t="shared" si="45"/>
        <v>1.2051613041728233</v>
      </c>
      <c r="EM9" s="22">
        <f t="shared" si="19"/>
        <v>7.2685794435074236</v>
      </c>
      <c r="EN9" s="60">
        <f t="shared" si="20"/>
        <v>188.73883153976641</v>
      </c>
      <c r="EO9" s="60">
        <f ca="1">AVERAGE(OFFSET($EN$3,0,0,'Données projet'!$E$15+1,1))-AVERAGE(OFFSET($H$3,0,0,'Données projet'!$E$15+1,1))</f>
        <v>496.33873798282525</v>
      </c>
      <c r="EP9" s="60">
        <f t="shared" si="46"/>
        <v>280.25465074992246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2.4933333333333332</v>
      </c>
      <c r="FE9" s="13">
        <f>IF('Données projet'!$A$218&gt;35,FE8+FD9-FM8,IF(A9&lt;'Données projet'!$A$218,$FB$205^A9,IF(A9='Données projet'!$A$218,'Données projet'!$B$218,FE8+FD9-FM8)))</f>
        <v>4.2574410264273705</v>
      </c>
      <c r="FF9" s="18">
        <f>FE9*VLOOKUP('Données projet'!$B$16,Paramètres!$A$1:$I$89,3,0)*VLOOKUP('Données projet'!$B$16,Paramètres!$A$1:$I$89,5,0)</f>
        <v>3.4536361606378834</v>
      </c>
      <c r="FG9" s="14">
        <f t="shared" si="47"/>
        <v>1.377758989924206</v>
      </c>
      <c r="FH9" s="22">
        <f t="shared" si="22"/>
        <v>8.4146798872289725</v>
      </c>
      <c r="FI9" s="60">
        <f t="shared" si="23"/>
        <v>189.88493198348795</v>
      </c>
      <c r="FJ9" s="60">
        <f ca="1">AVERAGE(OFFSET($FI$3,0,0,'Données projet'!$E$16+1,1))-AVERAGE(OFFSET($H$3,0,0,'Données projet'!$E$16+1,1))</f>
        <v>341.66430955115521</v>
      </c>
      <c r="FK9" s="60">
        <f t="shared" si="48"/>
        <v>366.15174925159192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2.4933333333333332</v>
      </c>
      <c r="FZ9" s="13">
        <f>IF('Données projet'!$A$244&gt;35,FZ8+FY9-GH8,IF(A9&lt;'Données projet'!$A$244,$FW$205^A9,IF(A9='Données projet'!$A$244,'Données projet'!$B$244,FZ8+FY9-GH8)))</f>
        <v>4.2574410264273705</v>
      </c>
      <c r="GA9" s="18">
        <f>FZ9*VLOOKUP('Données projet'!$B$17,Paramètres!$A$1:$I$89,3,0)*VLOOKUP('Données projet'!$B$17,Paramètres!$A$1:$I$89,5,0)</f>
        <v>3.1215557605765478</v>
      </c>
      <c r="GB9" s="14">
        <f t="shared" si="49"/>
        <v>1.2600226915512978</v>
      </c>
      <c r="GC9" s="22">
        <f t="shared" si="25"/>
        <v>7.6312491374559963</v>
      </c>
      <c r="GD9" s="60">
        <f t="shared" si="26"/>
        <v>189.10150123371497</v>
      </c>
      <c r="GE9" s="60">
        <f ca="1">AVERAGE(OFFSET($GD$3,0,0,'Données projet'!$E$17+1,1))-AVERAGE(OFFSET($H$3,0,0,'Données projet'!$E$17+1,1))</f>
        <v>314.58662400031631</v>
      </c>
      <c r="GF9" s="60">
        <f t="shared" si="50"/>
        <v>336.99073123405981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4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3.7512430744326299</v>
      </c>
      <c r="P10" s="14">
        <f t="shared" si="33"/>
        <v>1.4821538192545303</v>
      </c>
      <c r="Q10" s="22">
        <f t="shared" si="2"/>
        <v>9.1148329231718037</v>
      </c>
      <c r="R10" s="60">
        <f t="shared" si="0"/>
        <v>193.23901385890804</v>
      </c>
      <c r="S10" s="60">
        <f ca="1">AVERAGE(OFFSET($R$3,0,0,'Données projet'!$E$9+1,1))-AVERAGE(OFFSET($H$3,0,0,'Données projet'!$E$9+1,1))</f>
        <v>516.30971934066179</v>
      </c>
      <c r="T10" s="60">
        <f t="shared" si="34"/>
        <v>290.84286505723571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2.0085470085470085</v>
      </c>
      <c r="AI10" s="14">
        <f>IF('Données projet'!$A$62&gt;35,AI9+AH10-AQ9,IF(A10&lt;'Données projet'!$A$62,$AF$205^A10,IF(A10='Données projet'!$A$62,'Données projet'!$B$62,AI9+AH10-AQ9)))</f>
        <v>4.899903433839456</v>
      </c>
      <c r="AJ10" s="14">
        <f>AI10*VLOOKUP('Données projet'!$B$10,Paramètres!$A$1:$I$89,3,0)*VLOOKUP('Données projet'!$B$10,Paramètres!$A$1:$I$89,5,0)</f>
        <v>5.1213790690489995</v>
      </c>
      <c r="AK10" s="14">
        <f t="shared" si="35"/>
        <v>1.9514900860374758</v>
      </c>
      <c r="AL10" s="22">
        <f t="shared" si="4"/>
        <v>12.318580445108942</v>
      </c>
      <c r="AM10" s="60">
        <f t="shared" si="5"/>
        <v>196.44276138084518</v>
      </c>
      <c r="AN10" s="60">
        <f ca="1">AVERAGE(OFFSET($AM$3,0,0,'Données projet'!$E$10+1,1))-AVERAGE(OFFSET($H$3,0,0,'Données projet'!$E$10+1,1))</f>
        <v>529.00505223594837</v>
      </c>
      <c r="AO10" s="60">
        <f t="shared" si="36"/>
        <v>321.23004033257985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2.4933333333333332</v>
      </c>
      <c r="BD10" s="13">
        <f>IF('Données projet'!$A$88&gt;35,BD9+BC10-BL9,IF(A10&lt;'Données projet'!$A$88,$BA$205^A10,IF(A10='Données projet'!$A$88,'Données projet'!$B$88,BD9+BC10-BL9)))</f>
        <v>5.4200931160999835</v>
      </c>
      <c r="BE10" s="14">
        <f>BD10*VLOOKUP('Données projet'!$B$11,Paramètres!$A$1:$I$89,3,0)*VLOOKUP('Données projet'!$B$11,Paramètres!$A$1:$I$89,5,0)</f>
        <v>4.7349933462249458</v>
      </c>
      <c r="BF10" s="14">
        <f t="shared" si="37"/>
        <v>1.8208084613561826</v>
      </c>
      <c r="BG10" s="22">
        <f t="shared" si="7"/>
        <v>11.418021481537131</v>
      </c>
      <c r="BH10" s="60">
        <f t="shared" si="8"/>
        <v>195.54220241727336</v>
      </c>
      <c r="BI10" s="60">
        <f ca="1">AVERAGE(OFFSET($BH$3,0,0,'Données projet'!$E$11+1,1))-AVERAGE(OFFSET($H$3,0,0,'Données projet'!$E$11+1,1))</f>
        <v>363.28611056308665</v>
      </c>
      <c r="BJ10" s="60">
        <f t="shared" si="38"/>
        <v>389.43647559455974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3.982088802090022</v>
      </c>
      <c r="CA10" s="14">
        <f t="shared" si="39"/>
        <v>1.5624642602705792</v>
      </c>
      <c r="CB10" s="22">
        <f t="shared" si="10"/>
        <v>9.6567632502780452</v>
      </c>
      <c r="CC10" s="60">
        <f t="shared" si="11"/>
        <v>193.78094418601427</v>
      </c>
      <c r="CD10" s="60">
        <f ca="1">AVERAGE(OFFSET($CC$3,0,0,'Données projet'!$E$12+1,1))-AVERAGE(OFFSET($H$3,0,0,'Données projet'!$E$12+1,1))</f>
        <v>542.90832990875208</v>
      </c>
      <c r="CE10" s="60">
        <f t="shared" si="40"/>
        <v>304.94365539329362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3.4425641025641025</v>
      </c>
      <c r="CT10" s="13">
        <f>IF('Données projet'!$A$140&gt;35,CT9+CS10-DB9,IF(A10&lt;'Données projet'!$A$140,$CQ$205^A10,IF(A10='Données projet'!$A$140,'Données projet'!$B$140,CT9+CS10-DB9)))</f>
        <v>2.9507614507509188</v>
      </c>
      <c r="CU10" s="18">
        <f>CT10*VLOOKUP('Données projet'!$B$13,Paramètres!$A$1:$I$89,3,0)*VLOOKUP('Données projet'!$B$13,Paramètres!$A$1:$I$89,5,0)</f>
        <v>1.38095635895143</v>
      </c>
      <c r="CV10" s="14">
        <f t="shared" si="41"/>
        <v>0.61293591895758326</v>
      </c>
      <c r="CW10" s="22">
        <f t="shared" si="13"/>
        <v>3.472695717358198</v>
      </c>
      <c r="CX10" s="60">
        <f t="shared" si="14"/>
        <v>187.59687665309443</v>
      </c>
      <c r="CY10" s="60">
        <f ca="1">AVERAGE(OFFSET($CX$3,0,0,'Données projet'!$E$13+1,1))-AVERAGE(OFFSET($H$3,0,0,'Données projet'!$E$13+1,1))</f>
        <v>277.77877239988635</v>
      </c>
      <c r="CZ10" s="60">
        <f t="shared" si="42"/>
        <v>164.65640238394164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1.8269230769230771</v>
      </c>
      <c r="DO10" s="13">
        <f>IF('Données projet'!$A$166&gt;35,DO9+DN10-DW9,IF(A10&lt;'Données projet'!$A$166,$DL$205^A10,IF(A10='Données projet'!$A$166,'Données projet'!$B$166,DO9+DN10-DW9)))</f>
        <v>3.5234051927544003</v>
      </c>
      <c r="DP10" s="18">
        <f>DO10*VLOOKUP('Données projet'!$B$14,Paramètres!$A$1:$I$89,3,0)*VLOOKUP('Données projet'!$B$14,Paramètres!$A$1:$I$89,5,0)</f>
        <v>3.023081655383276</v>
      </c>
      <c r="DQ10" s="14">
        <f t="shared" si="43"/>
        <v>1.2248349690839917</v>
      </c>
      <c r="DR10" s="22">
        <f t="shared" si="16"/>
        <v>7.3984547876138231</v>
      </c>
      <c r="DS10" s="60">
        <f t="shared" si="17"/>
        <v>191.52263572335005</v>
      </c>
      <c r="DT10" s="60">
        <f ca="1">AVERAGE(OFFSET($DS$3,0,0,'Données projet'!$E$14+1,1))-AVERAGE(OFFSET($H$3,0,0,'Données projet'!$E$14+1,1))</f>
        <v>354.30160274624632</v>
      </c>
      <c r="DU10" s="60">
        <f t="shared" si="44"/>
        <v>218.8005329382452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2.1</v>
      </c>
      <c r="EJ10" s="13">
        <f>IF('Données projet'!$A$192&gt;35,EJ9+EI10-ER9,IF(A10&lt;'Données projet'!$A$192,$EG$205^A10,IF(A10='Données projet'!$A$192,'Données projet'!$B$192,EJ9+EI10-ER9)))</f>
        <v>3.6994507637402658</v>
      </c>
      <c r="EK10" s="18">
        <f>EJ10*VLOOKUP('Données projet'!$B$15,Paramètres!$A$1:$I$89,3,0)*VLOOKUP('Données projet'!$B$15,Paramètres!$A$1:$I$89,5,0)</f>
        <v>3.5781087786895851</v>
      </c>
      <c r="EL10" s="14">
        <f t="shared" si="45"/>
        <v>1.4215440842341414</v>
      </c>
      <c r="EM10" s="22">
        <f t="shared" si="19"/>
        <v>8.707728736258824</v>
      </c>
      <c r="EN10" s="60">
        <f t="shared" si="20"/>
        <v>192.83190967199505</v>
      </c>
      <c r="EO10" s="60">
        <f ca="1">AVERAGE(OFFSET($EN$3,0,0,'Données projet'!$E$15+1,1))-AVERAGE(OFFSET($H$3,0,0,'Données projet'!$E$15+1,1))</f>
        <v>496.33873798282525</v>
      </c>
      <c r="EP10" s="60">
        <f t="shared" si="46"/>
        <v>280.25465074992246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2.4933333333333332</v>
      </c>
      <c r="FE10" s="13">
        <f>IF('Données projet'!$A$218&gt;35,FE9+FD10-FM9,IF(A10&lt;'Données projet'!$A$218,$FB$205^A10,IF(A10='Données projet'!$A$218,'Données projet'!$B$218,FE9+FD10-FM9)))</f>
        <v>5.4200931160999835</v>
      </c>
      <c r="FF10" s="18">
        <f>FE10*VLOOKUP('Données projet'!$B$16,Paramètres!$A$1:$I$89,3,0)*VLOOKUP('Données projet'!$B$16,Paramètres!$A$1:$I$89,5,0)</f>
        <v>4.3967795357803068</v>
      </c>
      <c r="FG10" s="14">
        <f t="shared" si="47"/>
        <v>1.7053985000542544</v>
      </c>
      <c r="FH10" s="22">
        <f t="shared" si="22"/>
        <v>10.627960079078528</v>
      </c>
      <c r="FI10" s="60">
        <f t="shared" si="23"/>
        <v>194.75214101481475</v>
      </c>
      <c r="FJ10" s="60">
        <f ca="1">AVERAGE(OFFSET($FI$3,0,0,'Données projet'!$E$16+1,1))-AVERAGE(OFFSET($H$3,0,0,'Données projet'!$E$16+1,1))</f>
        <v>341.66430955115521</v>
      </c>
      <c r="FK10" s="60">
        <f t="shared" si="48"/>
        <v>366.15174925159192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2.4933333333333332</v>
      </c>
      <c r="FZ10" s="13">
        <f>IF('Données projet'!$A$244&gt;35,FZ9+FY10-GH9,IF(A10&lt;'Données projet'!$A$244,$FW$205^A10,IF(A10='Données projet'!$A$244,'Données projet'!$B$244,FZ9+FY10-GH9)))</f>
        <v>5.4200931160999835</v>
      </c>
      <c r="GA10" s="18">
        <f>FZ10*VLOOKUP('Données projet'!$B$17,Paramètres!$A$1:$I$89,3,0)*VLOOKUP('Données projet'!$B$17,Paramètres!$A$1:$I$89,5,0)</f>
        <v>3.974012272724508</v>
      </c>
      <c r="GB10" s="14">
        <f t="shared" si="49"/>
        <v>1.5596637901989818</v>
      </c>
      <c r="GC10" s="22">
        <f t="shared" si="25"/>
        <v>9.6378191429250784</v>
      </c>
      <c r="GD10" s="60">
        <f t="shared" si="26"/>
        <v>193.76200007866132</v>
      </c>
      <c r="GE10" s="60">
        <f ca="1">AVERAGE(OFFSET($GD$3,0,0,'Données projet'!$E$17+1,1))-AVERAGE(OFFSET($H$3,0,0,'Données projet'!$E$17+1,1))</f>
        <v>314.58662400031631</v>
      </c>
      <c r="GF10" s="60">
        <f t="shared" si="50"/>
        <v>336.99073123405981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4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4.5220740647558486</v>
      </c>
      <c r="P11" s="14">
        <f t="shared" si="33"/>
        <v>1.7482697016499746</v>
      </c>
      <c r="Q11" s="22">
        <f t="shared" si="2"/>
        <v>10.92084872649014</v>
      </c>
      <c r="R11" s="60">
        <f t="shared" si="0"/>
        <v>197.67412159271069</v>
      </c>
      <c r="S11" s="60">
        <f ca="1">AVERAGE(OFFSET($R$3,0,0,'Données projet'!$E$9+1,1))-AVERAGE(OFFSET($H$3,0,0,'Données projet'!$E$9+1,1))</f>
        <v>516.30971934066179</v>
      </c>
      <c r="T11" s="60">
        <f t="shared" si="34"/>
        <v>290.84286505723571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2.0085470085470085</v>
      </c>
      <c r="AI11" s="14">
        <f>IF('Données projet'!$A$62&gt;35,AI10+AH11-AQ10,IF(A11&lt;'Données projet'!$A$62,$AF$205^A11,IF(A11='Données projet'!$A$62,'Données projet'!$B$62,AI10+AH11-AQ10)))</f>
        <v>6.1487344669152542</v>
      </c>
      <c r="AJ11" s="14">
        <f>AI11*VLOOKUP('Données projet'!$B$10,Paramètres!$A$1:$I$89,3,0)*VLOOKUP('Données projet'!$B$10,Paramètres!$A$1:$I$89,5,0)</f>
        <v>6.4266572648198244</v>
      </c>
      <c r="AK11" s="14">
        <f t="shared" si="35"/>
        <v>2.3849964345630501</v>
      </c>
      <c r="AL11" s="22">
        <f t="shared" si="4"/>
        <v>15.346963526425172</v>
      </c>
      <c r="AM11" s="60">
        <f t="shared" si="5"/>
        <v>202.10023639264574</v>
      </c>
      <c r="AN11" s="60">
        <f ca="1">AVERAGE(OFFSET($AM$3,0,0,'Données projet'!$E$10+1,1))-AVERAGE(OFFSET($H$3,0,0,'Données projet'!$E$10+1,1))</f>
        <v>529.00505223594837</v>
      </c>
      <c r="AO11" s="60">
        <f t="shared" si="36"/>
        <v>321.23004033257985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2.4933333333333332</v>
      </c>
      <c r="BD11" s="13">
        <f>IF('Données projet'!$A$88&gt;35,BD10+BC11-BL10,IF(A11&lt;'Données projet'!$A$88,$BA$205^A11,IF(A11='Données projet'!$A$88,'Données projet'!$B$88,BD10+BC11-BL10)))</f>
        <v>6.9002504567506522</v>
      </c>
      <c r="BE11" s="14">
        <f>BD11*VLOOKUP('Données projet'!$B$11,Paramètres!$A$1:$I$89,3,0)*VLOOKUP('Données projet'!$B$11,Paramètres!$A$1:$I$89,5,0)</f>
        <v>6.0280587990173711</v>
      </c>
      <c r="BF11" s="14">
        <f t="shared" si="37"/>
        <v>2.2538078441816265</v>
      </c>
      <c r="BG11" s="22">
        <f t="shared" si="7"/>
        <v>14.424251070238251</v>
      </c>
      <c r="BH11" s="60">
        <f t="shared" si="8"/>
        <v>201.17752393645881</v>
      </c>
      <c r="BI11" s="60">
        <f ca="1">AVERAGE(OFFSET($BH$3,0,0,'Données projet'!$E$11+1,1))-AVERAGE(OFFSET($H$3,0,0,'Données projet'!$E$11+1,1))</f>
        <v>363.28611056308665</v>
      </c>
      <c r="BJ11" s="60">
        <f t="shared" si="38"/>
        <v>389.43647559455974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4.8003555456638995</v>
      </c>
      <c r="CA11" s="14">
        <f t="shared" si="39"/>
        <v>1.8429996203200378</v>
      </c>
      <c r="CB11" s="22">
        <f t="shared" si="10"/>
        <v>11.570510247422023</v>
      </c>
      <c r="CC11" s="60">
        <f t="shared" si="11"/>
        <v>198.32378311364258</v>
      </c>
      <c r="CD11" s="60">
        <f ca="1">AVERAGE(OFFSET($CC$3,0,0,'Données projet'!$E$12+1,1))-AVERAGE(OFFSET($H$3,0,0,'Données projet'!$E$12+1,1))</f>
        <v>542.90832990875208</v>
      </c>
      <c r="CE11" s="60">
        <f t="shared" si="40"/>
        <v>304.94365539329362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3.4425641025641025</v>
      </c>
      <c r="CT11" s="13">
        <f>IF('Données projet'!$A$140&gt;35,CT10+CS11-DB10,IF(A11&lt;'Données projet'!$A$140,$CQ$205^A11,IF(A11='Données projet'!$A$140,'Données projet'!$B$140,CT10+CS11-DB10)))</f>
        <v>3.4440349034385327</v>
      </c>
      <c r="CU11" s="18">
        <f>CT11*VLOOKUP('Données projet'!$B$13,Paramètres!$A$1:$I$89,3,0)*VLOOKUP('Données projet'!$B$13,Paramètres!$A$1:$I$89,5,0)</f>
        <v>1.6118083348092334</v>
      </c>
      <c r="CV11" s="14">
        <f t="shared" si="41"/>
        <v>0.70264212414165761</v>
      </c>
      <c r="CW11" s="22">
        <f t="shared" si="13"/>
        <v>4.0310012160061346</v>
      </c>
      <c r="CX11" s="60">
        <f t="shared" si="14"/>
        <v>190.78427408222669</v>
      </c>
      <c r="CY11" s="60">
        <f ca="1">AVERAGE(OFFSET($CX$3,0,0,'Données projet'!$E$13+1,1))-AVERAGE(OFFSET($H$3,0,0,'Données projet'!$E$13+1,1))</f>
        <v>277.77877239988635</v>
      </c>
      <c r="CZ11" s="60">
        <f t="shared" si="42"/>
        <v>164.65640238394164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1.8269230769230771</v>
      </c>
      <c r="DO11" s="13">
        <f>IF('Données projet'!$A$166&gt;35,DO10+DN11-DW10,IF(A11&lt;'Données projet'!$A$166,$DL$205^A11,IF(A11='Données projet'!$A$166,'Données projet'!$B$166,DO10+DN11-DW10)))</f>
        <v>4.2179371378119113</v>
      </c>
      <c r="DP11" s="18">
        <f>DO11*VLOOKUP('Données projet'!$B$14,Paramètres!$A$1:$I$89,3,0)*VLOOKUP('Données projet'!$B$14,Paramètres!$A$1:$I$89,5,0)</f>
        <v>3.6189900642426203</v>
      </c>
      <c r="DQ11" s="14">
        <f t="shared" si="43"/>
        <v>1.435885742901293</v>
      </c>
      <c r="DR11" s="22">
        <f t="shared" si="16"/>
        <v>8.8039086974423153</v>
      </c>
      <c r="DS11" s="60">
        <f t="shared" si="17"/>
        <v>195.55718156366288</v>
      </c>
      <c r="DT11" s="60">
        <f ca="1">AVERAGE(OFFSET($DS$3,0,0,'Données projet'!$E$14+1,1))-AVERAGE(OFFSET($H$3,0,0,'Données projet'!$E$14+1,1))</f>
        <v>354.30160274624632</v>
      </c>
      <c r="DU11" s="60">
        <f t="shared" si="44"/>
        <v>218.8005329382452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2.1</v>
      </c>
      <c r="EJ11" s="13">
        <f>IF('Données projet'!$A$192&gt;35,EJ10+EI11-ER10,IF(A11&lt;'Données projet'!$A$192,$EG$205^A11,IF(A11='Données projet'!$A$192,'Données projet'!$B$192,EJ10+EI11-ER10)))</f>
        <v>4.4596391171162209</v>
      </c>
      <c r="EK11" s="18">
        <f>EJ11*VLOOKUP('Données projet'!$B$15,Paramètres!$A$1:$I$89,3,0)*VLOOKUP('Données projet'!$B$15,Paramètres!$A$1:$I$89,5,0)</f>
        <v>4.3133629540748091</v>
      </c>
      <c r="EL11" s="14">
        <f t="shared" si="45"/>
        <v>1.6767776864592203</v>
      </c>
      <c r="EM11" s="22">
        <f t="shared" si="19"/>
        <v>10.432828282263435</v>
      </c>
      <c r="EN11" s="60">
        <f t="shared" si="20"/>
        <v>197.186101148484</v>
      </c>
      <c r="EO11" s="60">
        <f ca="1">AVERAGE(OFFSET($EN$3,0,0,'Données projet'!$E$15+1,1))-AVERAGE(OFFSET($H$3,0,0,'Données projet'!$E$15+1,1))</f>
        <v>496.33873798282525</v>
      </c>
      <c r="EP11" s="60">
        <f t="shared" si="46"/>
        <v>280.25465074992246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2.4933333333333332</v>
      </c>
      <c r="FE11" s="13">
        <f>IF('Données projet'!$A$218&gt;35,FE10+FD11-FM10,IF(A11&lt;'Données projet'!$A$218,$FB$205^A11,IF(A11='Données projet'!$A$218,'Données projet'!$B$218,FE10+FD11-FM10)))</f>
        <v>6.9002504567506522</v>
      </c>
      <c r="FF11" s="18">
        <f>FE11*VLOOKUP('Données projet'!$B$16,Paramètres!$A$1:$I$89,3,0)*VLOOKUP('Données projet'!$B$16,Paramètres!$A$1:$I$89,5,0)</f>
        <v>5.5974831705161296</v>
      </c>
      <c r="FG11" s="14">
        <f t="shared" si="47"/>
        <v>2.110952688573855</v>
      </c>
      <c r="FH11" s="22">
        <f t="shared" si="22"/>
        <v>13.425525787915056</v>
      </c>
      <c r="FI11" s="60">
        <f t="shared" si="23"/>
        <v>200.17879865413562</v>
      </c>
      <c r="FJ11" s="60">
        <f ca="1">AVERAGE(OFFSET($FI$3,0,0,'Données projet'!$E$16+1,1))-AVERAGE(OFFSET($H$3,0,0,'Données projet'!$E$16+1,1))</f>
        <v>341.66430955115521</v>
      </c>
      <c r="FK11" s="60">
        <f t="shared" si="48"/>
        <v>366.15174925159192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2.4933333333333332</v>
      </c>
      <c r="FZ11" s="13">
        <f>IF('Données projet'!$A$244&gt;35,FZ10+FY11-GH10,IF(A11&lt;'Données projet'!$A$244,$FW$205^A11,IF(A11='Données projet'!$A$244,'Données projet'!$B$244,FZ10+FY11-GH10)))</f>
        <v>6.9002504567506522</v>
      </c>
      <c r="GA11" s="18">
        <f>FZ11*VLOOKUP('Données projet'!$B$17,Paramètres!$A$1:$I$89,3,0)*VLOOKUP('Données projet'!$B$17,Paramètres!$A$1:$I$89,5,0)</f>
        <v>5.0592636348895788</v>
      </c>
      <c r="GB11" s="14">
        <f t="shared" si="49"/>
        <v>1.9305613738296874</v>
      </c>
      <c r="GC11" s="22">
        <f t="shared" si="25"/>
        <v>12.173945223519388</v>
      </c>
      <c r="GD11" s="60">
        <f t="shared" si="26"/>
        <v>198.92721808973994</v>
      </c>
      <c r="GE11" s="60">
        <f ca="1">AVERAGE(OFFSET($GD$3,0,0,'Données projet'!$E$17+1,1))-AVERAGE(OFFSET($H$3,0,0,'Données projet'!$E$17+1,1))</f>
        <v>314.58662400031631</v>
      </c>
      <c r="GF11" s="60">
        <f t="shared" si="50"/>
        <v>336.99073123405981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4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5.4513006599100189</v>
      </c>
      <c r="P12" s="14">
        <f t="shared" si="33"/>
        <v>2.062165822468125</v>
      </c>
      <c r="Q12" s="22">
        <f t="shared" si="2"/>
        <v>13.085954123475267</v>
      </c>
      <c r="R12" s="60">
        <f t="shared" si="0"/>
        <v>202.44391287603133</v>
      </c>
      <c r="S12" s="60">
        <f ca="1">AVERAGE(OFFSET($R$3,0,0,'Données projet'!$E$9+1,1))-AVERAGE(OFFSET($H$3,0,0,'Données projet'!$E$9+1,1))</f>
        <v>516.30971934066179</v>
      </c>
      <c r="T12" s="60">
        <f t="shared" si="34"/>
        <v>290.84286505723571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2.0085470085470085</v>
      </c>
      <c r="AI12" s="14">
        <f>IF('Données projet'!$A$62&gt;35,AI11+AH12-AQ11,IF(A12&lt;'Données projet'!$A$62,$AF$205^A12,IF(A12='Données projet'!$A$62,'Données projet'!$B$62,AI11+AH12-AQ11)))</f>
        <v>7.715853190806035</v>
      </c>
      <c r="AJ12" s="14">
        <f>AI12*VLOOKUP('Données projet'!$B$10,Paramètres!$A$1:$I$89,3,0)*VLOOKUP('Données projet'!$B$10,Paramètres!$A$1:$I$89,5,0)</f>
        <v>8.0646097550304692</v>
      </c>
      <c r="AK12" s="14">
        <f t="shared" si="35"/>
        <v>2.9148024033411493</v>
      </c>
      <c r="AL12" s="22">
        <f t="shared" si="4"/>
        <v>19.122476175830567</v>
      </c>
      <c r="AM12" s="60">
        <f t="shared" si="5"/>
        <v>208.48043492838664</v>
      </c>
      <c r="AN12" s="60">
        <f ca="1">AVERAGE(OFFSET($AM$3,0,0,'Données projet'!$E$10+1,1))-AVERAGE(OFFSET($H$3,0,0,'Données projet'!$E$10+1,1))</f>
        <v>529.00505223594837</v>
      </c>
      <c r="AO12" s="60">
        <f t="shared" si="36"/>
        <v>321.23004033257985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2.4933333333333332</v>
      </c>
      <c r="BD12" s="13">
        <f>IF('Données projet'!$A$88&gt;35,BD11+BC12-BL11,IF(A12&lt;'Données projet'!$A$88,$BA$205^A12,IF(A12='Données projet'!$A$88,'Données projet'!$B$88,BD11+BC12-BL11)))</f>
        <v>8.784619626636184</v>
      </c>
      <c r="BE12" s="14">
        <f>BD12*VLOOKUP('Données projet'!$B$11,Paramètres!$A$1:$I$89,3,0)*VLOOKUP('Données projet'!$B$11,Paramètres!$A$1:$I$89,5,0)</f>
        <v>7.6742437058293707</v>
      </c>
      <c r="BF12" s="14">
        <f t="shared" si="37"/>
        <v>2.7897771271950154</v>
      </c>
      <c r="BG12" s="22">
        <f t="shared" si="7"/>
        <v>18.224836284184136</v>
      </c>
      <c r="BH12" s="60">
        <f t="shared" si="8"/>
        <v>207.58279503674021</v>
      </c>
      <c r="BI12" s="60">
        <f ca="1">AVERAGE(OFFSET($BH$3,0,0,'Données projet'!$E$11+1,1))-AVERAGE(OFFSET($H$3,0,0,'Données projet'!$E$11+1,1))</f>
        <v>363.28611056308665</v>
      </c>
      <c r="BJ12" s="60">
        <f t="shared" si="38"/>
        <v>389.43647559455974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5.7867653159044812</v>
      </c>
      <c r="CA12" s="14">
        <f t="shared" si="39"/>
        <v>2.1739041889582755</v>
      </c>
      <c r="CB12" s="22">
        <f t="shared" si="10"/>
        <v>13.864832720969302</v>
      </c>
      <c r="CC12" s="60">
        <f t="shared" si="11"/>
        <v>203.22279147352538</v>
      </c>
      <c r="CD12" s="60">
        <f ca="1">AVERAGE(OFFSET($CC$3,0,0,'Données projet'!$E$12+1,1))-AVERAGE(OFFSET($H$3,0,0,'Données projet'!$E$12+1,1))</f>
        <v>542.90832990875208</v>
      </c>
      <c r="CE12" s="60">
        <f t="shared" si="40"/>
        <v>304.94365539329362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3.4425641025641025</v>
      </c>
      <c r="CT12" s="13">
        <f>IF('Données projet'!$A$140&gt;35,CT11+CS12-DB11,IF(A12&lt;'Données projet'!$A$140,$CQ$205^A12,IF(A12='Données projet'!$A$140,'Données projet'!$B$140,CT11+CS12-DB11)))</f>
        <v>4.0197679866952116</v>
      </c>
      <c r="CU12" s="18">
        <f>CT12*VLOOKUP('Données projet'!$B$13,Paramètres!$A$1:$I$89,3,0)*VLOOKUP('Données projet'!$B$13,Paramètres!$A$1:$I$89,5,0)</f>
        <v>1.881251417773359</v>
      </c>
      <c r="CV12" s="14">
        <f t="shared" si="41"/>
        <v>0.80547727641405575</v>
      </c>
      <c r="CW12" s="22">
        <f t="shared" si="13"/>
        <v>4.6793858090430804</v>
      </c>
      <c r="CX12" s="60">
        <f t="shared" si="14"/>
        <v>194.03734456159916</v>
      </c>
      <c r="CY12" s="60">
        <f ca="1">AVERAGE(OFFSET($CX$3,0,0,'Données projet'!$E$13+1,1))-AVERAGE(OFFSET($H$3,0,0,'Données projet'!$E$13+1,1))</f>
        <v>277.77877239988635</v>
      </c>
      <c r="CZ12" s="60">
        <f t="shared" si="42"/>
        <v>164.65640238394164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1.8269230769230771</v>
      </c>
      <c r="DO12" s="13">
        <f>IF('Données projet'!$A$166&gt;35,DO11+DN12-DW11,IF(A12&lt;'Données projet'!$A$166,$DL$205^A12,IF(A12='Données projet'!$A$166,'Données projet'!$B$166,DO11+DN12-DW11)))</f>
        <v>5.0493748874295479</v>
      </c>
      <c r="DP12" s="18">
        <f>DO12*VLOOKUP('Données projet'!$B$14,Paramètres!$A$1:$I$89,3,0)*VLOOKUP('Données projet'!$B$14,Paramètres!$A$1:$I$89,5,0)</f>
        <v>4.3323636534145527</v>
      </c>
      <c r="DQ12" s="14">
        <f t="shared" si="43"/>
        <v>1.6833025825586263</v>
      </c>
      <c r="DR12" s="22">
        <f t="shared" si="16"/>
        <v>10.47728536098662</v>
      </c>
      <c r="DS12" s="60">
        <f t="shared" si="17"/>
        <v>199.8352441135427</v>
      </c>
      <c r="DT12" s="60">
        <f ca="1">AVERAGE(OFFSET($DS$3,0,0,'Données projet'!$E$14+1,1))-AVERAGE(OFFSET($H$3,0,0,'Données projet'!$E$14+1,1))</f>
        <v>354.30160274624632</v>
      </c>
      <c r="DU12" s="60">
        <f t="shared" si="44"/>
        <v>218.8005329382452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2.1</v>
      </c>
      <c r="EJ12" s="13">
        <f>IF('Données projet'!$A$192&gt;35,EJ11+EI12-ER11,IF(A12&lt;'Données projet'!$A$192,$EG$205^A12,IF(A12='Données projet'!$A$192,'Données projet'!$B$192,EJ11+EI12-ER11)))</f>
        <v>5.3760361537574148</v>
      </c>
      <c r="EK12" s="18">
        <f>EJ12*VLOOKUP('Données projet'!$B$15,Paramètres!$A$1:$I$89,3,0)*VLOOKUP('Données projet'!$B$15,Paramètres!$A$1:$I$89,5,0)</f>
        <v>5.1997021679141717</v>
      </c>
      <c r="EL12" s="14">
        <f t="shared" si="45"/>
        <v>1.977837649208241</v>
      </c>
      <c r="EM12" s="22">
        <f t="shared" si="19"/>
        <v>12.500881848154869</v>
      </c>
      <c r="EN12" s="60">
        <f t="shared" si="20"/>
        <v>201.85884060071095</v>
      </c>
      <c r="EO12" s="60">
        <f ca="1">AVERAGE(OFFSET($EN$3,0,0,'Données projet'!$E$15+1,1))-AVERAGE(OFFSET($H$3,0,0,'Données projet'!$E$15+1,1))</f>
        <v>496.33873798282525</v>
      </c>
      <c r="EP12" s="60">
        <f t="shared" si="46"/>
        <v>280.25465074992246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2.4933333333333332</v>
      </c>
      <c r="FE12" s="13">
        <f>IF('Données projet'!$A$218&gt;35,FE11+FD12-FM11,IF(A12&lt;'Données projet'!$A$218,$FB$205^A12,IF(A12='Données projet'!$A$218,'Données projet'!$B$218,FE11+FD12-FM11)))</f>
        <v>8.784619626636184</v>
      </c>
      <c r="FF12" s="18">
        <f>FE12*VLOOKUP('Données projet'!$B$16,Paramètres!$A$1:$I$89,3,0)*VLOOKUP('Données projet'!$B$16,Paramètres!$A$1:$I$89,5,0)</f>
        <v>7.126083441127272</v>
      </c>
      <c r="FG12" s="14">
        <f t="shared" si="47"/>
        <v>2.6129501423012993</v>
      </c>
      <c r="FH12" s="22">
        <f t="shared" si="22"/>
        <v>16.962150157804761</v>
      </c>
      <c r="FI12" s="60">
        <f t="shared" si="23"/>
        <v>206.32010891036083</v>
      </c>
      <c r="FJ12" s="60">
        <f ca="1">AVERAGE(OFFSET($FI$3,0,0,'Données projet'!$E$16+1,1))-AVERAGE(OFFSET($H$3,0,0,'Données projet'!$E$16+1,1))</f>
        <v>341.66430955115521</v>
      </c>
      <c r="FK12" s="60">
        <f t="shared" si="48"/>
        <v>366.15174925159192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2.4933333333333332</v>
      </c>
      <c r="FZ12" s="13">
        <f>IF('Données projet'!$A$244&gt;35,FZ11+FY12-GH11,IF(A12&lt;'Données projet'!$A$244,$FW$205^A12,IF(A12='Données projet'!$A$244,'Données projet'!$B$244,FZ11+FY12-GH11)))</f>
        <v>8.784619626636184</v>
      </c>
      <c r="GA12" s="18">
        <f>FZ12*VLOOKUP('Données projet'!$B$17,Paramètres!$A$1:$I$89,3,0)*VLOOKUP('Données projet'!$B$17,Paramètres!$A$1:$I$89,5,0)</f>
        <v>6.4408831102496507</v>
      </c>
      <c r="GB12" s="14">
        <f t="shared" si="49"/>
        <v>2.3896606701676846</v>
      </c>
      <c r="GC12" s="22">
        <f t="shared" si="25"/>
        <v>15.379863750893525</v>
      </c>
      <c r="GD12" s="60">
        <f t="shared" si="26"/>
        <v>204.73782250344959</v>
      </c>
      <c r="GE12" s="60">
        <f ca="1">AVERAGE(OFFSET($GD$3,0,0,'Données projet'!$E$17+1,1))-AVERAGE(OFFSET($H$3,0,0,'Données projet'!$E$17+1,1))</f>
        <v>314.58662400031631</v>
      </c>
      <c r="GF12" s="60">
        <f t="shared" si="50"/>
        <v>336.99073123405981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4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6.5714710681855761</v>
      </c>
      <c r="P13" s="14">
        <f t="shared" si="33"/>
        <v>2.4324209676242781</v>
      </c>
      <c r="Q13" s="22">
        <f t="shared" si="2"/>
        <v>15.681778629035497</v>
      </c>
      <c r="R13" s="60">
        <f t="shared" si="0"/>
        <v>207.62044061408039</v>
      </c>
      <c r="S13" s="60">
        <f ca="1">AVERAGE(OFFSET($R$3,0,0,'Données projet'!$E$9+1,1))-AVERAGE(OFFSET($H$3,0,0,'Données projet'!$E$9+1,1))</f>
        <v>516.30971934066179</v>
      </c>
      <c r="T13" s="60">
        <f t="shared" si="34"/>
        <v>290.84286505723571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2.0085470085470085</v>
      </c>
      <c r="AI13" s="14">
        <f>IF('Données projet'!$A$62&gt;35,AI12+AH13-AQ12,IF(A13&lt;'Données projet'!$A$62,$AF$205^A13,IF(A13='Données projet'!$A$62,'Données projet'!$B$62,AI12+AH13-AQ12)))</f>
        <v>9.6823811114971363</v>
      </c>
      <c r="AJ13" s="14">
        <f>AI13*VLOOKUP('Données projet'!$B$10,Paramètres!$A$1:$I$89,3,0)*VLOOKUP('Données projet'!$B$10,Paramètres!$A$1:$I$89,5,0)</f>
        <v>10.120024737736808</v>
      </c>
      <c r="AK13" s="14">
        <f t="shared" si="35"/>
        <v>3.5623001055261061</v>
      </c>
      <c r="AL13" s="22">
        <f t="shared" si="4"/>
        <v>23.830049102016243</v>
      </c>
      <c r="AM13" s="60">
        <f t="shared" si="5"/>
        <v>215.76871108706112</v>
      </c>
      <c r="AN13" s="60">
        <f ca="1">AVERAGE(OFFSET($AM$3,0,0,'Données projet'!$E$10+1,1))-AVERAGE(OFFSET($H$3,0,0,'Données projet'!$E$10+1,1))</f>
        <v>529.00505223594837</v>
      </c>
      <c r="AO13" s="60">
        <f t="shared" si="36"/>
        <v>321.23004033257985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2.4933333333333332</v>
      </c>
      <c r="BD13" s="13">
        <f>IF('Données projet'!$A$88&gt;35,BD12+BC13-BL12,IF(A13&lt;'Données projet'!$A$88,$BA$205^A13,IF(A13='Données projet'!$A$88,'Données projet'!$B$88,BD12+BC13-BL12)))</f>
        <v>11.183585649298445</v>
      </c>
      <c r="BE13" s="14">
        <f>BD13*VLOOKUP('Données projet'!$B$11,Paramètres!$A$1:$I$89,3,0)*VLOOKUP('Données projet'!$B$11,Paramètres!$A$1:$I$89,5,0)</f>
        <v>9.769980423227123</v>
      </c>
      <c r="BF13" s="14">
        <f t="shared" si="37"/>
        <v>3.4532031821224263</v>
      </c>
      <c r="BG13" s="22">
        <f t="shared" si="7"/>
        <v>23.030378112650464</v>
      </c>
      <c r="BH13" s="60">
        <f t="shared" si="8"/>
        <v>214.96904009769534</v>
      </c>
      <c r="BI13" s="60">
        <f ca="1">AVERAGE(OFFSET($BH$3,0,0,'Données projet'!$E$11+1,1))-AVERAGE(OFFSET($H$3,0,0,'Données projet'!$E$11+1,1))</f>
        <v>363.28611056308665</v>
      </c>
      <c r="BJ13" s="60">
        <f t="shared" si="38"/>
        <v>389.43647559455974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6.9758692877662263</v>
      </c>
      <c r="CA13" s="14">
        <f t="shared" si="39"/>
        <v>2.5642215932468222</v>
      </c>
      <c r="CB13" s="22">
        <f t="shared" si="10"/>
        <v>16.61565828443106</v>
      </c>
      <c r="CC13" s="60">
        <f t="shared" si="11"/>
        <v>208.55432026947594</v>
      </c>
      <c r="CD13" s="60">
        <f ca="1">AVERAGE(OFFSET($CC$3,0,0,'Données projet'!$E$12+1,1))-AVERAGE(OFFSET($H$3,0,0,'Données projet'!$E$12+1,1))</f>
        <v>542.90832990875208</v>
      </c>
      <c r="CE13" s="60">
        <f t="shared" si="40"/>
        <v>304.94365539329362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3.4425641025641025</v>
      </c>
      <c r="CT13" s="13">
        <f>IF('Données projet'!$A$140&gt;35,CT12+CS13-DB12,IF(A13&lt;'Données projet'!$A$140,$CQ$205^A13,IF(A13='Données projet'!$A$140,'Données projet'!$B$140,CT12+CS13-DB12)))</f>
        <v>4.6917453277627805</v>
      </c>
      <c r="CU13" s="18">
        <f>CT13*VLOOKUP('Données projet'!$B$13,Paramètres!$A$1:$I$89,3,0)*VLOOKUP('Données projet'!$B$13,Paramètres!$A$1:$I$89,5,0)</f>
        <v>2.1957368133929811</v>
      </c>
      <c r="CV13" s="14">
        <f t="shared" si="41"/>
        <v>0.9233628621568436</v>
      </c>
      <c r="CW13" s="22">
        <f t="shared" si="13"/>
        <v>5.432431934915944</v>
      </c>
      <c r="CX13" s="60">
        <f t="shared" si="14"/>
        <v>197.37109391996083</v>
      </c>
      <c r="CY13" s="60">
        <f ca="1">AVERAGE(OFFSET($CX$3,0,0,'Données projet'!$E$13+1,1))-AVERAGE(OFFSET($H$3,0,0,'Données projet'!$E$13+1,1))</f>
        <v>277.77877239988635</v>
      </c>
      <c r="CZ13" s="60">
        <f t="shared" si="42"/>
        <v>164.65640238394164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1.8269230769230771</v>
      </c>
      <c r="DO13" s="13">
        <f>IF('Données projet'!$A$166&gt;35,DO12+DN13-DW12,IF(A13&lt;'Données projet'!$A$166,$DL$205^A13,IF(A13='Données projet'!$A$166,'Données projet'!$B$166,DO12+DN13-DW12)))</f>
        <v>6.0447052482698957</v>
      </c>
      <c r="DP13" s="18">
        <f>DO13*VLOOKUP('Données projet'!$B$14,Paramètres!$A$1:$I$89,3,0)*VLOOKUP('Données projet'!$B$14,Paramètres!$A$1:$I$89,5,0)</f>
        <v>5.1863571030155713</v>
      </c>
      <c r="DQ13" s="14">
        <f t="shared" si="43"/>
        <v>1.9733517088367138</v>
      </c>
      <c r="DR13" s="22">
        <f t="shared" si="16"/>
        <v>12.469826180642729</v>
      </c>
      <c r="DS13" s="60">
        <f t="shared" si="17"/>
        <v>204.40848816568763</v>
      </c>
      <c r="DT13" s="60">
        <f ca="1">AVERAGE(OFFSET($DS$3,0,0,'Données projet'!$E$14+1,1))-AVERAGE(OFFSET($H$3,0,0,'Données projet'!$E$14+1,1))</f>
        <v>354.30160274624632</v>
      </c>
      <c r="DU13" s="60">
        <f t="shared" si="44"/>
        <v>218.8005329382452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2.1</v>
      </c>
      <c r="EJ13" s="13">
        <f>IF('Données projet'!$A$192&gt;35,EJ12+EI13-ER12,IF(A13&lt;'Données projet'!$A$192,$EG$205^A13,IF(A13='Données projet'!$A$192,'Données projet'!$B$192,EJ12+EI13-ER12)))</f>
        <v>6.4807406984078657</v>
      </c>
      <c r="EK13" s="18">
        <f>EJ13*VLOOKUP('Données projet'!$B$15,Paramètres!$A$1:$I$89,3,0)*VLOOKUP('Données projet'!$B$15,Paramètres!$A$1:$I$89,5,0)</f>
        <v>6.2681724035000874</v>
      </c>
      <c r="EL13" s="14">
        <f t="shared" si="45"/>
        <v>2.3329519459947301</v>
      </c>
      <c r="EM13" s="22">
        <f t="shared" si="19"/>
        <v>14.98029157537014</v>
      </c>
      <c r="EN13" s="60">
        <f t="shared" si="20"/>
        <v>206.91895356041502</v>
      </c>
      <c r="EO13" s="60">
        <f ca="1">AVERAGE(OFFSET($EN$3,0,0,'Données projet'!$E$15+1,1))-AVERAGE(OFFSET($H$3,0,0,'Données projet'!$E$15+1,1))</f>
        <v>496.33873798282525</v>
      </c>
      <c r="EP13" s="60">
        <f t="shared" si="46"/>
        <v>280.25465074992246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2.4933333333333332</v>
      </c>
      <c r="FE13" s="13">
        <f>IF('Données projet'!$A$218&gt;35,FE12+FD13-FM12,IF(A13&lt;'Données projet'!$A$218,$FB$205^A13,IF(A13='Données projet'!$A$218,'Données projet'!$B$218,FE12+FD13-FM12)))</f>
        <v>11.183585649298445</v>
      </c>
      <c r="FF13" s="18">
        <f>FE13*VLOOKUP('Données projet'!$B$16,Paramètres!$A$1:$I$89,3,0)*VLOOKUP('Données projet'!$B$16,Paramètres!$A$1:$I$89,5,0)</f>
        <v>9.0721246787108996</v>
      </c>
      <c r="FG13" s="14">
        <f t="shared" si="47"/>
        <v>3.234325659266668</v>
      </c>
      <c r="FH13" s="22">
        <f t="shared" si="22"/>
        <v>21.43373433864426</v>
      </c>
      <c r="FI13" s="60">
        <f t="shared" si="23"/>
        <v>213.37239632368914</v>
      </c>
      <c r="FJ13" s="60">
        <f ca="1">AVERAGE(OFFSET($FI$3,0,0,'Données projet'!$E$16+1,1))-AVERAGE(OFFSET($H$3,0,0,'Données projet'!$E$16+1,1))</f>
        <v>341.66430955115521</v>
      </c>
      <c r="FK13" s="60">
        <f t="shared" si="48"/>
        <v>366.15174925159192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2.4933333333333332</v>
      </c>
      <c r="FZ13" s="13">
        <f>IF('Données projet'!$A$244&gt;35,FZ12+FY13-GH12,IF(A13&lt;'Données projet'!$A$244,$FW$205^A13,IF(A13='Données projet'!$A$244,'Données projet'!$B$244,FZ12+FY13-GH12)))</f>
        <v>11.183585649298445</v>
      </c>
      <c r="GA13" s="18">
        <f>FZ13*VLOOKUP('Données projet'!$B$17,Paramètres!$A$1:$I$89,3,0)*VLOOKUP('Données projet'!$B$17,Paramètres!$A$1:$I$89,5,0)</f>
        <v>8.1998049980656198</v>
      </c>
      <c r="GB13" s="14">
        <f t="shared" si="49"/>
        <v>2.9579365856773014</v>
      </c>
      <c r="GC13" s="22">
        <f t="shared" si="25"/>
        <v>19.433066591685588</v>
      </c>
      <c r="GD13" s="60">
        <f t="shared" si="26"/>
        <v>211.37172857673048</v>
      </c>
      <c r="GE13" s="60">
        <f ca="1">AVERAGE(OFFSET($GD$3,0,0,'Données projet'!$E$17+1,1))-AVERAGE(OFFSET($H$3,0,0,'Données projet'!$E$17+1,1))</f>
        <v>314.58662400031631</v>
      </c>
      <c r="GF13" s="60">
        <f t="shared" si="50"/>
        <v>336.99073123405981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4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7.921821725516951</v>
      </c>
      <c r="P14" s="14">
        <f t="shared" si="33"/>
        <v>2.869154216054651</v>
      </c>
      <c r="Q14" s="22">
        <f t="shared" si="2"/>
        <v>18.794283098237205</v>
      </c>
      <c r="R14" s="60">
        <f t="shared" si="0"/>
        <v>213.29008170735133</v>
      </c>
      <c r="S14" s="60">
        <f ca="1">AVERAGE(OFFSET($R$3,0,0,'Données projet'!$E$9+1,1))-AVERAGE(OFFSET($H$3,0,0,'Données projet'!$E$9+1,1))</f>
        <v>516.30971934066179</v>
      </c>
      <c r="T14" s="60">
        <f t="shared" si="34"/>
        <v>290.84286505723571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2.0085470085470085</v>
      </c>
      <c r="AI14" s="14">
        <f>IF('Données projet'!$A$62&gt;35,AI13+AH14-AQ13,IF(A14&lt;'Données projet'!$A$62,$AF$205^A14,IF(A14='Données projet'!$A$62,'Données projet'!$B$62,AI13+AH14-AQ13)))</f>
        <v>12.150115051435174</v>
      </c>
      <c r="AJ14" s="14">
        <f>AI14*VLOOKUP('Données projet'!$B$10,Paramètres!$A$1:$I$89,3,0)*VLOOKUP('Données projet'!$B$10,Paramètres!$A$1:$I$89,5,0)</f>
        <v>12.699300251760045</v>
      </c>
      <c r="AK14" s="14">
        <f t="shared" si="35"/>
        <v>4.3536337239482048</v>
      </c>
      <c r="AL14" s="22">
        <f t="shared" si="4"/>
        <v>29.700526674358532</v>
      </c>
      <c r="AM14" s="60">
        <f t="shared" si="5"/>
        <v>224.19632528347267</v>
      </c>
      <c r="AN14" s="60">
        <f ca="1">AVERAGE(OFFSET($AM$3,0,0,'Données projet'!$E$10+1,1))-AVERAGE(OFFSET($H$3,0,0,'Données projet'!$E$10+1,1))</f>
        <v>529.00505223594837</v>
      </c>
      <c r="AO14" s="60">
        <f t="shared" si="36"/>
        <v>321.23004033257985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2.4933333333333332</v>
      </c>
      <c r="BD14" s="13">
        <f>IF('Données projet'!$A$88&gt;35,BD13+BC14-BL13,IF(A14&lt;'Données projet'!$A$88,$BA$205^A14,IF(A14='Données projet'!$A$88,'Données projet'!$B$88,BD13+BC14-BL13)))</f>
        <v>14.237678270776428</v>
      </c>
      <c r="BE14" s="14">
        <f>BD14*VLOOKUP('Données projet'!$B$11,Paramètres!$A$1:$I$89,3,0)*VLOOKUP('Données projet'!$B$11,Paramètres!$A$1:$I$89,5,0)</f>
        <v>12.438035737350289</v>
      </c>
      <c r="BF14" s="14">
        <f t="shared" si="37"/>
        <v>4.2743960084761534</v>
      </c>
      <c r="BG14" s="22">
        <f t="shared" si="7"/>
        <v>29.10748529064772</v>
      </c>
      <c r="BH14" s="60">
        <f t="shared" si="8"/>
        <v>223.60328389976186</v>
      </c>
      <c r="BI14" s="60">
        <f ca="1">AVERAGE(OFFSET($BH$3,0,0,'Données projet'!$E$11+1,1))-AVERAGE(OFFSET($H$3,0,0,'Données projet'!$E$11+1,1))</f>
        <v>363.28611056308665</v>
      </c>
      <c r="BJ14" s="60">
        <f t="shared" si="38"/>
        <v>389.43647559455974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8.4093184470872249</v>
      </c>
      <c r="CA14" s="14">
        <f t="shared" si="39"/>
        <v>3.0246192139792929</v>
      </c>
      <c r="CB14" s="22">
        <f t="shared" si="10"/>
        <v>19.914108093024186</v>
      </c>
      <c r="CC14" s="60">
        <f t="shared" si="11"/>
        <v>214.40990670213833</v>
      </c>
      <c r="CD14" s="60">
        <f ca="1">AVERAGE(OFFSET($CC$3,0,0,'Données projet'!$E$12+1,1))-AVERAGE(OFFSET($H$3,0,0,'Données projet'!$E$12+1,1))</f>
        <v>542.90832990875208</v>
      </c>
      <c r="CE14" s="60">
        <f t="shared" si="40"/>
        <v>304.94365539329362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3.4425641025641025</v>
      </c>
      <c r="CT14" s="13">
        <f>IF('Données projet'!$A$140&gt;35,CT13+CS14-DB13,IF(A14&lt;'Données projet'!$A$140,$CQ$205^A14,IF(A14='Données projet'!$A$140,'Données projet'!$B$140,CT13+CS14-DB13)))</f>
        <v>5.4760559050775193</v>
      </c>
      <c r="CU14" s="18">
        <f>CT14*VLOOKUP('Données projet'!$B$13,Paramètres!$A$1:$I$89,3,0)*VLOOKUP('Données projet'!$B$13,Paramètres!$A$1:$I$89,5,0)</f>
        <v>2.562794163576279</v>
      </c>
      <c r="CV14" s="14">
        <f t="shared" si="41"/>
        <v>1.0585015867936163</v>
      </c>
      <c r="CW14" s="22">
        <f t="shared" si="13"/>
        <v>6.3070900985608995</v>
      </c>
      <c r="CX14" s="60">
        <f t="shared" si="14"/>
        <v>200.80288870767504</v>
      </c>
      <c r="CY14" s="60">
        <f ca="1">AVERAGE(OFFSET($CX$3,0,0,'Données projet'!$E$13+1,1))-AVERAGE(OFFSET($H$3,0,0,'Données projet'!$E$13+1,1))</f>
        <v>277.77877239988635</v>
      </c>
      <c r="CZ14" s="60">
        <f t="shared" si="42"/>
        <v>164.65640238394164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1.8269230769230771</v>
      </c>
      <c r="DO14" s="13">
        <f>IF('Données projet'!$A$166&gt;35,DO13+DN14-DW13,IF(A14&lt;'Données projet'!$A$166,$DL$205^A14,IF(A14='Données projet'!$A$166,'Données projet'!$B$166,DO13+DN14-DW13)))</f>
        <v>7.2362346534071689</v>
      </c>
      <c r="DP14" s="18">
        <f>DO14*VLOOKUP('Données projet'!$B$14,Paramètres!$A$1:$I$89,3,0)*VLOOKUP('Données projet'!$B$14,Paramètres!$A$1:$I$89,5,0)</f>
        <v>6.2086893326233517</v>
      </c>
      <c r="DQ14" s="14">
        <f t="shared" si="43"/>
        <v>2.3133790722578857</v>
      </c>
      <c r="DR14" s="22">
        <f t="shared" si="16"/>
        <v>14.842602471834818</v>
      </c>
      <c r="DS14" s="60">
        <f t="shared" si="17"/>
        <v>209.33840108094896</v>
      </c>
      <c r="DT14" s="60">
        <f ca="1">AVERAGE(OFFSET($DS$3,0,0,'Données projet'!$E$14+1,1))-AVERAGE(OFFSET($H$3,0,0,'Données projet'!$E$14+1,1))</f>
        <v>354.30160274624632</v>
      </c>
      <c r="DU14" s="60">
        <f t="shared" si="44"/>
        <v>218.8005329382452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2.1</v>
      </c>
      <c r="EJ14" s="13">
        <f>IF('Données projet'!$A$192&gt;35,EJ13+EI14-ER13,IF(A14&lt;'Données projet'!$A$192,$EG$205^A14,IF(A14='Données projet'!$A$192,'Données projet'!$B$192,EJ13+EI14-ER13)))</f>
        <v>7.8124474610620815</v>
      </c>
      <c r="EK14" s="18">
        <f>EJ14*VLOOKUP('Données projet'!$B$15,Paramètres!$A$1:$I$89,3,0)*VLOOKUP('Données projet'!$B$15,Paramètres!$A$1:$I$89,5,0)</f>
        <v>7.5561991843392455</v>
      </c>
      <c r="EL14" s="14">
        <f t="shared" si="45"/>
        <v>2.7518258561310041</v>
      </c>
      <c r="EM14" s="22">
        <f t="shared" si="19"/>
        <v>17.953143612152349</v>
      </c>
      <c r="EN14" s="60">
        <f t="shared" si="20"/>
        <v>212.44894222126649</v>
      </c>
      <c r="EO14" s="60">
        <f ca="1">AVERAGE(OFFSET($EN$3,0,0,'Données projet'!$E$15+1,1))-AVERAGE(OFFSET($H$3,0,0,'Données projet'!$E$15+1,1))</f>
        <v>496.33873798282525</v>
      </c>
      <c r="EP14" s="60">
        <f t="shared" si="46"/>
        <v>280.25465074992246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2.4933333333333332</v>
      </c>
      <c r="FE14" s="13">
        <f>IF('Données projet'!$A$218&gt;35,FE13+FD14-FM13,IF(A14&lt;'Données projet'!$A$218,$FB$205^A14,IF(A14='Données projet'!$A$218,'Données projet'!$B$218,FE13+FD14-FM13)))</f>
        <v>14.237678270776428</v>
      </c>
      <c r="FF14" s="18">
        <f>FE14*VLOOKUP('Données projet'!$B$16,Paramètres!$A$1:$I$89,3,0)*VLOOKUP('Données projet'!$B$16,Paramètres!$A$1:$I$89,5,0)</f>
        <v>11.549604613253839</v>
      </c>
      <c r="FG14" s="14">
        <f t="shared" si="47"/>
        <v>4.0034680726734386</v>
      </c>
      <c r="FH14" s="22">
        <f t="shared" si="22"/>
        <v>27.088268261323339</v>
      </c>
      <c r="FI14" s="60">
        <f t="shared" si="23"/>
        <v>221.58406687043748</v>
      </c>
      <c r="FJ14" s="60">
        <f ca="1">AVERAGE(OFFSET($FI$3,0,0,'Données projet'!$E$16+1,1))-AVERAGE(OFFSET($H$3,0,0,'Données projet'!$E$16+1,1))</f>
        <v>341.66430955115521</v>
      </c>
      <c r="FK14" s="60">
        <f t="shared" si="48"/>
        <v>366.15174925159192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2.4933333333333332</v>
      </c>
      <c r="FZ14" s="13">
        <f>IF('Données projet'!$A$244&gt;35,FZ13+FY14-GH13,IF(A14&lt;'Données projet'!$A$244,$FW$205^A14,IF(A14='Données projet'!$A$244,'Données projet'!$B$244,FZ13+FY14-GH13)))</f>
        <v>14.237678270776428</v>
      </c>
      <c r="GA14" s="18">
        <f>FZ14*VLOOKUP('Données projet'!$B$17,Paramètres!$A$1:$I$89,3,0)*VLOOKUP('Données projet'!$B$17,Paramètres!$A$1:$I$89,5,0)</f>
        <v>10.439065708133278</v>
      </c>
      <c r="GB14" s="14">
        <f t="shared" si="49"/>
        <v>3.6613519878009879</v>
      </c>
      <c r="GC14" s="22">
        <f t="shared" si="25"/>
        <v>24.558227487085514</v>
      </c>
      <c r="GD14" s="60">
        <f t="shared" si="26"/>
        <v>219.05402609619964</v>
      </c>
      <c r="GE14" s="60">
        <f ca="1">AVERAGE(OFFSET($GD$3,0,0,'Données projet'!$E$17+1,1))-AVERAGE(OFFSET($H$3,0,0,'Données projet'!$E$17+1,1))</f>
        <v>314.58662400031631</v>
      </c>
      <c r="GF14" s="60">
        <f t="shared" si="50"/>
        <v>336.99073123405981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4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9.5496516380767513</v>
      </c>
      <c r="P15" s="14">
        <f t="shared" si="33"/>
        <v>3.3843014943027487</v>
      </c>
      <c r="Q15" s="22">
        <f t="shared" si="2"/>
        <v>22.526635038894295</v>
      </c>
      <c r="R15" s="60">
        <f t="shared" si="0"/>
        <v>219.55641249162716</v>
      </c>
      <c r="S15" s="60">
        <f ca="1">AVERAGE(OFFSET($R$3,0,0,'Données projet'!$E$9+1,1))-AVERAGE(OFFSET($H$3,0,0,'Données projet'!$E$9+1,1))</f>
        <v>516.30971934066179</v>
      </c>
      <c r="T15" s="60">
        <f t="shared" si="34"/>
        <v>290.84286505723571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2.0085470085470085</v>
      </c>
      <c r="AI15" s="14">
        <f>IF('Données projet'!$A$62&gt;35,AI14+AH15-AQ14,IF(A15&lt;'Données projet'!$A$62,$AF$205^A15,IF(A15='Données projet'!$A$62,'Données projet'!$B$62,AI14+AH15-AQ14)))</f>
        <v>15.246796636399393</v>
      </c>
      <c r="AJ15" s="14">
        <f>AI15*VLOOKUP('Données projet'!$B$10,Paramètres!$A$1:$I$89,3,0)*VLOOKUP('Données projet'!$B$10,Paramètres!$A$1:$I$89,5,0)</f>
        <v>15.935951844364647</v>
      </c>
      <c r="AK15" s="14">
        <f t="shared" si="35"/>
        <v>5.3207551415716088</v>
      </c>
      <c r="AL15" s="22">
        <f t="shared" si="4"/>
        <v>37.022098000505643</v>
      </c>
      <c r="AM15" s="60">
        <f t="shared" si="5"/>
        <v>234.05187545323852</v>
      </c>
      <c r="AN15" s="60">
        <f ca="1">AVERAGE(OFFSET($AM$3,0,0,'Données projet'!$E$10+1,1))-AVERAGE(OFFSET($H$3,0,0,'Données projet'!$E$10+1,1))</f>
        <v>529.00505223594837</v>
      </c>
      <c r="AO15" s="60">
        <f t="shared" si="36"/>
        <v>321.23004033257985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2.4933333333333332</v>
      </c>
      <c r="BD15" s="13">
        <f>IF('Données projet'!$A$88&gt;35,BD14+BC15-BL14,IF(A15&lt;'Données projet'!$A$88,$BA$205^A15,IF(A15='Données projet'!$A$88,'Données projet'!$B$88,BD14+BC15-BL14)))</f>
        <v>18.125804093506943</v>
      </c>
      <c r="BE15" s="14">
        <f>BD15*VLOOKUP('Données projet'!$B$11,Paramètres!$A$1:$I$89,3,0)*VLOOKUP('Données projet'!$B$11,Paramètres!$A$1:$I$89,5,0)</f>
        <v>15.834702456087667</v>
      </c>
      <c r="BF15" s="14">
        <f t="shared" si="37"/>
        <v>5.2908735089394296</v>
      </c>
      <c r="BG15" s="22">
        <f t="shared" si="7"/>
        <v>36.793711472422189</v>
      </c>
      <c r="BH15" s="60">
        <f t="shared" si="8"/>
        <v>233.82348892515506</v>
      </c>
      <c r="BI15" s="60">
        <f ca="1">AVERAGE(OFFSET($BH$3,0,0,'Données projet'!$E$11+1,1))-AVERAGE(OFFSET($H$3,0,0,'Données projet'!$E$11+1,1))</f>
        <v>363.28611056308665</v>
      </c>
      <c r="BJ15" s="60">
        <f t="shared" si="38"/>
        <v>389.43647559455974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10.137322508112241</v>
      </c>
      <c r="CA15" s="14">
        <f t="shared" si="39"/>
        <v>3.5676797253661268</v>
      </c>
      <c r="CB15" s="22">
        <f t="shared" si="10"/>
        <v>23.869545556641487</v>
      </c>
      <c r="CC15" s="60">
        <f t="shared" si="11"/>
        <v>220.89932300937437</v>
      </c>
      <c r="CD15" s="60">
        <f ca="1">AVERAGE(OFFSET($CC$3,0,0,'Données projet'!$E$12+1,1))-AVERAGE(OFFSET($H$3,0,0,'Données projet'!$E$12+1,1))</f>
        <v>542.90832990875208</v>
      </c>
      <c r="CE15" s="60">
        <f t="shared" si="40"/>
        <v>304.94365539329362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3.4425641025641025</v>
      </c>
      <c r="CT15" s="13">
        <f>IF('Données projet'!$A$140&gt;35,CT14+CS15-DB14,IF(A15&lt;'Données projet'!$A$140,$CQ$205^A15,IF(A15='Données projet'!$A$140,'Données projet'!$B$140,CT14+CS15-DB14)))</f>
        <v>6.3914782624899003</v>
      </c>
      <c r="CU15" s="18">
        <f>CT15*VLOOKUP('Données projet'!$B$13,Paramètres!$A$1:$I$89,3,0)*VLOOKUP('Données projet'!$B$13,Paramètres!$A$1:$I$89,5,0)</f>
        <v>2.9912118268452734</v>
      </c>
      <c r="CV15" s="14">
        <f t="shared" si="41"/>
        <v>1.2134185325879896</v>
      </c>
      <c r="CW15" s="22">
        <f t="shared" si="13"/>
        <v>7.3230645426796004</v>
      </c>
      <c r="CX15" s="60">
        <f t="shared" si="14"/>
        <v>204.35284199541246</v>
      </c>
      <c r="CY15" s="60">
        <f ca="1">AVERAGE(OFFSET($CX$3,0,0,'Données projet'!$E$13+1,1))-AVERAGE(OFFSET($H$3,0,0,'Données projet'!$E$13+1,1))</f>
        <v>277.77877239988635</v>
      </c>
      <c r="CZ15" s="60">
        <f t="shared" si="42"/>
        <v>164.65640238394164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1.8269230769230771</v>
      </c>
      <c r="DO15" s="13">
        <f>IF('Données projet'!$A$166&gt;35,DO14+DN15-DW14,IF(A15&lt;'Données projet'!$A$166,$DL$205^A15,IF(A15='Données projet'!$A$166,'Données projet'!$B$166,DO14+DN15-DW14)))</f>
        <v>8.662637764539145</v>
      </c>
      <c r="DP15" s="18">
        <f>DO15*VLOOKUP('Données projet'!$B$14,Paramètres!$A$1:$I$89,3,0)*VLOOKUP('Données projet'!$B$14,Paramètres!$A$1:$I$89,5,0)</f>
        <v>7.4325432019745863</v>
      </c>
      <c r="DQ15" s="14">
        <f t="shared" si="43"/>
        <v>2.7119964008420898</v>
      </c>
      <c r="DR15" s="22">
        <f t="shared" si="16"/>
        <v>17.668406474905712</v>
      </c>
      <c r="DS15" s="60">
        <f t="shared" si="17"/>
        <v>214.69818392763858</v>
      </c>
      <c r="DT15" s="60">
        <f ca="1">AVERAGE(OFFSET($DS$3,0,0,'Données projet'!$E$14+1,1))-AVERAGE(OFFSET($H$3,0,0,'Données projet'!$E$14+1,1))</f>
        <v>354.30160274624632</v>
      </c>
      <c r="DU15" s="60">
        <f t="shared" si="44"/>
        <v>218.8005329382452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2.1</v>
      </c>
      <c r="EJ15" s="13">
        <f>IF('Données projet'!$A$192&gt;35,EJ14+EI15-ER14,IF(A15&lt;'Données projet'!$A$192,$EG$205^A15,IF(A15='Données projet'!$A$192,'Données projet'!$B$192,EJ14+EI15-ER14)))</f>
        <v>9.4178024044149407</v>
      </c>
      <c r="EK15" s="18">
        <f>EJ15*VLOOKUP('Données projet'!$B$15,Paramètres!$A$1:$I$89,3,0)*VLOOKUP('Données projet'!$B$15,Paramètres!$A$1:$I$89,5,0)</f>
        <v>9.1088984855501316</v>
      </c>
      <c r="EL15" s="14">
        <f t="shared" si="45"/>
        <v>3.2459072101643005</v>
      </c>
      <c r="EM15" s="22">
        <f t="shared" si="19"/>
        <v>21.517953253369303</v>
      </c>
      <c r="EN15" s="60">
        <f t="shared" si="20"/>
        <v>218.54773070610219</v>
      </c>
      <c r="EO15" s="60">
        <f ca="1">AVERAGE(OFFSET($EN$3,0,0,'Données projet'!$E$15+1,1))-AVERAGE(OFFSET($H$3,0,0,'Données projet'!$E$15+1,1))</f>
        <v>496.33873798282525</v>
      </c>
      <c r="EP15" s="60">
        <f t="shared" si="46"/>
        <v>280.25465074992246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2.4933333333333332</v>
      </c>
      <c r="FE15" s="13">
        <f>IF('Données projet'!$A$218&gt;35,FE14+FD15-FM14,IF(A15&lt;'Données projet'!$A$218,$FB$205^A15,IF(A15='Données projet'!$A$218,'Données projet'!$B$218,FE14+FD15-FM14)))</f>
        <v>18.125804093506943</v>
      </c>
      <c r="FF15" s="18">
        <f>FE15*VLOOKUP('Données projet'!$B$16,Paramètres!$A$1:$I$89,3,0)*VLOOKUP('Données projet'!$B$16,Paramètres!$A$1:$I$89,5,0)</f>
        <v>14.703652280652832</v>
      </c>
      <c r="FG15" s="14">
        <f t="shared" si="47"/>
        <v>4.9555172538035688</v>
      </c>
      <c r="FH15" s="22">
        <f t="shared" si="22"/>
        <v>34.239720272511569</v>
      </c>
      <c r="FI15" s="60">
        <f t="shared" si="23"/>
        <v>231.26949772524443</v>
      </c>
      <c r="FJ15" s="60">
        <f ca="1">AVERAGE(OFFSET($FI$3,0,0,'Données projet'!$E$16+1,1))-AVERAGE(OFFSET($H$3,0,0,'Données projet'!$E$16+1,1))</f>
        <v>341.66430955115521</v>
      </c>
      <c r="FK15" s="60">
        <f t="shared" si="48"/>
        <v>366.15174925159192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2.4933333333333332</v>
      </c>
      <c r="FZ15" s="13">
        <f>IF('Données projet'!$A$244&gt;35,FZ14+FY15-GH14,IF(A15&lt;'Données projet'!$A$244,$FW$205^A15,IF(A15='Données projet'!$A$244,'Données projet'!$B$244,FZ14+FY15-GH14)))</f>
        <v>18.125804093506943</v>
      </c>
      <c r="GA15" s="18">
        <f>FZ15*VLOOKUP('Données projet'!$B$17,Paramètres!$A$1:$I$89,3,0)*VLOOKUP('Données projet'!$B$17,Paramètres!$A$1:$I$89,5,0)</f>
        <v>13.28983956135929</v>
      </c>
      <c r="GB15" s="14">
        <f t="shared" si="49"/>
        <v>4.5320438725716254</v>
      </c>
      <c r="GC15" s="22">
        <f t="shared" si="25"/>
        <v>31.039780314096337</v>
      </c>
      <c r="GD15" s="60">
        <f t="shared" si="26"/>
        <v>228.06955776682921</v>
      </c>
      <c r="GE15" s="60">
        <f ca="1">AVERAGE(OFFSET($GD$3,0,0,'Données projet'!$E$17+1,1))-AVERAGE(OFFSET($H$3,0,0,'Données projet'!$E$17+1,1))</f>
        <v>314.58662400031631</v>
      </c>
      <c r="GF15" s="60">
        <f t="shared" si="50"/>
        <v>336.99073123405981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4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11.511979134151852</v>
      </c>
      <c r="P16" s="14">
        <f t="shared" si="33"/>
        <v>3.9919417855793822</v>
      </c>
      <c r="Q16" s="22">
        <f t="shared" si="2"/>
        <v>27.002662268531896</v>
      </c>
      <c r="R16" s="60">
        <f t="shared" si="0"/>
        <v>226.54366252015072</v>
      </c>
      <c r="S16" s="60">
        <f ca="1">AVERAGE(OFFSET($R$3,0,0,'Données projet'!$E$9+1,1))-AVERAGE(OFFSET($H$3,0,0,'Données projet'!$E$9+1,1))</f>
        <v>516.30971934066179</v>
      </c>
      <c r="T16" s="60">
        <f t="shared" si="34"/>
        <v>290.84286505723571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2.0085470085470085</v>
      </c>
      <c r="AI16" s="14">
        <f>IF('Données projet'!$A$62&gt;35,AI15+AH16-AQ15,IF(A16&lt;'Données projet'!$A$62,$AF$205^A16,IF(A16='Données projet'!$A$62,'Données projet'!$B$62,AI15+AH16-AQ15)))</f>
        <v>19.132724808582047</v>
      </c>
      <c r="AJ16" s="14">
        <f>AI16*VLOOKUP('Données projet'!$B$10,Paramètres!$A$1:$I$89,3,0)*VLOOKUP('Données projet'!$B$10,Paramètres!$A$1:$I$89,5,0)</f>
        <v>19.997523969929958</v>
      </c>
      <c r="AK16" s="14">
        <f t="shared" si="35"/>
        <v>6.5027140709684383</v>
      </c>
      <c r="AL16" s="22">
        <f t="shared" si="4"/>
        <v>46.154581254564704</v>
      </c>
      <c r="AM16" s="60">
        <f t="shared" si="5"/>
        <v>245.69558150618352</v>
      </c>
      <c r="AN16" s="60">
        <f ca="1">AVERAGE(OFFSET($AM$3,0,0,'Données projet'!$E$10+1,1))-AVERAGE(OFFSET($H$3,0,0,'Données projet'!$E$10+1,1))</f>
        <v>529.00505223594837</v>
      </c>
      <c r="AO16" s="60">
        <f t="shared" si="36"/>
        <v>321.23004033257985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2.4933333333333332</v>
      </c>
      <c r="BD16" s="13">
        <f>IF('Données projet'!$A$88&gt;35,BD15+BC16-BL15,IF(A16&lt;'Données projet'!$A$88,$BA$205^A16,IF(A16='Données projet'!$A$88,'Données projet'!$B$88,BD15+BC16-BL15)))</f>
        <v>23.075726799540639</v>
      </c>
      <c r="BE16" s="14">
        <f>BD16*VLOOKUP('Données projet'!$B$11,Paramètres!$A$1:$I$89,3,0)*VLOOKUP('Données projet'!$B$11,Paramètres!$A$1:$I$89,5,0)</f>
        <v>20.158954932078704</v>
      </c>
      <c r="BF16" s="14">
        <f t="shared" si="37"/>
        <v>6.5490755728028107</v>
      </c>
      <c r="BG16" s="22">
        <f t="shared" si="7"/>
        <v>46.516486462668638</v>
      </c>
      <c r="BH16" s="60">
        <f t="shared" si="8"/>
        <v>246.05748671428745</v>
      </c>
      <c r="BI16" s="60">
        <f ca="1">AVERAGE(OFFSET($BH$3,0,0,'Données projet'!$E$11+1,1))-AVERAGE(OFFSET($H$3,0,0,'Données projet'!$E$11+1,1))</f>
        <v>363.28611056308665</v>
      </c>
      <c r="BJ16" s="60">
        <f t="shared" si="38"/>
        <v>389.43647559455974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12.220408619330426</v>
      </c>
      <c r="CA16" s="14">
        <f t="shared" si="39"/>
        <v>4.2082449797185175</v>
      </c>
      <c r="CB16" s="22">
        <f t="shared" si="10"/>
        <v>28.613238351676909</v>
      </c>
      <c r="CC16" s="60">
        <f t="shared" si="11"/>
        <v>228.15423860329571</v>
      </c>
      <c r="CD16" s="60">
        <f ca="1">AVERAGE(OFFSET($CC$3,0,0,'Données projet'!$E$12+1,1))-AVERAGE(OFFSET($H$3,0,0,'Données projet'!$E$12+1,1))</f>
        <v>542.90832990875208</v>
      </c>
      <c r="CE16" s="60">
        <f t="shared" si="40"/>
        <v>304.94365539329362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3.4425641025641025</v>
      </c>
      <c r="CT16" s="13">
        <f>IF('Données projet'!$A$140&gt;35,CT15+CS16-DB15,IF(A16&lt;'Données projet'!$A$140,$CQ$205^A16,IF(A16='Données projet'!$A$140,'Données projet'!$B$140,CT15+CS16-DB15)))</f>
        <v>7.459930119048451</v>
      </c>
      <c r="CU16" s="18">
        <f>CT16*VLOOKUP('Données projet'!$B$13,Paramètres!$A$1:$I$89,3,0)*VLOOKUP('Données projet'!$B$13,Paramètres!$A$1:$I$89,5,0)</f>
        <v>3.4912472957146754</v>
      </c>
      <c r="CV16" s="14">
        <f t="shared" si="41"/>
        <v>1.3910083400895945</v>
      </c>
      <c r="CW16" s="22">
        <f t="shared" si="13"/>
        <v>8.5032618990257713</v>
      </c>
      <c r="CX16" s="60">
        <f t="shared" si="14"/>
        <v>208.04426215064458</v>
      </c>
      <c r="CY16" s="60">
        <f ca="1">AVERAGE(OFFSET($CX$3,0,0,'Données projet'!$E$13+1,1))-AVERAGE(OFFSET($H$3,0,0,'Données projet'!$E$13+1,1))</f>
        <v>277.77877239988635</v>
      </c>
      <c r="CZ16" s="60">
        <f t="shared" si="42"/>
        <v>164.65640238394164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1.8269230769230771</v>
      </c>
      <c r="DO16" s="13">
        <f>IF('Données projet'!$A$166&gt;35,DO15+DN16-DW15,IF(A16&lt;'Données projet'!$A$166,$DL$205^A16,IF(A16='Données projet'!$A$166,'Données projet'!$B$166,DO15+DN16-DW15)))</f>
        <v>10.37021277416518</v>
      </c>
      <c r="DP16" s="18">
        <f>DO16*VLOOKUP('Données projet'!$B$14,Paramètres!$A$1:$I$89,3,0)*VLOOKUP('Données projet'!$B$14,Paramètres!$A$1:$I$89,5,0)</f>
        <v>8.8976425602337255</v>
      </c>
      <c r="DQ16" s="14">
        <f t="shared" si="43"/>
        <v>3.1792993056697618</v>
      </c>
      <c r="DR16" s="22">
        <f t="shared" si="16"/>
        <v>21.034007083115242</v>
      </c>
      <c r="DS16" s="60">
        <f t="shared" si="17"/>
        <v>220.57500733473404</v>
      </c>
      <c r="DT16" s="60">
        <f ca="1">AVERAGE(OFFSET($DS$3,0,0,'Données projet'!$E$14+1,1))-AVERAGE(OFFSET($H$3,0,0,'Données projet'!$E$14+1,1))</f>
        <v>354.30160274624632</v>
      </c>
      <c r="DU16" s="60">
        <f t="shared" si="44"/>
        <v>218.8005329382452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2.1</v>
      </c>
      <c r="EJ16" s="13">
        <f>IF('Données projet'!$A$192&gt;35,EJ15+EI16-ER15,IF(A16&lt;'Données projet'!$A$192,$EG$205^A16,IF(A16='Données projet'!$A$192,'Données projet'!$B$192,EJ15+EI16-ER15)))</f>
        <v>11.35303662145153</v>
      </c>
      <c r="EK16" s="18">
        <f>EJ16*VLOOKUP('Données projet'!$B$15,Paramètres!$A$1:$I$89,3,0)*VLOOKUP('Données projet'!$B$15,Paramètres!$A$1:$I$89,5,0)</f>
        <v>10.98065702026792</v>
      </c>
      <c r="EL16" s="14">
        <f t="shared" si="45"/>
        <v>3.8286992592655618</v>
      </c>
      <c r="EM16" s="22">
        <f t="shared" si="19"/>
        <v>25.792962186854144</v>
      </c>
      <c r="EN16" s="60">
        <f t="shared" si="20"/>
        <v>225.33396243847295</v>
      </c>
      <c r="EO16" s="60">
        <f ca="1">AVERAGE(OFFSET($EN$3,0,0,'Données projet'!$E$15+1,1))-AVERAGE(OFFSET($H$3,0,0,'Données projet'!$E$15+1,1))</f>
        <v>496.33873798282525</v>
      </c>
      <c r="EP16" s="60">
        <f t="shared" si="46"/>
        <v>280.25465074992246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2.4933333333333332</v>
      </c>
      <c r="FE16" s="13">
        <f>IF('Données projet'!$A$218&gt;35,FE15+FD16-FM15,IF(A16&lt;'Données projet'!$A$218,$FB$205^A16,IF(A16='Données projet'!$A$218,'Données projet'!$B$218,FE15+FD16-FM15)))</f>
        <v>23.075726799540639</v>
      </c>
      <c r="FF16" s="18">
        <f>FE16*VLOOKUP('Données projet'!$B$16,Paramètres!$A$1:$I$89,3,0)*VLOOKUP('Données projet'!$B$16,Paramètres!$A$1:$I$89,5,0)</f>
        <v>18.719029579787367</v>
      </c>
      <c r="FG16" s="14">
        <f t="shared" si="47"/>
        <v>6.1339695501420781</v>
      </c>
      <c r="FH16" s="22">
        <f t="shared" si="22"/>
        <v>43.285640151293769</v>
      </c>
      <c r="FI16" s="60">
        <f t="shared" si="23"/>
        <v>242.82664040291257</v>
      </c>
      <c r="FJ16" s="60">
        <f ca="1">AVERAGE(OFFSET($FI$3,0,0,'Données projet'!$E$16+1,1))-AVERAGE(OFFSET($H$3,0,0,'Données projet'!$E$16+1,1))</f>
        <v>341.66430955115521</v>
      </c>
      <c r="FK16" s="60">
        <f t="shared" si="48"/>
        <v>366.15174925159192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2.4933333333333332</v>
      </c>
      <c r="FZ16" s="13">
        <f>IF('Données projet'!$A$244&gt;35,FZ15+FY16-GH15,IF(A16&lt;'Données projet'!$A$244,$FW$205^A16,IF(A16='Données projet'!$A$244,'Données projet'!$B$244,FZ15+FY16-GH15)))</f>
        <v>23.075726799540639</v>
      </c>
      <c r="GA16" s="18">
        <f>FZ16*VLOOKUP('Données projet'!$B$17,Paramètres!$A$1:$I$89,3,0)*VLOOKUP('Données projet'!$B$17,Paramètres!$A$1:$I$89,5,0)</f>
        <v>16.919122889423196</v>
      </c>
      <c r="GB16" s="14">
        <f t="shared" si="49"/>
        <v>5.6097916101341596</v>
      </c>
      <c r="GC16" s="22">
        <f t="shared" si="25"/>
        <v>39.237859420062392</v>
      </c>
      <c r="GD16" s="60">
        <f t="shared" si="26"/>
        <v>238.7788596716812</v>
      </c>
      <c r="GE16" s="60">
        <f ca="1">AVERAGE(OFFSET($GD$3,0,0,'Données projet'!$E$17+1,1))-AVERAGE(OFFSET($H$3,0,0,'Données projet'!$E$17+1,1))</f>
        <v>314.58662400031631</v>
      </c>
      <c r="GF16" s="60">
        <f t="shared" si="50"/>
        <v>336.99073123405981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4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13.877539056685173</v>
      </c>
      <c r="P17" s="14">
        <f t="shared" si="33"/>
        <v>4.7086819085950955</v>
      </c>
      <c r="Q17" s="22">
        <f t="shared" si="2"/>
        <v>32.371001514529802</v>
      </c>
      <c r="R17" s="60">
        <f t="shared" si="0"/>
        <v>234.400863286803</v>
      </c>
      <c r="S17" s="60">
        <f ca="1">AVERAGE(OFFSET($R$3,0,0,'Données projet'!$E$9+1,1))-AVERAGE(OFFSET($H$3,0,0,'Données projet'!$E$9+1,1))</f>
        <v>516.30971934066179</v>
      </c>
      <c r="T17" s="60">
        <f t="shared" si="34"/>
        <v>290.84286505723571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2.0085470085470085</v>
      </c>
      <c r="AI17" s="14">
        <f>IF('Données projet'!$A$62&gt;35,AI16+AH17-AQ16,IF(A17&lt;'Données projet'!$A$62,$AF$205^A17,IF(A17='Données projet'!$A$62,'Données projet'!$B$62,AI16+AH17-AQ16)))</f>
        <v>24.009053660951697</v>
      </c>
      <c r="AJ17" s="14">
        <f>AI17*VLOOKUP('Données projet'!$B$10,Paramètres!$A$1:$I$89,3,0)*VLOOKUP('Données projet'!$B$10,Paramètres!$A$1:$I$89,5,0)</f>
        <v>25.094262886426712</v>
      </c>
      <c r="AK17" s="14">
        <f t="shared" si="35"/>
        <v>7.9472347747017285</v>
      </c>
      <c r="AL17" s="22">
        <f t="shared" si="4"/>
        <v>57.547275093132022</v>
      </c>
      <c r="AM17" s="60">
        <f t="shared" si="5"/>
        <v>259.57713686540524</v>
      </c>
      <c r="AN17" s="60">
        <f ca="1">AVERAGE(OFFSET($AM$3,0,0,'Données projet'!$E$10+1,1))-AVERAGE(OFFSET($H$3,0,0,'Données projet'!$E$10+1,1))</f>
        <v>529.00505223594837</v>
      </c>
      <c r="AO17" s="60">
        <f t="shared" si="36"/>
        <v>321.23004033257985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2.4933333333333332</v>
      </c>
      <c r="BD17" s="13">
        <f>IF('Données projet'!$A$88&gt;35,BD16+BC17-BL16,IF(A17&lt;'Données projet'!$A$88,$BA$205^A17,IF(A17='Données projet'!$A$88,'Données projet'!$B$88,BD16+BC17-BL16)))</f>
        <v>29.37740938719443</v>
      </c>
      <c r="BE17" s="14">
        <f>BD17*VLOOKUP('Données projet'!$B$11,Paramètres!$A$1:$I$89,3,0)*VLOOKUP('Données projet'!$B$11,Paramètres!$A$1:$I$89,5,0)</f>
        <v>25.664104840653053</v>
      </c>
      <c r="BF17" s="14">
        <f t="shared" si="37"/>
        <v>8.1064857789200797</v>
      </c>
      <c r="BG17" s="22">
        <f t="shared" si="7"/>
        <v>58.817111995756541</v>
      </c>
      <c r="BH17" s="60">
        <f t="shared" si="8"/>
        <v>260.84697376802973</v>
      </c>
      <c r="BI17" s="60">
        <f ca="1">AVERAGE(OFFSET($BH$3,0,0,'Données projet'!$E$11+1,1))-AVERAGE(OFFSET($H$3,0,0,'Données projet'!$E$11+1,1))</f>
        <v>363.28611056308665</v>
      </c>
      <c r="BJ17" s="60">
        <f t="shared" si="38"/>
        <v>389.43647559455974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14.731541460173487</v>
      </c>
      <c r="CA17" s="14">
        <f t="shared" si="39"/>
        <v>4.9638216355053304</v>
      </c>
      <c r="CB17" s="22">
        <f t="shared" si="10"/>
        <v>34.302757391640604</v>
      </c>
      <c r="CC17" s="60">
        <f t="shared" si="11"/>
        <v>236.33261916391379</v>
      </c>
      <c r="CD17" s="60">
        <f ca="1">AVERAGE(OFFSET($CC$3,0,0,'Données projet'!$E$12+1,1))-AVERAGE(OFFSET($H$3,0,0,'Données projet'!$E$12+1,1))</f>
        <v>542.90832990875208</v>
      </c>
      <c r="CE17" s="60">
        <f t="shared" si="40"/>
        <v>304.94365539329362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3.4425641025641025</v>
      </c>
      <c r="CT17" s="13">
        <f>IF('Données projet'!$A$140&gt;35,CT16+CS17-DB16,IF(A17&lt;'Données projet'!$A$140,$CQ$205^A17,IF(A17='Données projet'!$A$140,'Données projet'!$B$140,CT16+CS17-DB16)))</f>
        <v>8.7069931392376674</v>
      </c>
      <c r="CU17" s="18">
        <f>CT17*VLOOKUP('Données projet'!$B$13,Paramètres!$A$1:$I$89,3,0)*VLOOKUP('Données projet'!$B$13,Paramètres!$A$1:$I$89,5,0)</f>
        <v>4.0748727891632281</v>
      </c>
      <c r="CV17" s="14">
        <f t="shared" si="41"/>
        <v>1.5945892948181934</v>
      </c>
      <c r="CW17" s="22">
        <f t="shared" si="13"/>
        <v>9.8743131296009761</v>
      </c>
      <c r="CX17" s="60">
        <f t="shared" si="14"/>
        <v>211.90417490187417</v>
      </c>
      <c r="CY17" s="60">
        <f ca="1">AVERAGE(OFFSET($CX$3,0,0,'Données projet'!$E$13+1,1))-AVERAGE(OFFSET($H$3,0,0,'Données projet'!$E$13+1,1))</f>
        <v>277.77877239988635</v>
      </c>
      <c r="CZ17" s="60">
        <f t="shared" si="42"/>
        <v>164.65640238394164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1.8269230769230771</v>
      </c>
      <c r="DO17" s="13">
        <f>IF('Données projet'!$A$166&gt;35,DO16+DN17-DW16,IF(A17&lt;'Données projet'!$A$166,$DL$205^A17,IF(A17='Données projet'!$A$166,'Données projet'!$B$166,DO16+DN17-DW16)))</f>
        <v>12.414384152328676</v>
      </c>
      <c r="DP17" s="18">
        <f>DO17*VLOOKUP('Données projet'!$B$14,Paramètres!$A$1:$I$89,3,0)*VLOOKUP('Données projet'!$B$14,Paramètres!$A$1:$I$89,5,0)</f>
        <v>10.651541602698005</v>
      </c>
      <c r="DQ17" s="14">
        <f t="shared" si="43"/>
        <v>3.7271229681181186</v>
      </c>
      <c r="DR17" s="22">
        <f t="shared" si="16"/>
        <v>25.042840794171411</v>
      </c>
      <c r="DS17" s="60">
        <f t="shared" si="17"/>
        <v>227.0727025664446</v>
      </c>
      <c r="DT17" s="60">
        <f ca="1">AVERAGE(OFFSET($DS$3,0,0,'Données projet'!$E$14+1,1))-AVERAGE(OFFSET($H$3,0,0,'Données projet'!$E$14+1,1))</f>
        <v>354.30160274624632</v>
      </c>
      <c r="DU17" s="60">
        <f t="shared" si="44"/>
        <v>218.8005329382452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2.1</v>
      </c>
      <c r="EJ17" s="13">
        <f>IF('Données projet'!$A$192&gt;35,EJ16+EI17-ER16,IF(A17&lt;'Données projet'!$A$192,$EG$205^A17,IF(A17='Données projet'!$A$192,'Données projet'!$B$192,EJ16+EI17-ER16)))</f>
        <v>13.685935953338433</v>
      </c>
      <c r="EK17" s="18">
        <f>EJ17*VLOOKUP('Données projet'!$B$15,Paramètres!$A$1:$I$89,3,0)*VLOOKUP('Données projet'!$B$15,Paramètres!$A$1:$I$89,5,0)</f>
        <v>13.237037254068934</v>
      </c>
      <c r="EL17" s="14">
        <f t="shared" si="45"/>
        <v>4.5161297192961545</v>
      </c>
      <c r="EM17" s="22">
        <f t="shared" si="19"/>
        <v>30.920099145277529</v>
      </c>
      <c r="EN17" s="60">
        <f t="shared" si="20"/>
        <v>232.94996091755073</v>
      </c>
      <c r="EO17" s="60">
        <f ca="1">AVERAGE(OFFSET($EN$3,0,0,'Données projet'!$E$15+1,1))-AVERAGE(OFFSET($H$3,0,0,'Données projet'!$E$15+1,1))</f>
        <v>496.33873798282525</v>
      </c>
      <c r="EP17" s="60">
        <f t="shared" si="46"/>
        <v>280.25465074992246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2.4933333333333332</v>
      </c>
      <c r="FE17" s="13">
        <f>IF('Données projet'!$A$218&gt;35,FE16+FD17-FM16,IF(A17&lt;'Données projet'!$A$218,$FB$205^A17,IF(A17='Données projet'!$A$218,'Données projet'!$B$218,FE16+FD17-FM16)))</f>
        <v>29.37740938719443</v>
      </c>
      <c r="FF17" s="18">
        <f>FE17*VLOOKUP('Données projet'!$B$16,Paramètres!$A$1:$I$89,3,0)*VLOOKUP('Données projet'!$B$16,Paramètres!$A$1:$I$89,5,0)</f>
        <v>23.830954494892122</v>
      </c>
      <c r="FG17" s="14">
        <f t="shared" si="47"/>
        <v>7.5926650065017887</v>
      </c>
      <c r="FH17" s="22">
        <f t="shared" si="22"/>
        <v>54.729470631594388</v>
      </c>
      <c r="FI17" s="60">
        <f t="shared" si="23"/>
        <v>256.75933240386757</v>
      </c>
      <c r="FJ17" s="60">
        <f ca="1">AVERAGE(OFFSET($FI$3,0,0,'Données projet'!$E$16+1,1))-AVERAGE(OFFSET($H$3,0,0,'Données projet'!$E$16+1,1))</f>
        <v>341.66430955115521</v>
      </c>
      <c r="FK17" s="60">
        <f t="shared" si="48"/>
        <v>366.15174925159192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2.4933333333333332</v>
      </c>
      <c r="FZ17" s="13">
        <f>IF('Données projet'!$A$244&gt;35,FZ16+FY17-GH16,IF(A17&lt;'Données projet'!$A$244,$FW$205^A17,IF(A17='Données projet'!$A$244,'Données projet'!$B$244,FZ16+FY17-GH16)))</f>
        <v>29.37740938719443</v>
      </c>
      <c r="GA17" s="18">
        <f>FZ17*VLOOKUP('Données projet'!$B$17,Paramètres!$A$1:$I$89,3,0)*VLOOKUP('Données projet'!$B$17,Paramètres!$A$1:$I$89,5,0)</f>
        <v>21.539516562690956</v>
      </c>
      <c r="GB17" s="14">
        <f t="shared" si="49"/>
        <v>6.9438343480277602</v>
      </c>
      <c r="GC17" s="22">
        <f t="shared" si="25"/>
        <v>49.608502836168434</v>
      </c>
      <c r="GD17" s="60">
        <f t="shared" si="26"/>
        <v>251.63836460844163</v>
      </c>
      <c r="GE17" s="60">
        <f ca="1">AVERAGE(OFFSET($GD$3,0,0,'Données projet'!$E$17+1,1))-AVERAGE(OFFSET($H$3,0,0,'Données projet'!$E$17+1,1))</f>
        <v>314.58662400031631</v>
      </c>
      <c r="GF17" s="60">
        <f t="shared" si="50"/>
        <v>336.99073123405981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4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16.729190352551068</v>
      </c>
      <c r="P18" s="14">
        <f t="shared" si="33"/>
        <v>5.5541103821765283</v>
      </c>
      <c r="Q18" s="22">
        <f t="shared" si="2"/>
        <v>38.810082112983899</v>
      </c>
      <c r="R18" s="60">
        <f t="shared" si="0"/>
        <v>243.30683204586495</v>
      </c>
      <c r="S18" s="60">
        <f ca="1">AVERAGE(OFFSET($R$3,0,0,'Données projet'!$E$9+1,1))-AVERAGE(OFFSET($H$3,0,0,'Données projet'!$E$9+1,1))</f>
        <v>516.30971934066179</v>
      </c>
      <c r="T18" s="60">
        <f t="shared" si="34"/>
        <v>290.84286505723571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30.128205128205128</v>
      </c>
      <c r="AG18" s="13">
        <f>VLOOKUP(A18,'Données projet'!$A$61:$I$81,9,0)</f>
        <v>2.0085470085470085</v>
      </c>
      <c r="AH18" s="13">
        <f t="array" ref="AH18">INDEX(AG:AG,MIN(IF(ISNUMBER(AG18:AG214),ROW(AG18:AG214),"")))</f>
        <v>2.0085470085470085</v>
      </c>
      <c r="AI18" s="14">
        <f>IF('Données projet'!$A$62&gt;35,AI17+AH18-AQ17,IF(A18&lt;'Données projet'!$A$62,$AF$205^A18,IF(A18='Données projet'!$A$62,'Données projet'!$B$62,AI17+AH18-AQ17)))</f>
        <v>30.128205128205128</v>
      </c>
      <c r="AJ18" s="14">
        <f>AI18*VLOOKUP('Données projet'!$B$10,Paramètres!$A$1:$I$89,3,0)*VLOOKUP('Données projet'!$B$10,Paramètres!$A$1:$I$89,5,0)</f>
        <v>31.490000000000006</v>
      </c>
      <c r="AK18" s="14">
        <f t="shared" si="35"/>
        <v>9.7126430402655597</v>
      </c>
      <c r="AL18" s="22">
        <f t="shared" si="4"/>
        <v>71.761269961795847</v>
      </c>
      <c r="AM18" s="60">
        <f t="shared" si="5"/>
        <v>276.25801989467686</v>
      </c>
      <c r="AN18" s="60">
        <f ca="1">AVERAGE(OFFSET($AM$3,0,0,'Données projet'!$E$10+1,1))-AVERAGE(OFFSET($H$3,0,0,'Données projet'!$E$10+1,1))</f>
        <v>529.00505223594837</v>
      </c>
      <c r="AO18" s="60">
        <f t="shared" si="36"/>
        <v>321.23004033257985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37.4</v>
      </c>
      <c r="BB18" s="13">
        <f>VLOOKUP(A18,'Données projet'!$A$87:$I$107,9,0)</f>
        <v>2.4933333333333332</v>
      </c>
      <c r="BC18" s="13">
        <f t="array" ref="BC18">INDEX(BB:BB,MIN(IF(ISNUMBER(BB18:BB214),ROW(BB18:BB214),"")))</f>
        <v>2.4933333333333332</v>
      </c>
      <c r="BD18" s="13">
        <f>IF('Données projet'!$A$88&gt;35,BD17+BC18-BL17,IF(A18&lt;'Données projet'!$A$88,$BA$205^A18,IF(A18='Données projet'!$A$88,'Données projet'!$B$88,BD17+BC18-BL17)))</f>
        <v>37.4</v>
      </c>
      <c r="BE18" s="14">
        <f>BD18*VLOOKUP('Données projet'!$B$11,Paramètres!$A$1:$I$89,3,0)*VLOOKUP('Données projet'!$B$11,Paramètres!$A$1:$I$89,5,0)</f>
        <v>32.672640000000008</v>
      </c>
      <c r="BF18" s="14">
        <f t="shared" si="37"/>
        <v>10.03425765259713</v>
      </c>
      <c r="BG18" s="22">
        <f t="shared" si="7"/>
        <v>74.381180078273346</v>
      </c>
      <c r="BH18" s="60">
        <f t="shared" si="8"/>
        <v>278.87793001115438</v>
      </c>
      <c r="BI18" s="60">
        <f ca="1">AVERAGE(OFFSET($BH$3,0,0,'Données projet'!$E$11+1,1))-AVERAGE(OFFSET($H$3,0,0,'Données projet'!$E$11+1,1))</f>
        <v>363.28611056308665</v>
      </c>
      <c r="BJ18" s="60">
        <f t="shared" si="38"/>
        <v>389.43647559455974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17.758678989631132</v>
      </c>
      <c r="CA18" s="14">
        <f t="shared" si="39"/>
        <v>5.8550596146042126</v>
      </c>
      <c r="CB18" s="22">
        <f t="shared" si="10"/>
        <v>41.127261402376554</v>
      </c>
      <c r="CC18" s="60">
        <f t="shared" si="11"/>
        <v>245.62401133525759</v>
      </c>
      <c r="CD18" s="60">
        <f ca="1">AVERAGE(OFFSET($CC$3,0,0,'Données projet'!$E$12+1,1))-AVERAGE(OFFSET($H$3,0,0,'Données projet'!$E$12+1,1))</f>
        <v>542.90832990875208</v>
      </c>
      <c r="CE18" s="60">
        <f t="shared" si="40"/>
        <v>304.94365539329362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3.4425641025641025</v>
      </c>
      <c r="CT18" s="13">
        <f>IF('Données projet'!$A$140&gt;35,CT17+CS18-DB17,IF(A18&lt;'Données projet'!$A$140,$CQ$205^A18,IF(A18='Données projet'!$A$140,'Données projet'!$B$140,CT17+CS18-DB17)))</f>
        <v>10.162525428107084</v>
      </c>
      <c r="CU18" s="18">
        <f>CT18*VLOOKUP('Données projet'!$B$13,Paramètres!$A$1:$I$89,3,0)*VLOOKUP('Données projet'!$B$13,Paramètres!$A$1:$I$89,5,0)</f>
        <v>4.7560619003541156</v>
      </c>
      <c r="CV18" s="14">
        <f t="shared" si="41"/>
        <v>1.8279653298016947</v>
      </c>
      <c r="CW18" s="22">
        <f t="shared" si="13"/>
        <v>11.467180759188034</v>
      </c>
      <c r="CX18" s="60">
        <f t="shared" si="14"/>
        <v>215.96393069206908</v>
      </c>
      <c r="CY18" s="60">
        <f ca="1">AVERAGE(OFFSET($CX$3,0,0,'Données projet'!$E$13+1,1))-AVERAGE(OFFSET($H$3,0,0,'Données projet'!$E$13+1,1))</f>
        <v>277.77877239988635</v>
      </c>
      <c r="CZ18" s="60">
        <f t="shared" si="42"/>
        <v>164.65640238394164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1.8269230769230771</v>
      </c>
      <c r="DO18" s="13">
        <f>IF('Données projet'!$A$166&gt;35,DO17+DN18-DW17,IF(A18&lt;'Données projet'!$A$166,$DL$205^A18,IF(A18='Données projet'!$A$166,'Données projet'!$B$166,DO17+DN18-DW17)))</f>
        <v>14.86150161407812</v>
      </c>
      <c r="DP18" s="18">
        <f>DO18*VLOOKUP('Données projet'!$B$14,Paramètres!$A$1:$I$89,3,0)*VLOOKUP('Données projet'!$B$14,Paramètres!$A$1:$I$89,5,0)</f>
        <v>12.751168384879028</v>
      </c>
      <c r="DQ18" s="14">
        <f t="shared" si="43"/>
        <v>4.3693418844524912</v>
      </c>
      <c r="DR18" s="22">
        <f t="shared" si="16"/>
        <v>29.81822205241906</v>
      </c>
      <c r="DS18" s="60">
        <f t="shared" si="17"/>
        <v>234.3149719853001</v>
      </c>
      <c r="DT18" s="60">
        <f ca="1">AVERAGE(OFFSET($DS$3,0,0,'Données projet'!$E$14+1,1))-AVERAGE(OFFSET($H$3,0,0,'Données projet'!$E$14+1,1))</f>
        <v>354.30160274624632</v>
      </c>
      <c r="DU18" s="60">
        <f t="shared" si="44"/>
        <v>218.8005329382452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2.1</v>
      </c>
      <c r="EJ18" s="13">
        <f>IF('Données projet'!$A$192&gt;35,EJ17+EI18-ER17,IF(A18&lt;'Données projet'!$A$192,$EG$205^A18,IF(A18='Données projet'!$A$192,'Données projet'!$B$192,EJ17+EI18-ER17)))</f>
        <v>16.498215337821566</v>
      </c>
      <c r="EK18" s="18">
        <f>EJ18*VLOOKUP('Données projet'!$B$15,Paramètres!$A$1:$I$89,3,0)*VLOOKUP('Données projet'!$B$15,Paramètres!$A$1:$I$89,5,0)</f>
        <v>15.957073874741019</v>
      </c>
      <c r="EL18" s="14">
        <f t="shared" si="45"/>
        <v>5.3269860755326848</v>
      </c>
      <c r="EM18" s="22">
        <f t="shared" si="19"/>
        <v>37.069737746726702</v>
      </c>
      <c r="EN18" s="60">
        <f t="shared" si="20"/>
        <v>241.56648767960775</v>
      </c>
      <c r="EO18" s="60">
        <f ca="1">AVERAGE(OFFSET($EN$3,0,0,'Données projet'!$E$15+1,1))-AVERAGE(OFFSET($H$3,0,0,'Données projet'!$E$15+1,1))</f>
        <v>496.33873798282525</v>
      </c>
      <c r="EP18" s="60">
        <f t="shared" si="46"/>
        <v>280.25465074992246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37.4</v>
      </c>
      <c r="FC18" s="13">
        <f>VLOOKUP(A18,'Données projet'!$A$217:$I$237,9,0)</f>
        <v>2.4933333333333332</v>
      </c>
      <c r="FD18" s="13">
        <f t="array" ref="FD18">INDEX(FC:FC,MIN(IF(ISNUMBER(FC18:FC214),ROW(FC18:FC214),"")))</f>
        <v>2.4933333333333332</v>
      </c>
      <c r="FE18" s="13">
        <f>IF('Données projet'!$A$218&gt;35,FE17+FD18-FM17,IF(A18&lt;'Données projet'!$A$218,$FB$205^A18,IF(A18='Données projet'!$A$218,'Données projet'!$B$218,FE17+FD18-FM17)))</f>
        <v>37.4</v>
      </c>
      <c r="FF18" s="18">
        <f>FE18*VLOOKUP('Données projet'!$B$16,Paramètres!$A$1:$I$89,3,0)*VLOOKUP('Données projet'!$B$16,Paramètres!$A$1:$I$89,5,0)</f>
        <v>30.338880000000003</v>
      </c>
      <c r="FG18" s="14">
        <f t="shared" si="47"/>
        <v>9.3982471594795509</v>
      </c>
      <c r="FH18" s="22">
        <f t="shared" si="22"/>
        <v>69.208829802760235</v>
      </c>
      <c r="FI18" s="60">
        <f t="shared" si="23"/>
        <v>273.70557973564127</v>
      </c>
      <c r="FJ18" s="60">
        <f ca="1">AVERAGE(OFFSET($FI$3,0,0,'Données projet'!$E$16+1,1))-AVERAGE(OFFSET($H$3,0,0,'Données projet'!$E$16+1,1))</f>
        <v>341.66430955115521</v>
      </c>
      <c r="FK18" s="60">
        <f t="shared" si="48"/>
        <v>366.15174925159192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37.4</v>
      </c>
      <c r="FX18" s="13">
        <f>VLOOKUP(A18,'Données projet'!$A$243:$I$263,9,0)</f>
        <v>2.4933333333333332</v>
      </c>
      <c r="FY18" s="13">
        <f t="array" ref="FY18">INDEX(FX:FX,MIN(IF(ISNUMBER(FX18:FX214),ROW(FX18:FX214),"")))</f>
        <v>2.4933333333333332</v>
      </c>
      <c r="FZ18" s="13">
        <f>IF('Données projet'!$A$244&gt;35,FZ17+FY18-GH17,IF(A18&lt;'Données projet'!$A$244,$FW$205^A18,IF(A18='Données projet'!$A$244,'Données projet'!$B$244,FZ17+FY18-GH17)))</f>
        <v>37.4</v>
      </c>
      <c r="GA18" s="18">
        <f>FZ18*VLOOKUP('Données projet'!$B$17,Paramètres!$A$1:$I$89,3,0)*VLOOKUP('Données projet'!$B$17,Paramètres!$A$1:$I$89,5,0)</f>
        <v>27.421679999999999</v>
      </c>
      <c r="GB18" s="14">
        <f t="shared" si="49"/>
        <v>8.5951206040783781</v>
      </c>
      <c r="GC18" s="22">
        <f t="shared" si="25"/>
        <v>62.729261052103169</v>
      </c>
      <c r="GD18" s="60">
        <f t="shared" si="26"/>
        <v>267.22601098498421</v>
      </c>
      <c r="GE18" s="60">
        <f ca="1">AVERAGE(OFFSET($GD$3,0,0,'Données projet'!$E$17+1,1))-AVERAGE(OFFSET($H$3,0,0,'Données projet'!$E$17+1,1))</f>
        <v>314.58662400031631</v>
      </c>
      <c r="GF18" s="60">
        <f t="shared" si="50"/>
        <v>336.99073123405981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4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20.166818389681932</v>
      </c>
      <c r="P19" s="14">
        <f t="shared" si="33"/>
        <v>6.5513327797938032</v>
      </c>
      <c r="Q19" s="22">
        <f t="shared" si="2"/>
        <v>46.534113286836906</v>
      </c>
      <c r="R19" s="60">
        <f t="shared" si="0"/>
        <v>253.47615920895097</v>
      </c>
      <c r="S19" s="60">
        <f ca="1">AVERAGE(OFFSET($R$3,0,0,'Données projet'!$E$9+1,1))-AVERAGE(OFFSET($H$3,0,0,'Données projet'!$E$9+1,1))</f>
        <v>516.30971934066179</v>
      </c>
      <c r="T19" s="60">
        <f t="shared" si="34"/>
        <v>290.84286505723571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5.7692307692307683</v>
      </c>
      <c r="AI19" s="14">
        <f>IF('Données projet'!$A$62&gt;35,AI18+AH19-AQ18,IF(A19&lt;'Données projet'!$A$62,$AF$205^A19,IF(A19='Données projet'!$A$62,'Données projet'!$B$62,AI18+AH19-AQ18)))</f>
        <v>35.897435897435898</v>
      </c>
      <c r="AJ19" s="14">
        <f>AI19*VLOOKUP('Données projet'!$B$10,Paramètres!$A$1:$I$89,3,0)*VLOOKUP('Données projet'!$B$10,Paramètres!$A$1:$I$89,5,0)</f>
        <v>37.520000000000003</v>
      </c>
      <c r="AK19" s="14">
        <f t="shared" si="35"/>
        <v>11.338894152047692</v>
      </c>
      <c r="AL19" s="22">
        <f t="shared" si="4"/>
        <v>85.095907314816401</v>
      </c>
      <c r="AM19" s="60">
        <f t="shared" si="5"/>
        <v>292.03795323693043</v>
      </c>
      <c r="AN19" s="60">
        <f ca="1">AVERAGE(OFFSET($AM$3,0,0,'Données projet'!$E$10+1,1))-AVERAGE(OFFSET($H$3,0,0,'Données projet'!$E$10+1,1))</f>
        <v>529.00505223594837</v>
      </c>
      <c r="AO19" s="60">
        <f t="shared" si="36"/>
        <v>321.23004033257985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11.54</v>
      </c>
      <c r="BD19" s="13">
        <f>IF('Données projet'!$A$88&gt;35,BD18+BC19-BL18,IF(A19&lt;'Données projet'!$A$88,$BA$205^A19,IF(A19='Données projet'!$A$88,'Données projet'!$B$88,BD18+BC19-BL18)))</f>
        <v>48.94</v>
      </c>
      <c r="BE19" s="14">
        <f>BD19*VLOOKUP('Données projet'!$B$11,Paramètres!$A$1:$I$89,3,0)*VLOOKUP('Données projet'!$B$11,Paramètres!$A$1:$I$89,5,0)</f>
        <v>42.753984000000003</v>
      </c>
      <c r="BF19" s="14">
        <f t="shared" si="37"/>
        <v>12.72573807250034</v>
      </c>
      <c r="BG19" s="22">
        <f t="shared" si="7"/>
        <v>96.627182609604759</v>
      </c>
      <c r="BH19" s="60">
        <f t="shared" si="8"/>
        <v>303.56922853171881</v>
      </c>
      <c r="BI19" s="60">
        <f ca="1">AVERAGE(OFFSET($BH$3,0,0,'Données projet'!$E$11+1,1))-AVERAGE(OFFSET($H$3,0,0,'Données projet'!$E$11+1,1))</f>
        <v>363.28611056308665</v>
      </c>
      <c r="BJ19" s="60">
        <f t="shared" si="38"/>
        <v>389.43647559455974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21.407853367508512</v>
      </c>
      <c r="CA19" s="14">
        <f t="shared" si="39"/>
        <v>6.906316464991046</v>
      </c>
      <c r="CB19" s="22">
        <f t="shared" si="10"/>
        <v>49.313845791603399</v>
      </c>
      <c r="CC19" s="60">
        <f t="shared" si="11"/>
        <v>256.25589171371746</v>
      </c>
      <c r="CD19" s="60">
        <f ca="1">AVERAGE(OFFSET($CC$3,0,0,'Données projet'!$E$12+1,1))-AVERAGE(OFFSET($H$3,0,0,'Données projet'!$E$12+1,1))</f>
        <v>542.90832990875208</v>
      </c>
      <c r="CE19" s="60">
        <f t="shared" si="40"/>
        <v>304.94365539329362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3.4425641025641025</v>
      </c>
      <c r="CT19" s="13">
        <f>IF('Données projet'!$A$140&gt;35,CT18+CS19-DB18,IF(A19&lt;'Données projet'!$A$140,$CQ$205^A19,IF(A19='Données projet'!$A$140,'Données projet'!$B$140,CT18+CS19-DB18)))</f>
        <v>11.861376416102864</v>
      </c>
      <c r="CU19" s="18">
        <f>CT19*VLOOKUP('Données projet'!$B$13,Paramètres!$A$1:$I$89,3,0)*VLOOKUP('Données projet'!$B$13,Paramètres!$A$1:$I$89,5,0)</f>
        <v>5.5511241627361398</v>
      </c>
      <c r="CV19" s="14">
        <f t="shared" si="41"/>
        <v>2.0954971024924585</v>
      </c>
      <c r="CW19" s="22">
        <f t="shared" si="13"/>
        <v>13.31786537027314</v>
      </c>
      <c r="CX19" s="60">
        <f t="shared" si="14"/>
        <v>220.25991129238719</v>
      </c>
      <c r="CY19" s="60">
        <f ca="1">AVERAGE(OFFSET($CX$3,0,0,'Données projet'!$E$13+1,1))-AVERAGE(OFFSET($H$3,0,0,'Données projet'!$E$13+1,1))</f>
        <v>277.77877239988635</v>
      </c>
      <c r="CZ19" s="60">
        <f t="shared" si="42"/>
        <v>164.65640238394164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1.8269230769230771</v>
      </c>
      <c r="DO19" s="13">
        <f>IF('Données projet'!$A$166&gt;35,DO18+DN19-DW18,IF(A19&lt;'Données projet'!$A$166,$DL$205^A19,IF(A19='Données projet'!$A$166,'Données projet'!$B$166,DO18+DN19-DW18)))</f>
        <v>17.790993698532937</v>
      </c>
      <c r="DP19" s="18">
        <f>DO19*VLOOKUP('Données projet'!$B$14,Paramètres!$A$1:$I$89,3,0)*VLOOKUP('Données projet'!$B$14,Paramètres!$A$1:$I$89,5,0)</f>
        <v>15.264672593341261</v>
      </c>
      <c r="DQ19" s="14">
        <f t="shared" si="43"/>
        <v>5.1222212592760963</v>
      </c>
      <c r="DR19" s="22">
        <f t="shared" si="16"/>
        <v>35.507173459975228</v>
      </c>
      <c r="DS19" s="60">
        <f t="shared" si="17"/>
        <v>242.4492193820893</v>
      </c>
      <c r="DT19" s="60">
        <f ca="1">AVERAGE(OFFSET($DS$3,0,0,'Données projet'!$E$14+1,1))-AVERAGE(OFFSET($H$3,0,0,'Données projet'!$E$14+1,1))</f>
        <v>354.30160274624632</v>
      </c>
      <c r="DU19" s="60">
        <f t="shared" si="44"/>
        <v>218.8005329382452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2.1</v>
      </c>
      <c r="EJ19" s="13">
        <f>IF('Données projet'!$A$192&gt;35,EJ18+EI19-ER18,IF(A19&lt;'Données projet'!$A$192,$EG$205^A19,IF(A19='Données projet'!$A$192,'Données projet'!$B$192,EJ18+EI19-ER18)))</f>
        <v>19.888381054913147</v>
      </c>
      <c r="EK19" s="18">
        <f>EJ19*VLOOKUP('Données projet'!$B$15,Paramètres!$A$1:$I$89,3,0)*VLOOKUP('Données projet'!$B$15,Paramètres!$A$1:$I$89,5,0)</f>
        <v>19.236042156311996</v>
      </c>
      <c r="EL19" s="14">
        <f t="shared" si="45"/>
        <v>6.2834290449348904</v>
      </c>
      <c r="EM19" s="22">
        <f t="shared" si="19"/>
        <v>44.446412342171662</v>
      </c>
      <c r="EN19" s="60">
        <f t="shared" si="20"/>
        <v>251.38845826428573</v>
      </c>
      <c r="EO19" s="60">
        <f ca="1">AVERAGE(OFFSET($EN$3,0,0,'Données projet'!$E$15+1,1))-AVERAGE(OFFSET($H$3,0,0,'Données projet'!$E$15+1,1))</f>
        <v>496.33873798282525</v>
      </c>
      <c r="EP19" s="60">
        <f t="shared" si="46"/>
        <v>280.25465074992246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11.54</v>
      </c>
      <c r="FE19" s="13">
        <f>IF('Données projet'!$A$218&gt;35,FE18+FD19-FM18,IF(A19&lt;'Données projet'!$A$218,$FB$205^A19,IF(A19='Données projet'!$A$218,'Données projet'!$B$218,FE18+FD19-FM18)))</f>
        <v>48.94</v>
      </c>
      <c r="FF19" s="18">
        <f>FE19*VLOOKUP('Données projet'!$B$16,Paramètres!$A$1:$I$89,3,0)*VLOOKUP('Données projet'!$B$16,Paramètres!$A$1:$I$89,5,0)</f>
        <v>39.700127999999999</v>
      </c>
      <c r="FG19" s="14">
        <f t="shared" si="47"/>
        <v>11.919131024226944</v>
      </c>
      <c r="FH19" s="22">
        <f t="shared" si="22"/>
        <v>89.903542800528598</v>
      </c>
      <c r="FI19" s="60">
        <f t="shared" si="23"/>
        <v>296.84558872264267</v>
      </c>
      <c r="FJ19" s="60">
        <f ca="1">AVERAGE(OFFSET($FI$3,0,0,'Données projet'!$E$16+1,1))-AVERAGE(OFFSET($H$3,0,0,'Données projet'!$E$16+1,1))</f>
        <v>341.66430955115521</v>
      </c>
      <c r="FK19" s="60">
        <f t="shared" si="48"/>
        <v>366.15174925159192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11.54</v>
      </c>
      <c r="FZ19" s="13">
        <f>IF('Données projet'!$A$244&gt;35,FZ18+FY19-GH18,IF(A19&lt;'Données projet'!$A$244,$FW$205^A19,IF(A19='Données projet'!$A$244,'Données projet'!$B$244,FZ18+FY19-GH18)))</f>
        <v>48.94</v>
      </c>
      <c r="GA19" s="18">
        <f>FZ19*VLOOKUP('Données projet'!$B$17,Paramètres!$A$1:$I$89,3,0)*VLOOKUP('Données projet'!$B$17,Paramètres!$A$1:$I$89,5,0)</f>
        <v>35.882807999999997</v>
      </c>
      <c r="GB19" s="14">
        <f t="shared" si="49"/>
        <v>10.900582514018076</v>
      </c>
      <c r="GC19" s="22">
        <f t="shared" si="25"/>
        <v>81.481071811914816</v>
      </c>
      <c r="GD19" s="60">
        <f t="shared" si="26"/>
        <v>288.42311773402889</v>
      </c>
      <c r="GE19" s="60">
        <f ca="1">AVERAGE(OFFSET($GD$3,0,0,'Données projet'!$E$17+1,1))-AVERAGE(OFFSET($H$3,0,0,'Données projet'!$E$17+1,1))</f>
        <v>314.58662400031631</v>
      </c>
      <c r="GF19" s="60">
        <f t="shared" si="50"/>
        <v>336.99073123405981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4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24.31083366209619</v>
      </c>
      <c r="P20" s="14">
        <f t="shared" si="33"/>
        <v>7.7276032052466093</v>
      </c>
      <c r="Q20" s="22">
        <f t="shared" si="2"/>
        <v>55.800277543955367</v>
      </c>
      <c r="R20" s="60">
        <f t="shared" si="0"/>
        <v>265.16640185982811</v>
      </c>
      <c r="S20" s="60">
        <f ca="1">AVERAGE(OFFSET($R$3,0,0,'Données projet'!$E$9+1,1))-AVERAGE(OFFSET($H$3,0,0,'Données projet'!$E$9+1,1))</f>
        <v>516.30971934066179</v>
      </c>
      <c r="T20" s="60">
        <f t="shared" si="34"/>
        <v>290.84286505723571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5.7692307692307683</v>
      </c>
      <c r="AI20" s="14">
        <f>IF('Données projet'!$A$62&gt;35,AI19+AH20-AQ19,IF(A20&lt;'Données projet'!$A$62,$AF$205^A20,IF(A20='Données projet'!$A$62,'Données projet'!$B$62,AI19+AH20-AQ19)))</f>
        <v>41.666666666666664</v>
      </c>
      <c r="AJ20" s="14">
        <f>AI20*VLOOKUP('Données projet'!$B$10,Paramètres!$A$1:$I$89,3,0)*VLOOKUP('Données projet'!$B$10,Paramètres!$A$1:$I$89,5,0)</f>
        <v>43.550000000000004</v>
      </c>
      <c r="AK20" s="14">
        <f t="shared" si="35"/>
        <v>12.934868040345785</v>
      </c>
      <c r="AL20" s="22">
        <f t="shared" si="4"/>
        <v>98.377811836935564</v>
      </c>
      <c r="AM20" s="60">
        <f t="shared" si="5"/>
        <v>307.74393615280826</v>
      </c>
      <c r="AN20" s="60">
        <f ca="1">AVERAGE(OFFSET($AM$3,0,0,'Données projet'!$E$10+1,1))-AVERAGE(OFFSET($H$3,0,0,'Données projet'!$E$10+1,1))</f>
        <v>529.00505223594837</v>
      </c>
      <c r="AO20" s="60">
        <f t="shared" si="36"/>
        <v>321.23004033257985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11.54</v>
      </c>
      <c r="BD20" s="13">
        <f>IF('Données projet'!$A$88&gt;35,BD19+BC20-BL19,IF(A20&lt;'Données projet'!$A$88,$BA$205^A20,IF(A20='Données projet'!$A$88,'Données projet'!$B$88,BD19+BC20-BL19)))</f>
        <v>60.48</v>
      </c>
      <c r="BE20" s="14">
        <f>BD20*VLOOKUP('Données projet'!$B$11,Paramètres!$A$1:$I$89,3,0)*VLOOKUP('Données projet'!$B$11,Paramètres!$A$1:$I$89,5,0)</f>
        <v>52.835328000000004</v>
      </c>
      <c r="BF20" s="14">
        <f t="shared" si="37"/>
        <v>15.343628388186952</v>
      </c>
      <c r="BG20" s="22">
        <f t="shared" si="7"/>
        <v>118.74501570942562</v>
      </c>
      <c r="BH20" s="60">
        <f t="shared" si="8"/>
        <v>328.11114002529837</v>
      </c>
      <c r="BI20" s="60">
        <f ca="1">AVERAGE(OFFSET($BH$3,0,0,'Données projet'!$E$11+1,1))-AVERAGE(OFFSET($H$3,0,0,'Données projet'!$E$11+1,1))</f>
        <v>363.28611056308665</v>
      </c>
      <c r="BJ20" s="60">
        <f t="shared" si="38"/>
        <v>389.43647559455974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25.80688496437903</v>
      </c>
      <c r="CA20" s="14">
        <f t="shared" si="39"/>
        <v>8.146323052908933</v>
      </c>
      <c r="CB20" s="22">
        <f t="shared" si="10"/>
        <v>59.135170630109862</v>
      </c>
      <c r="CC20" s="60">
        <f t="shared" si="11"/>
        <v>268.50129494598258</v>
      </c>
      <c r="CD20" s="60">
        <f ca="1">AVERAGE(OFFSET($CC$3,0,0,'Données projet'!$E$12+1,1))-AVERAGE(OFFSET($H$3,0,0,'Données projet'!$E$12+1,1))</f>
        <v>542.90832990875208</v>
      </c>
      <c r="CE20" s="60">
        <f t="shared" si="40"/>
        <v>304.94365539329362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3.4425641025641025</v>
      </c>
      <c r="CT20" s="13">
        <f>IF('Données projet'!$A$140&gt;35,CT19+CS20-DB19,IF(A20&lt;'Données projet'!$A$140,$CQ$205^A20,IF(A20='Données projet'!$A$140,'Données projet'!$B$140,CT19+CS20-DB19)))</f>
        <v>13.84422124990315</v>
      </c>
      <c r="CU20" s="18">
        <f>CT20*VLOOKUP('Données projet'!$B$13,Paramètres!$A$1:$I$89,3,0)*VLOOKUP('Données projet'!$B$13,Paramètres!$A$1:$I$89,5,0)</f>
        <v>6.4790955449546734</v>
      </c>
      <c r="CV20" s="14">
        <f t="shared" si="41"/>
        <v>2.4021834741420709</v>
      </c>
      <c r="CW20" s="22">
        <f t="shared" si="13"/>
        <v>15.468227624926827</v>
      </c>
      <c r="CX20" s="60">
        <f t="shared" si="14"/>
        <v>224.83435194079956</v>
      </c>
      <c r="CY20" s="60">
        <f ca="1">AVERAGE(OFFSET($CX$3,0,0,'Données projet'!$E$13+1,1))-AVERAGE(OFFSET($H$3,0,0,'Données projet'!$E$13+1,1))</f>
        <v>277.77877239988635</v>
      </c>
      <c r="CZ20" s="60">
        <f t="shared" si="42"/>
        <v>164.65640238394164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1.8269230769230771</v>
      </c>
      <c r="DO20" s="13">
        <f>IF('Données projet'!$A$166&gt;35,DO19+DN20-DW19,IF(A20&lt;'Données projet'!$A$166,$DL$205^A20,IF(A20='Données projet'!$A$166,'Données projet'!$B$166,DO19+DN20-DW19)))</f>
        <v>21.297945860423926</v>
      </c>
      <c r="DP20" s="18">
        <f>DO20*VLOOKUP('Données projet'!$B$14,Paramètres!$A$1:$I$89,3,0)*VLOOKUP('Données projet'!$B$14,Paramètres!$A$1:$I$89,5,0)</f>
        <v>18.27363754824373</v>
      </c>
      <c r="DQ20" s="14">
        <f t="shared" si="43"/>
        <v>6.0048289474303038</v>
      </c>
      <c r="DR20" s="22">
        <f t="shared" si="16"/>
        <v>42.284995813298941</v>
      </c>
      <c r="DS20" s="60">
        <f t="shared" si="17"/>
        <v>251.65112012917166</v>
      </c>
      <c r="DT20" s="60">
        <f ca="1">AVERAGE(OFFSET($DS$3,0,0,'Données projet'!$E$14+1,1))-AVERAGE(OFFSET($H$3,0,0,'Données projet'!$E$14+1,1))</f>
        <v>354.30160274624632</v>
      </c>
      <c r="DU20" s="60">
        <f t="shared" si="44"/>
        <v>218.8005329382452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2.1</v>
      </c>
      <c r="EJ20" s="13">
        <f>IF('Données projet'!$A$192&gt;35,EJ19+EI20-ER19,IF(A20&lt;'Données projet'!$A$192,$EG$205^A20,IF(A20='Données projet'!$A$192,'Données projet'!$B$192,EJ19+EI20-ER19)))</f>
        <v>23.975181126327602</v>
      </c>
      <c r="EK20" s="18">
        <f>EJ20*VLOOKUP('Données projet'!$B$15,Paramètres!$A$1:$I$89,3,0)*VLOOKUP('Données projet'!$B$15,Paramètres!$A$1:$I$89,5,0)</f>
        <v>23.188795185384055</v>
      </c>
      <c r="EL20" s="14">
        <f t="shared" si="45"/>
        <v>7.4115982288884323</v>
      </c>
      <c r="EM20" s="22">
        <f t="shared" si="19"/>
        <v>53.29568519652458</v>
      </c>
      <c r="EN20" s="60">
        <f t="shared" si="20"/>
        <v>262.66180951239733</v>
      </c>
      <c r="EO20" s="60">
        <f ca="1">AVERAGE(OFFSET($EN$3,0,0,'Données projet'!$E$15+1,1))-AVERAGE(OFFSET($H$3,0,0,'Données projet'!$E$15+1,1))</f>
        <v>496.33873798282525</v>
      </c>
      <c r="EP20" s="60">
        <f t="shared" si="46"/>
        <v>280.25465074992246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11.54</v>
      </c>
      <c r="FE20" s="13">
        <f>IF('Données projet'!$A$218&gt;35,FE19+FD20-FM19,IF(A20&lt;'Données projet'!$A$218,$FB$205^A20,IF(A20='Données projet'!$A$218,'Données projet'!$B$218,FE19+FD20-FM19)))</f>
        <v>60.48</v>
      </c>
      <c r="FF20" s="18">
        <f>FE20*VLOOKUP('Données projet'!$B$16,Paramètres!$A$1:$I$89,3,0)*VLOOKUP('Données projet'!$B$16,Paramètres!$A$1:$I$89,5,0)</f>
        <v>49.061376000000003</v>
      </c>
      <c r="FG20" s="14">
        <f t="shared" si="47"/>
        <v>14.371089213367384</v>
      </c>
      <c r="FH20" s="22">
        <f t="shared" si="22"/>
        <v>110.47821024661486</v>
      </c>
      <c r="FI20" s="60">
        <f t="shared" si="23"/>
        <v>319.84433456248757</v>
      </c>
      <c r="FJ20" s="60">
        <f ca="1">AVERAGE(OFFSET($FI$3,0,0,'Données projet'!$E$16+1,1))-AVERAGE(OFFSET($H$3,0,0,'Données projet'!$E$16+1,1))</f>
        <v>341.66430955115521</v>
      </c>
      <c r="FK20" s="60">
        <f t="shared" si="48"/>
        <v>366.15174925159192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11.54</v>
      </c>
      <c r="FZ20" s="13">
        <f>IF('Données projet'!$A$244&gt;35,FZ19+FY20-GH19,IF(A20&lt;'Données projet'!$A$244,$FW$205^A20,IF(A20='Données projet'!$A$244,'Données projet'!$B$244,FZ19+FY20-GH19)))</f>
        <v>60.48</v>
      </c>
      <c r="GA20" s="18">
        <f>FZ20*VLOOKUP('Données projet'!$B$17,Paramètres!$A$1:$I$89,3,0)*VLOOKUP('Données projet'!$B$17,Paramètres!$A$1:$I$89,5,0)</f>
        <v>44.343935999999992</v>
      </c>
      <c r="GB20" s="14">
        <f t="shared" si="49"/>
        <v>13.143008787151626</v>
      </c>
      <c r="GC20" s="22">
        <f t="shared" si="25"/>
        <v>100.12309550428905</v>
      </c>
      <c r="GD20" s="60">
        <f t="shared" si="26"/>
        <v>309.48921982016179</v>
      </c>
      <c r="GE20" s="60">
        <f ca="1">AVERAGE(OFFSET($GD$3,0,0,'Données projet'!$E$17+1,1))-AVERAGE(OFFSET($H$3,0,0,'Données projet'!$E$17+1,1))</f>
        <v>314.58662400031631</v>
      </c>
      <c r="GF20" s="60">
        <f t="shared" si="50"/>
        <v>336.99073123405981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4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29.306389432677911</v>
      </c>
      <c r="P21" s="14">
        <f t="shared" si="33"/>
        <v>9.1150691477493808</v>
      </c>
      <c r="Q21" s="22">
        <f t="shared" si="2"/>
        <v>66.917373694244205</v>
      </c>
      <c r="R21" s="60">
        <f t="shared" si="0"/>
        <v>278.6867268862473</v>
      </c>
      <c r="S21" s="60">
        <f ca="1">AVERAGE(OFFSET($R$3,0,0,'Données projet'!$E$9+1,1))-AVERAGE(OFFSET($H$3,0,0,'Données projet'!$E$9+1,1))</f>
        <v>516.30971934066179</v>
      </c>
      <c r="T21" s="60">
        <f t="shared" si="34"/>
        <v>290.84286505723571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5.7692307692307683</v>
      </c>
      <c r="AI21" s="14">
        <f>IF('Données projet'!$A$62&gt;35,AI20+AH21-AQ20,IF(A21&lt;'Données projet'!$A$62,$AF$205^A21,IF(A21='Données projet'!$A$62,'Données projet'!$B$62,AI20+AH21-AQ20)))</f>
        <v>47.435897435897431</v>
      </c>
      <c r="AJ21" s="14">
        <f>AI21*VLOOKUP('Données projet'!$B$10,Paramètres!$A$1:$I$89,3,0)*VLOOKUP('Données projet'!$B$10,Paramètres!$A$1:$I$89,5,0)</f>
        <v>49.58</v>
      </c>
      <c r="AK21" s="14">
        <f t="shared" si="35"/>
        <v>14.505239638165149</v>
      </c>
      <c r="AL21" s="22">
        <f t="shared" si="4"/>
        <v>111.61512570313762</v>
      </c>
      <c r="AM21" s="60">
        <f t="shared" si="5"/>
        <v>323.38447889514072</v>
      </c>
      <c r="AN21" s="60">
        <f ca="1">AVERAGE(OFFSET($AM$3,0,0,'Données projet'!$E$10+1,1))-AVERAGE(OFFSET($H$3,0,0,'Données projet'!$E$10+1,1))</f>
        <v>529.00505223594837</v>
      </c>
      <c r="AO21" s="60">
        <f t="shared" si="36"/>
        <v>321.23004033257985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11.54</v>
      </c>
      <c r="BD21" s="13">
        <f>IF('Données projet'!$A$88&gt;35,BD20+BC21-BL20,IF(A21&lt;'Données projet'!$A$88,$BA$205^A21,IF(A21='Données projet'!$A$88,'Données projet'!$B$88,BD20+BC21-BL20)))</f>
        <v>72.02</v>
      </c>
      <c r="BE21" s="14">
        <f>BD21*VLOOKUP('Données projet'!$B$11,Paramètres!$A$1:$I$89,3,0)*VLOOKUP('Données projet'!$B$11,Paramètres!$A$1:$I$89,5,0)</f>
        <v>62.916672000000005</v>
      </c>
      <c r="BF21" s="14">
        <f t="shared" si="37"/>
        <v>17.90364569794426</v>
      </c>
      <c r="BG21" s="22">
        <f t="shared" si="7"/>
        <v>140.76205332391956</v>
      </c>
      <c r="BH21" s="60">
        <f t="shared" si="8"/>
        <v>352.53140651592264</v>
      </c>
      <c r="BI21" s="60">
        <f ca="1">AVERAGE(OFFSET($BH$3,0,0,'Données projet'!$E$11+1,1))-AVERAGE(OFFSET($H$3,0,0,'Données projet'!$E$11+1,1))</f>
        <v>363.28611056308665</v>
      </c>
      <c r="BJ21" s="60">
        <f t="shared" si="38"/>
        <v>389.43647559455974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31.109859551611933</v>
      </c>
      <c r="CA21" s="14">
        <f t="shared" si="39"/>
        <v>9.6089687778941872</v>
      </c>
      <c r="CB21" s="22">
        <f t="shared" si="10"/>
        <v>70.918626007223153</v>
      </c>
      <c r="CC21" s="60">
        <f t="shared" si="11"/>
        <v>282.68797919922628</v>
      </c>
      <c r="CD21" s="60">
        <f ca="1">AVERAGE(OFFSET($CC$3,0,0,'Données projet'!$E$12+1,1))-AVERAGE(OFFSET($H$3,0,0,'Données projet'!$E$12+1,1))</f>
        <v>542.90832990875208</v>
      </c>
      <c r="CE21" s="60">
        <f t="shared" si="40"/>
        <v>304.94365539329362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3.4425641025641025</v>
      </c>
      <c r="CT21" s="13">
        <f>IF('Données projet'!$A$140&gt;35,CT20+CS21-DB20,IF(A21&lt;'Données projet'!$A$140,$CQ$205^A21,IF(A21='Données projet'!$A$140,'Données projet'!$B$140,CT20+CS21-DB20)))</f>
        <v>16.158534666859676</v>
      </c>
      <c r="CU21" s="18">
        <f>CT21*VLOOKUP('Données projet'!$B$13,Paramètres!$A$1:$I$89,3,0)*VLOOKUP('Données projet'!$B$13,Paramètres!$A$1:$I$89,5,0)</f>
        <v>7.5621942240903284</v>
      </c>
      <c r="CV21" s="14">
        <f t="shared" si="41"/>
        <v>2.7537549140858508</v>
      </c>
      <c r="CW21" s="22">
        <f t="shared" si="13"/>
        <v>17.96694474899018</v>
      </c>
      <c r="CX21" s="60">
        <f t="shared" si="14"/>
        <v>229.7362979409933</v>
      </c>
      <c r="CY21" s="60">
        <f ca="1">AVERAGE(OFFSET($CX$3,0,0,'Données projet'!$E$13+1,1))-AVERAGE(OFFSET($H$3,0,0,'Données projet'!$E$13+1,1))</f>
        <v>277.77877239988635</v>
      </c>
      <c r="CZ21" s="60">
        <f t="shared" si="42"/>
        <v>164.65640238394164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1.8269230769230771</v>
      </c>
      <c r="DO21" s="13">
        <f>IF('Données projet'!$A$166&gt;35,DO20+DN21-DW20,IF(A21&lt;'Données projet'!$A$166,$DL$205^A21,IF(A21='Données projet'!$A$166,'Données projet'!$B$166,DO20+DN21-DW20)))</f>
        <v>25.49618675380416</v>
      </c>
      <c r="DP21" s="18">
        <f>DO21*VLOOKUP('Données projet'!$B$14,Paramètres!$A$1:$I$89,3,0)*VLOOKUP('Données projet'!$B$14,Paramètres!$A$1:$I$89,5,0)</f>
        <v>21.875728234763972</v>
      </c>
      <c r="DQ21" s="14">
        <f t="shared" si="43"/>
        <v>7.0395183774222332</v>
      </c>
      <c r="DR21" s="22">
        <f t="shared" si="16"/>
        <v>50.360721182890977</v>
      </c>
      <c r="DS21" s="60">
        <f t="shared" si="17"/>
        <v>262.13007437489409</v>
      </c>
      <c r="DT21" s="60">
        <f ca="1">AVERAGE(OFFSET($DS$3,0,0,'Données projet'!$E$14+1,1))-AVERAGE(OFFSET($H$3,0,0,'Données projet'!$E$14+1,1))</f>
        <v>354.30160274624632</v>
      </c>
      <c r="DU21" s="60">
        <f t="shared" si="44"/>
        <v>218.8005329382452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2.1</v>
      </c>
      <c r="EJ21" s="13">
        <f>IF('Données projet'!$A$192&gt;35,EJ20+EI21-ER20,IF(A21&lt;'Données projet'!$A$192,$EG$205^A21,IF(A21='Données projet'!$A$192,'Données projet'!$B$192,EJ20+EI21-ER20)))</f>
        <v>28.901764726506816</v>
      </c>
      <c r="EK21" s="18">
        <f>EJ21*VLOOKUP('Données projet'!$B$15,Paramètres!$A$1:$I$89,3,0)*VLOOKUP('Données projet'!$B$15,Paramètres!$A$1:$I$89,5,0)</f>
        <v>27.953786843477392</v>
      </c>
      <c r="EL21" s="14">
        <f t="shared" si="45"/>
        <v>8.7423265089215931</v>
      </c>
      <c r="EM21" s="22">
        <f t="shared" si="19"/>
        <v>63.912397422094891</v>
      </c>
      <c r="EN21" s="60">
        <f t="shared" si="20"/>
        <v>275.68175061409801</v>
      </c>
      <c r="EO21" s="60">
        <f ca="1">AVERAGE(OFFSET($EN$3,0,0,'Données projet'!$E$15+1,1))-AVERAGE(OFFSET($H$3,0,0,'Données projet'!$E$15+1,1))</f>
        <v>496.33873798282525</v>
      </c>
      <c r="EP21" s="60">
        <f t="shared" si="46"/>
        <v>280.25465074992246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11.54</v>
      </c>
      <c r="FE21" s="13">
        <f>IF('Données projet'!$A$218&gt;35,FE20+FD21-FM20,IF(A21&lt;'Données projet'!$A$218,$FB$205^A21,IF(A21='Données projet'!$A$218,'Données projet'!$B$218,FE20+FD21-FM20)))</f>
        <v>72.02</v>
      </c>
      <c r="FF21" s="18">
        <f>FE21*VLOOKUP('Données projet'!$B$16,Paramètres!$A$1:$I$89,3,0)*VLOOKUP('Données projet'!$B$16,Paramètres!$A$1:$I$89,5,0)</f>
        <v>58.422624000000006</v>
      </c>
      <c r="FG21" s="14">
        <f t="shared" si="47"/>
        <v>16.76884261403055</v>
      </c>
      <c r="FH21" s="22">
        <f t="shared" si="22"/>
        <v>130.95847101943656</v>
      </c>
      <c r="FI21" s="60">
        <f t="shared" si="23"/>
        <v>342.72782421143967</v>
      </c>
      <c r="FJ21" s="60">
        <f ca="1">AVERAGE(OFFSET($FI$3,0,0,'Données projet'!$E$16+1,1))-AVERAGE(OFFSET($H$3,0,0,'Données projet'!$E$16+1,1))</f>
        <v>341.66430955115521</v>
      </c>
      <c r="FK21" s="60">
        <f t="shared" si="48"/>
        <v>366.15174925159192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11.54</v>
      </c>
      <c r="FZ21" s="13">
        <f>IF('Données projet'!$A$244&gt;35,FZ20+FY21-GH20,IF(A21&lt;'Données projet'!$A$244,$FW$205^A21,IF(A21='Données projet'!$A$244,'Données projet'!$B$244,FZ20+FY21-GH20)))</f>
        <v>72.02</v>
      </c>
      <c r="GA21" s="18">
        <f>FZ21*VLOOKUP('Données projet'!$B$17,Paramètres!$A$1:$I$89,3,0)*VLOOKUP('Données projet'!$B$17,Paramètres!$A$1:$I$89,5,0)</f>
        <v>52.805063999999994</v>
      </c>
      <c r="GB21" s="14">
        <f t="shared" si="49"/>
        <v>15.335862338225963</v>
      </c>
      <c r="GC21" s="22">
        <f t="shared" si="25"/>
        <v>118.67878003907686</v>
      </c>
      <c r="GD21" s="60">
        <f t="shared" si="26"/>
        <v>330.44813323107996</v>
      </c>
      <c r="GE21" s="60">
        <f ca="1">AVERAGE(OFFSET($GD$3,0,0,'Données projet'!$E$17+1,1))-AVERAGE(OFFSET($H$3,0,0,'Données projet'!$E$17+1,1))</f>
        <v>314.58662400031631</v>
      </c>
      <c r="GF21" s="60">
        <f t="shared" si="50"/>
        <v>336.99073123405981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4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35.328466045936516</v>
      </c>
      <c r="P22" s="14">
        <f t="shared" si="33"/>
        <v>10.751650073316766</v>
      </c>
      <c r="Q22" s="22">
        <f t="shared" si="2"/>
        <v>80.256202241032796</v>
      </c>
      <c r="R22" s="60">
        <f t="shared" si="0"/>
        <v>294.40829648405634</v>
      </c>
      <c r="S22" s="60">
        <f ca="1">AVERAGE(OFFSET($R$3,0,0,'Données projet'!$E$9+1,1))-AVERAGE(OFFSET($H$3,0,0,'Données projet'!$E$9+1,1))</f>
        <v>516.30971934066179</v>
      </c>
      <c r="T22" s="60">
        <f t="shared" si="34"/>
        <v>290.84286505723571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5.7692307692307683</v>
      </c>
      <c r="AI22" s="14">
        <f>IF('Données projet'!$A$62&gt;35,AI21+AH22-AQ21,IF(A22&lt;'Données projet'!$A$62,$AF$205^A22,IF(A22='Données projet'!$A$62,'Données projet'!$B$62,AI21+AH22-AQ21)))</f>
        <v>53.205128205128197</v>
      </c>
      <c r="AJ22" s="14">
        <f>AI22*VLOOKUP('Données projet'!$B$10,Paramètres!$A$1:$I$89,3,0)*VLOOKUP('Données projet'!$B$10,Paramètres!$A$1:$I$89,5,0)</f>
        <v>55.61</v>
      </c>
      <c r="AK22" s="14">
        <f t="shared" si="35"/>
        <v>16.053478951715945</v>
      </c>
      <c r="AL22" s="22">
        <f t="shared" si="4"/>
        <v>124.81389250757191</v>
      </c>
      <c r="AM22" s="60">
        <f t="shared" si="5"/>
        <v>338.96598675059545</v>
      </c>
      <c r="AN22" s="60">
        <f ca="1">AVERAGE(OFFSET($AM$3,0,0,'Données projet'!$E$10+1,1))-AVERAGE(OFFSET($H$3,0,0,'Données projet'!$E$10+1,1))</f>
        <v>529.00505223594837</v>
      </c>
      <c r="AO22" s="60">
        <f t="shared" si="36"/>
        <v>321.23004033257985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11.54</v>
      </c>
      <c r="BD22" s="13">
        <f>IF('Données projet'!$A$88&gt;35,BD21+BC22-BL21,IF(A22&lt;'Données projet'!$A$88,$BA$205^A22,IF(A22='Données projet'!$A$88,'Données projet'!$B$88,BD21+BC22-BL21)))</f>
        <v>83.56</v>
      </c>
      <c r="BE22" s="14">
        <f>BD22*VLOOKUP('Données projet'!$B$11,Paramètres!$A$1:$I$89,3,0)*VLOOKUP('Données projet'!$B$11,Paramètres!$A$1:$I$89,5,0)</f>
        <v>72.998016000000007</v>
      </c>
      <c r="BF22" s="14">
        <f t="shared" si="37"/>
        <v>20.416143732342558</v>
      </c>
      <c r="BG22" s="22">
        <f t="shared" si="7"/>
        <v>162.69632820049665</v>
      </c>
      <c r="BH22" s="60">
        <f t="shared" si="8"/>
        <v>376.84842244352018</v>
      </c>
      <c r="BI22" s="60">
        <f ca="1">AVERAGE(OFFSET($BH$3,0,0,'Données projet'!$E$11+1,1))-AVERAGE(OFFSET($H$3,0,0,'Données projet'!$E$11+1,1))</f>
        <v>363.28611056308665</v>
      </c>
      <c r="BJ22" s="60">
        <f t="shared" si="38"/>
        <v>389.43647559455974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37.502525494917215</v>
      </c>
      <c r="CA22" s="14">
        <f t="shared" si="39"/>
        <v>11.334227770598273</v>
      </c>
      <c r="CB22" s="22">
        <f t="shared" si="10"/>
        <v>85.057345270772814</v>
      </c>
      <c r="CC22" s="60">
        <f t="shared" si="11"/>
        <v>299.20943951379633</v>
      </c>
      <c r="CD22" s="60">
        <f ca="1">AVERAGE(OFFSET($CC$3,0,0,'Données projet'!$E$12+1,1))-AVERAGE(OFFSET($H$3,0,0,'Données projet'!$E$12+1,1))</f>
        <v>542.90832990875208</v>
      </c>
      <c r="CE22" s="60">
        <f t="shared" si="40"/>
        <v>304.94365539329362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3.4425641025641025</v>
      </c>
      <c r="CT22" s="13">
        <f>IF('Données projet'!$A$140&gt;35,CT21+CS22-DB21,IF(A22&lt;'Données projet'!$A$140,$CQ$205^A22,IF(A22='Données projet'!$A$140,'Données projet'!$B$140,CT21+CS22-DB21)))</f>
        <v>18.859727670267663</v>
      </c>
      <c r="CU22" s="18">
        <f>CT22*VLOOKUP('Données projet'!$B$13,Paramètres!$A$1:$I$89,3,0)*VLOOKUP('Données projet'!$B$13,Paramètres!$A$1:$I$89,5,0)</f>
        <v>8.8263525496852662</v>
      </c>
      <c r="CV22" s="14">
        <f t="shared" si="41"/>
        <v>3.1567805742066648</v>
      </c>
      <c r="CW22" s="22">
        <f t="shared" si="13"/>
        <v>20.870623524111782</v>
      </c>
      <c r="CX22" s="60">
        <f t="shared" si="14"/>
        <v>235.0227177671353</v>
      </c>
      <c r="CY22" s="60">
        <f ca="1">AVERAGE(OFFSET($CX$3,0,0,'Données projet'!$E$13+1,1))-AVERAGE(OFFSET($H$3,0,0,'Données projet'!$E$13+1,1))</f>
        <v>277.77877239988635</v>
      </c>
      <c r="CZ22" s="60">
        <f t="shared" si="42"/>
        <v>164.65640238394164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1.8269230769230771</v>
      </c>
      <c r="DO22" s="13">
        <f>IF('Données projet'!$A$166&gt;35,DO21+DN22-DW21,IF(A22&lt;'Données projet'!$A$166,$DL$205^A22,IF(A22='Données projet'!$A$166,'Données projet'!$B$166,DO21+DN22-DW21)))</f>
        <v>30.521982882527599</v>
      </c>
      <c r="DP22" s="18">
        <f>DO22*VLOOKUP('Données projet'!$B$14,Paramètres!$A$1:$I$89,3,0)*VLOOKUP('Données projet'!$B$14,Paramètres!$A$1:$I$89,5,0)</f>
        <v>26.187861313208685</v>
      </c>
      <c r="DQ22" s="14">
        <f t="shared" si="43"/>
        <v>8.2524946871753517</v>
      </c>
      <c r="DR22" s="22">
        <f t="shared" si="16"/>
        <v>59.983620034002193</v>
      </c>
      <c r="DS22" s="60">
        <f t="shared" si="17"/>
        <v>274.13571427702573</v>
      </c>
      <c r="DT22" s="60">
        <f ca="1">AVERAGE(OFFSET($DS$3,0,0,'Données projet'!$E$14+1,1))-AVERAGE(OFFSET($H$3,0,0,'Données projet'!$E$14+1,1))</f>
        <v>354.30160274624632</v>
      </c>
      <c r="DU22" s="60">
        <f t="shared" si="44"/>
        <v>218.8005329382452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2.1</v>
      </c>
      <c r="EJ22" s="13">
        <f>IF('Données projet'!$A$192&gt;35,EJ21+EI22-ER21,IF(A22&lt;'Données projet'!$A$192,$EG$205^A22,IF(A22='Données projet'!$A$192,'Données projet'!$B$192,EJ21+EI22-ER21)))</f>
        <v>34.840696297767764</v>
      </c>
      <c r="EK22" s="18">
        <f>EJ22*VLOOKUP('Données projet'!$B$15,Paramètres!$A$1:$I$89,3,0)*VLOOKUP('Données projet'!$B$15,Paramètres!$A$1:$I$89,5,0)</f>
        <v>33.697921459200977</v>
      </c>
      <c r="EL22" s="14">
        <f t="shared" si="45"/>
        <v>10.31198270984201</v>
      </c>
      <c r="EM22" s="22">
        <f t="shared" si="19"/>
        <v>76.650583094416518</v>
      </c>
      <c r="EN22" s="60">
        <f t="shared" si="20"/>
        <v>290.80267733744006</v>
      </c>
      <c r="EO22" s="60">
        <f ca="1">AVERAGE(OFFSET($EN$3,0,0,'Données projet'!$E$15+1,1))-AVERAGE(OFFSET($H$3,0,0,'Données projet'!$E$15+1,1))</f>
        <v>496.33873798282525</v>
      </c>
      <c r="EP22" s="60">
        <f t="shared" si="46"/>
        <v>280.25465074992246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11.54</v>
      </c>
      <c r="FE22" s="13">
        <f>IF('Données projet'!$A$218&gt;35,FE21+FD22-FM21,IF(A22&lt;'Données projet'!$A$218,$FB$205^A22,IF(A22='Données projet'!$A$218,'Données projet'!$B$218,FE21+FD22-FM21)))</f>
        <v>83.56</v>
      </c>
      <c r="FF22" s="18">
        <f>FE22*VLOOKUP('Données projet'!$B$16,Paramètres!$A$1:$I$89,3,0)*VLOOKUP('Données projet'!$B$16,Paramètres!$A$1:$I$89,5,0)</f>
        <v>67.783872000000002</v>
      </c>
      <c r="FG22" s="14">
        <f t="shared" si="47"/>
        <v>19.122088696850646</v>
      </c>
      <c r="FH22" s="22">
        <f t="shared" si="22"/>
        <v>151.3612148803482</v>
      </c>
      <c r="FI22" s="60">
        <f t="shared" si="23"/>
        <v>365.51330912337176</v>
      </c>
      <c r="FJ22" s="60">
        <f ca="1">AVERAGE(OFFSET($FI$3,0,0,'Données projet'!$E$16+1,1))-AVERAGE(OFFSET($H$3,0,0,'Données projet'!$E$16+1,1))</f>
        <v>341.66430955115521</v>
      </c>
      <c r="FK22" s="60">
        <f t="shared" si="48"/>
        <v>366.15174925159192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11.54</v>
      </c>
      <c r="FZ22" s="13">
        <f>IF('Données projet'!$A$244&gt;35,FZ21+FY22-GH21,IF(A22&lt;'Données projet'!$A$244,$FW$205^A22,IF(A22='Données projet'!$A$244,'Données projet'!$B$244,FZ21+FY22-GH21)))</f>
        <v>83.56</v>
      </c>
      <c r="GA22" s="18">
        <f>FZ22*VLOOKUP('Données projet'!$B$17,Paramètres!$A$1:$I$89,3,0)*VLOOKUP('Données projet'!$B$17,Paramètres!$A$1:$I$89,5,0)</f>
        <v>61.266191999999997</v>
      </c>
      <c r="GB22" s="14">
        <f t="shared" si="49"/>
        <v>17.488011941198707</v>
      </c>
      <c r="GC22" s="22">
        <f t="shared" si="25"/>
        <v>137.16357186425441</v>
      </c>
      <c r="GD22" s="60">
        <f t="shared" si="26"/>
        <v>351.31566610727793</v>
      </c>
      <c r="GE22" s="60">
        <f ca="1">AVERAGE(OFFSET($GD$3,0,0,'Données projet'!$E$17+1,1))-AVERAGE(OFFSET($H$3,0,0,'Données projet'!$E$17+1,1))</f>
        <v>314.58662400031631</v>
      </c>
      <c r="GF22" s="60">
        <f t="shared" si="50"/>
        <v>336.99073123405981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4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42.588000000000001</v>
      </c>
      <c r="P23" s="14">
        <f t="shared" si="33"/>
        <v>12.682073764365764</v>
      </c>
      <c r="Q23" s="22">
        <f t="shared" si="2"/>
        <v>96.262045139603686</v>
      </c>
      <c r="R23" s="60">
        <f t="shared" si="0"/>
        <v>312.77674802649938</v>
      </c>
      <c r="S23" s="60">
        <f ca="1">AVERAGE(OFFSET($R$3,0,0,'Données projet'!$E$9+1,1))-AVERAGE(OFFSET($H$3,0,0,'Données projet'!$E$9+1,1))</f>
        <v>516.30971934066179</v>
      </c>
      <c r="T23" s="60">
        <f t="shared" si="34"/>
        <v>290.84286505723571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5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58.974358974358971</v>
      </c>
      <c r="AG23" s="13">
        <f>VLOOKUP(A23,'Données projet'!$A$61:$I$81,9,0)</f>
        <v>5.7692307692307683</v>
      </c>
      <c r="AH23" s="13">
        <f t="array" ref="AH23">INDEX(AG:AG,MIN(IF(ISNUMBER(AG23:AG219),ROW(AG23:AG219),"")))</f>
        <v>5.7692307692307683</v>
      </c>
      <c r="AI23" s="14">
        <f>IF('Données projet'!$A$62&gt;35,AI22+AH23-AQ22,IF(A23&lt;'Données projet'!$A$62,$AF$205^A23,IF(A23='Données projet'!$A$62,'Données projet'!$B$62,AI22+AH23-AQ22)))</f>
        <v>58.974358974358964</v>
      </c>
      <c r="AJ23" s="14">
        <f>AI23*VLOOKUP('Données projet'!$B$10,Paramètres!$A$1:$I$89,3,0)*VLOOKUP('Données projet'!$B$10,Paramètres!$A$1:$I$89,5,0)</f>
        <v>61.64</v>
      </c>
      <c r="AK23" s="14">
        <f t="shared" si="35"/>
        <v>17.582259466632539</v>
      </c>
      <c r="AL23" s="22">
        <f t="shared" si="4"/>
        <v>137.97876857105169</v>
      </c>
      <c r="AM23" s="60">
        <f t="shared" si="5"/>
        <v>354.49347145794741</v>
      </c>
      <c r="AN23" s="60">
        <f ca="1">AVERAGE(OFFSET($AM$3,0,0,'Données projet'!$E$10+1,1))-AVERAGE(OFFSET($H$3,0,0,'Données projet'!$E$10+1,1))</f>
        <v>529.00505223594837</v>
      </c>
      <c r="AO23" s="60">
        <f t="shared" si="36"/>
        <v>321.23004033257985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10.256410256410255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95.1</v>
      </c>
      <c r="BB23" s="13">
        <f>VLOOKUP(A23,'Données projet'!$A$87:$I$107,9,0)</f>
        <v>11.54</v>
      </c>
      <c r="BC23" s="13">
        <f t="array" ref="BC23">INDEX(BB:BB,MIN(IF(ISNUMBER(BB23:BB219),ROW(BB23:BB219),"")))</f>
        <v>11.54</v>
      </c>
      <c r="BD23" s="13">
        <f>IF('Données projet'!$A$88&gt;35,BD22+BC23-BL22,IF(A23&lt;'Données projet'!$A$88,$BA$205^A23,IF(A23='Données projet'!$A$88,'Données projet'!$B$88,BD22+BC23-BL22)))</f>
        <v>95.1</v>
      </c>
      <c r="BE23" s="14">
        <f>BD23*VLOOKUP('Données projet'!$B$11,Paramètres!$A$1:$I$89,3,0)*VLOOKUP('Données projet'!$B$11,Paramètres!$A$1:$I$89,5,0)</f>
        <v>83.079360000000008</v>
      </c>
      <c r="BF23" s="14">
        <f t="shared" si="37"/>
        <v>22.888440621332276</v>
      </c>
      <c r="BG23" s="22">
        <f t="shared" si="7"/>
        <v>184.56058608215372</v>
      </c>
      <c r="BH23" s="60">
        <f t="shared" si="8"/>
        <v>401.07528896904944</v>
      </c>
      <c r="BI23" s="60">
        <f ca="1">AVERAGE(OFFSET($BH$3,0,0,'Données projet'!$E$11+1,1))-AVERAGE(OFFSET($H$3,0,0,'Données projet'!$E$11+1,1))</f>
        <v>363.28611056308665</v>
      </c>
      <c r="BJ23" s="60">
        <f t="shared" si="38"/>
        <v>389.43647559455974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43.1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45.208799999999997</v>
      </c>
      <c r="CA23" s="14">
        <f t="shared" si="39"/>
        <v>13.369251386406743</v>
      </c>
      <c r="CB23" s="22">
        <f t="shared" si="10"/>
        <v>102.02343949799173</v>
      </c>
      <c r="CC23" s="60">
        <f t="shared" si="11"/>
        <v>318.53814238488746</v>
      </c>
      <c r="CD23" s="60">
        <f ca="1">AVERAGE(OFFSET($CC$3,0,0,'Données projet'!$E$12+1,1))-AVERAGE(OFFSET($H$3,0,0,'Données projet'!$E$12+1,1))</f>
        <v>542.90832990875208</v>
      </c>
      <c r="CE23" s="60">
        <f t="shared" si="40"/>
        <v>304.94365539329362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3.4425641025641025</v>
      </c>
      <c r="CT23" s="13">
        <f>IF('Données projet'!$A$140&gt;35,CT22+CS23-DB22,IF(A23&lt;'Données projet'!$A$140,$CQ$205^A23,IF(A23='Données projet'!$A$140,'Données projet'!$B$140,CT22+CS23-DB22)))</f>
        <v>22.012474220583886</v>
      </c>
      <c r="CU23" s="18">
        <f>CT23*VLOOKUP('Données projet'!$B$13,Paramètres!$A$1:$I$89,3,0)*VLOOKUP('Données projet'!$B$13,Paramètres!$A$1:$I$89,5,0)</f>
        <v>10.301837935233259</v>
      </c>
      <c r="CV23" s="14">
        <f t="shared" si="41"/>
        <v>3.6187910342764393</v>
      </c>
      <c r="CW23" s="22">
        <f t="shared" si="13"/>
        <v>24.245095455229389</v>
      </c>
      <c r="CX23" s="60">
        <f t="shared" si="14"/>
        <v>240.75979834212512</v>
      </c>
      <c r="CY23" s="60">
        <f ca="1">AVERAGE(OFFSET($CX$3,0,0,'Données projet'!$E$13+1,1))-AVERAGE(OFFSET($H$3,0,0,'Données projet'!$E$13+1,1))</f>
        <v>277.77877239988635</v>
      </c>
      <c r="CZ23" s="60">
        <f t="shared" si="42"/>
        <v>164.65640238394164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36.53846153846154</v>
      </c>
      <c r="DM23" s="13">
        <f>VLOOKUP(A23,'Données projet'!$A$165:$I$185,9,0)</f>
        <v>1.8269230769230771</v>
      </c>
      <c r="DN23" s="13">
        <f t="array" ref="DN23">INDEX(DM:DM,MIN(IF(ISNUMBER(DM23:DM219),ROW(DM23:DM219),"")))</f>
        <v>1.8269230769230771</v>
      </c>
      <c r="DO23" s="13">
        <f>IF('Données projet'!$A$166&gt;35,DO22+DN23-DW22,IF(A23&lt;'Données projet'!$A$166,$DL$205^A23,IF(A23='Données projet'!$A$166,'Données projet'!$B$166,DO22+DN23-DW22)))</f>
        <v>36.53846153846154</v>
      </c>
      <c r="DP23" s="18">
        <f>DO23*VLOOKUP('Données projet'!$B$14,Paramètres!$A$1:$I$89,3,0)*VLOOKUP('Données projet'!$B$14,Paramètres!$A$1:$I$89,5,0)</f>
        <v>31.350000000000009</v>
      </c>
      <c r="DQ23" s="14">
        <f t="shared" si="43"/>
        <v>9.6744784103817985</v>
      </c>
      <c r="DR23" s="22">
        <f t="shared" si="16"/>
        <v>71.450966564748299</v>
      </c>
      <c r="DS23" s="60">
        <f t="shared" si="17"/>
        <v>287.96566945164403</v>
      </c>
      <c r="DT23" s="60">
        <f ca="1">AVERAGE(OFFSET($DS$3,0,0,'Données projet'!$E$14+1,1))-AVERAGE(OFFSET($H$3,0,0,'Données projet'!$E$14+1,1))</f>
        <v>354.30160274624632</v>
      </c>
      <c r="DU23" s="60">
        <f t="shared" si="44"/>
        <v>218.8005329382452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42</v>
      </c>
      <c r="EH23" s="13">
        <f>VLOOKUP(A23,'Données projet'!$A$191:$I$211,9,0)</f>
        <v>2.1</v>
      </c>
      <c r="EI23" s="13">
        <f t="array" ref="EI23">INDEX(EH:EH,MIN(IF(ISNUMBER(EH23:EH219),ROW(EH23:EH219),"")))</f>
        <v>2.1</v>
      </c>
      <c r="EJ23" s="13">
        <f>IF('Données projet'!$A$192&gt;35,EJ22+EI23-ER22,IF(A23&lt;'Données projet'!$A$192,$EG$205^A23,IF(A23='Données projet'!$A$192,'Données projet'!$B$192,EJ22+EI23-ER22)))</f>
        <v>42</v>
      </c>
      <c r="EK23" s="18">
        <f>EJ23*VLOOKUP('Données projet'!$B$15,Paramètres!$A$1:$I$89,3,0)*VLOOKUP('Données projet'!$B$15,Paramètres!$A$1:$I$89,5,0)</f>
        <v>40.622399999999999</v>
      </c>
      <c r="EL23" s="14">
        <f t="shared" si="45"/>
        <v>12.163465560290264</v>
      </c>
      <c r="EM23" s="22">
        <f t="shared" si="19"/>
        <v>91.935382517505545</v>
      </c>
      <c r="EN23" s="60">
        <f t="shared" si="20"/>
        <v>308.45008540440125</v>
      </c>
      <c r="EO23" s="60">
        <f ca="1">AVERAGE(OFFSET($EN$3,0,0,'Données projet'!$E$15+1,1))-AVERAGE(OFFSET($H$3,0,0,'Données projet'!$E$15+1,1))</f>
        <v>496.33873798282525</v>
      </c>
      <c r="EP23" s="60">
        <f t="shared" si="46"/>
        <v>280.25465074992246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95.1</v>
      </c>
      <c r="FC23" s="13">
        <f>VLOOKUP(A23,'Données projet'!$A$217:$I$237,9,0)</f>
        <v>11.54</v>
      </c>
      <c r="FD23" s="13">
        <f t="array" ref="FD23">INDEX(FC:FC,MIN(IF(ISNUMBER(FC23:FC219),ROW(FC23:FC219),"")))</f>
        <v>11.54</v>
      </c>
      <c r="FE23" s="13">
        <f>IF('Données projet'!$A$218&gt;35,FE22+FD23-FM22,IF(A23&lt;'Données projet'!$A$218,$FB$205^A23,IF(A23='Données projet'!$A$218,'Données projet'!$B$218,FE22+FD23-FM22)))</f>
        <v>95.1</v>
      </c>
      <c r="FF23" s="18">
        <f>FE23*VLOOKUP('Données projet'!$B$16,Paramètres!$A$1:$I$89,3,0)*VLOOKUP('Données projet'!$B$16,Paramètres!$A$1:$I$89,5,0)</f>
        <v>77.145120000000006</v>
      </c>
      <c r="FG23" s="14">
        <f t="shared" si="47"/>
        <v>21.437681740081288</v>
      </c>
      <c r="FH23" s="22">
        <f t="shared" si="22"/>
        <v>171.69837969730824</v>
      </c>
      <c r="FI23" s="60">
        <f t="shared" si="23"/>
        <v>388.21308258420396</v>
      </c>
      <c r="FJ23" s="60">
        <f ca="1">AVERAGE(OFFSET($FI$3,0,0,'Données projet'!$E$16+1,1))-AVERAGE(OFFSET($H$3,0,0,'Données projet'!$E$16+1,1))</f>
        <v>341.66430955115521</v>
      </c>
      <c r="FK23" s="60">
        <f t="shared" si="48"/>
        <v>366.15174925159192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43.1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95.1</v>
      </c>
      <c r="FX23" s="13">
        <f>VLOOKUP(A23,'Données projet'!$A$243:$I$263,9,0)</f>
        <v>11.54</v>
      </c>
      <c r="FY23" s="13">
        <f t="array" ref="FY23">INDEX(FX:FX,MIN(IF(ISNUMBER(FX23:FX219),ROW(FX23:FX219),"")))</f>
        <v>11.54</v>
      </c>
      <c r="FZ23" s="13">
        <f>IF('Données projet'!$A$244&gt;35,FZ22+FY23-GH22,IF(A23&lt;'Données projet'!$A$244,$FW$205^A23,IF(A23='Données projet'!$A$244,'Données projet'!$B$244,FZ22+FY23-GH22)))</f>
        <v>95.1</v>
      </c>
      <c r="GA23" s="18">
        <f>FZ23*VLOOKUP('Données projet'!$B$17,Paramètres!$A$1:$I$89,3,0)*VLOOKUP('Données projet'!$B$17,Paramètres!$A$1:$I$89,5,0)</f>
        <v>69.727319999999992</v>
      </c>
      <c r="GB23" s="14">
        <f t="shared" si="49"/>
        <v>19.605726142453484</v>
      </c>
      <c r="GC23" s="22">
        <f t="shared" si="25"/>
        <v>155.58838869810646</v>
      </c>
      <c r="GD23" s="60">
        <f t="shared" si="26"/>
        <v>372.10309158500218</v>
      </c>
      <c r="GE23" s="60">
        <f ca="1">AVERAGE(OFFSET($GD$3,0,0,'Données projet'!$E$17+1,1))-AVERAGE(OFFSET($H$3,0,0,'Données projet'!$E$17+1,1))</f>
        <v>314.58662400031631</v>
      </c>
      <c r="GF23" s="60">
        <f t="shared" si="50"/>
        <v>336.99073123405981</v>
      </c>
      <c r="GG23" s="16">
        <f>IF(ISNA(VLOOKUP(A23,'Données projet'!$A$243:$I$263,3,0)),0,VLOOKUP(A23,'Données projet'!$A$243:$I$263,3,0))</f>
        <v>1</v>
      </c>
      <c r="GH23" s="16">
        <f>IF(ISNA(VLOOKUP(A23,'Données projet'!$A$243:$I$263,4,0)),0,VLOOKUP(A23,'Données projet'!$A$243:$I$263,4,0))</f>
        <v>43.1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4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48.266400000000004</v>
      </c>
      <c r="P24" s="14">
        <f t="shared" si="33"/>
        <v>14.165134590154434</v>
      </c>
      <c r="Q24" s="22">
        <f t="shared" si="2"/>
        <v>108.73492274451898</v>
      </c>
      <c r="R24" s="60">
        <f t="shared" si="0"/>
        <v>327.59245112039338</v>
      </c>
      <c r="S24" s="60">
        <f ca="1">AVERAGE(OFFSET($R$3,0,0,'Données projet'!$E$9+1,1))-AVERAGE(OFFSET($H$3,0,0,'Données projet'!$E$9+1,1))</f>
        <v>516.30971934066179</v>
      </c>
      <c r="T24" s="60">
        <f t="shared" si="34"/>
        <v>290.84286505723571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6.5384615384615383</v>
      </c>
      <c r="AI24" s="14">
        <f>IF('Données projet'!$A$62&gt;35,AI23+AH24-AQ23,IF(A24&lt;'Données projet'!$A$62,$AF$205^A24,IF(A24='Données projet'!$A$62,'Données projet'!$B$62,AI23+AH24-AQ23)))</f>
        <v>55.256410256410241</v>
      </c>
      <c r="AJ24" s="14">
        <f>AI24*VLOOKUP('Données projet'!$B$10,Paramètres!$A$1:$I$89,3,0)*VLOOKUP('Données projet'!$B$10,Paramètres!$A$1:$I$89,5,0)</f>
        <v>57.753999999999998</v>
      </c>
      <c r="AK24" s="14">
        <f t="shared" si="35"/>
        <v>16.599155011474558</v>
      </c>
      <c r="AL24" s="22">
        <f t="shared" si="4"/>
        <v>129.49841164498483</v>
      </c>
      <c r="AM24" s="60">
        <f t="shared" si="5"/>
        <v>348.35594002085918</v>
      </c>
      <c r="AN24" s="60">
        <f ca="1">AVERAGE(OFFSET($AM$3,0,0,'Données projet'!$E$10+1,1))-AVERAGE(OFFSET($H$3,0,0,'Données projet'!$E$10+1,1))</f>
        <v>529.00505223594837</v>
      </c>
      <c r="AO24" s="60">
        <f t="shared" si="36"/>
        <v>321.23004033257985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12.500000000000002</v>
      </c>
      <c r="BD24" s="13">
        <f>IF('Données projet'!$A$88&gt;35,BD23+BC24-BL23,IF(A24&lt;'Données projet'!$A$88,$BA$205^A24,IF(A24='Données projet'!$A$88,'Données projet'!$B$88,BD23+BC24-BL23)))</f>
        <v>64.5</v>
      </c>
      <c r="BE24" s="14">
        <f>BD24*VLOOKUP('Données projet'!$B$11,Paramètres!$A$1:$I$89,3,0)*VLOOKUP('Données projet'!$B$11,Paramètres!$A$1:$I$89,5,0)</f>
        <v>56.347200000000008</v>
      </c>
      <c r="BF24" s="14">
        <f t="shared" si="37"/>
        <v>16.241377637196607</v>
      </c>
      <c r="BG24" s="22">
        <f t="shared" si="7"/>
        <v>126.42510605145075</v>
      </c>
      <c r="BH24" s="60">
        <f t="shared" si="8"/>
        <v>345.28263442732515</v>
      </c>
      <c r="BI24" s="60">
        <f ca="1">AVERAGE(OFFSET($BH$3,0,0,'Données projet'!$E$11+1,1))-AVERAGE(OFFSET($H$3,0,0,'Données projet'!$E$11+1,1))</f>
        <v>363.28611056308665</v>
      </c>
      <c r="BJ24" s="60">
        <f t="shared" si="38"/>
        <v>389.43647559455974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51.236640000000001</v>
      </c>
      <c r="CA24" s="14">
        <f t="shared" si="39"/>
        <v>14.932671799321549</v>
      </c>
      <c r="CB24" s="22">
        <f t="shared" si="10"/>
        <v>115.24488471715169</v>
      </c>
      <c r="CC24" s="60">
        <f t="shared" si="11"/>
        <v>334.10241309302609</v>
      </c>
      <c r="CD24" s="60">
        <f ca="1">AVERAGE(OFFSET($CC$3,0,0,'Données projet'!$E$12+1,1))-AVERAGE(OFFSET($H$3,0,0,'Données projet'!$E$12+1,1))</f>
        <v>542.90832990875208</v>
      </c>
      <c r="CE24" s="60">
        <f t="shared" si="40"/>
        <v>304.94365539329362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3.4425641025641025</v>
      </c>
      <c r="CT24" s="13">
        <f>IF('Données projet'!$A$140&gt;35,CT23+CS24-DB23,IF(A24&lt;'Données projet'!$A$140,$CQ$205^A24,IF(A24='Données projet'!$A$140,'Données projet'!$B$140,CT23+CS24-DB23)))</f>
        <v>25.692259707215236</v>
      </c>
      <c r="CU24" s="18">
        <f>CT24*VLOOKUP('Données projet'!$B$13,Paramètres!$A$1:$I$89,3,0)*VLOOKUP('Données projet'!$B$13,Paramètres!$A$1:$I$89,5,0)</f>
        <v>12.023977542976729</v>
      </c>
      <c r="CV24" s="14">
        <f t="shared" si="41"/>
        <v>4.1484190116858626</v>
      </c>
      <c r="CW24" s="22">
        <f t="shared" si="13"/>
        <v>28.166923999370677</v>
      </c>
      <c r="CX24" s="60">
        <f t="shared" si="14"/>
        <v>247.02445237524506</v>
      </c>
      <c r="CY24" s="60">
        <f ca="1">AVERAGE(OFFSET($CX$3,0,0,'Données projet'!$E$13+1,1))-AVERAGE(OFFSET($H$3,0,0,'Données projet'!$E$13+1,1))</f>
        <v>277.77877239988635</v>
      </c>
      <c r="CZ24" s="60">
        <f t="shared" si="42"/>
        <v>164.65640238394164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4.7435897435897427</v>
      </c>
      <c r="DO24" s="13">
        <f>IF('Données projet'!$A$166&gt;35,DO23+DN24-DW23,IF(A24&lt;'Données projet'!$A$166,$DL$205^A24,IF(A24='Données projet'!$A$166,'Données projet'!$B$166,DO23+DN24-DW23)))</f>
        <v>41.282051282051285</v>
      </c>
      <c r="DP24" s="18">
        <f>DO24*VLOOKUP('Données projet'!$B$14,Paramètres!$A$1:$I$89,3,0)*VLOOKUP('Données projet'!$B$14,Paramètres!$A$1:$I$89,5,0)</f>
        <v>35.420000000000009</v>
      </c>
      <c r="DQ24" s="14">
        <f t="shared" si="43"/>
        <v>10.776260709513746</v>
      </c>
      <c r="DR24" s="22">
        <f t="shared" si="16"/>
        <v>80.458487402403108</v>
      </c>
      <c r="DS24" s="60">
        <f t="shared" si="17"/>
        <v>299.31601577827746</v>
      </c>
      <c r="DT24" s="60">
        <f ca="1">AVERAGE(OFFSET($DS$3,0,0,'Données projet'!$E$14+1,1))-AVERAGE(OFFSET($H$3,0,0,'Données projet'!$E$14+1,1))</f>
        <v>354.30160274624632</v>
      </c>
      <c r="DU24" s="60">
        <f t="shared" si="44"/>
        <v>218.8005329382452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5.6</v>
      </c>
      <c r="EJ24" s="13">
        <f>IF('Données projet'!$A$192&gt;35,EJ23+EI24-ER23,IF(A24&lt;'Données projet'!$A$192,$EG$205^A24,IF(A24='Données projet'!$A$192,'Données projet'!$B$192,EJ23+EI24-ER23)))</f>
        <v>47.6</v>
      </c>
      <c r="EK24" s="18">
        <f>EJ24*VLOOKUP('Données projet'!$B$15,Paramètres!$A$1:$I$89,3,0)*VLOOKUP('Données projet'!$B$15,Paramètres!$A$1:$I$89,5,0)</f>
        <v>46.038720000000005</v>
      </c>
      <c r="EL24" s="14">
        <f t="shared" si="45"/>
        <v>13.585879560828786</v>
      </c>
      <c r="EM24" s="22">
        <f t="shared" si="19"/>
        <v>103.84617756844348</v>
      </c>
      <c r="EN24" s="60">
        <f t="shared" si="20"/>
        <v>322.70370594431785</v>
      </c>
      <c r="EO24" s="60">
        <f ca="1">AVERAGE(OFFSET($EN$3,0,0,'Données projet'!$E$15+1,1))-AVERAGE(OFFSET($H$3,0,0,'Données projet'!$E$15+1,1))</f>
        <v>496.33873798282525</v>
      </c>
      <c r="EP24" s="60">
        <f t="shared" si="46"/>
        <v>280.25465074992246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12.500000000000002</v>
      </c>
      <c r="FE24" s="13">
        <f>IF('Données projet'!$A$218&gt;35,FE23+FD24-FM23,IF(A24&lt;'Données projet'!$A$218,$FB$205^A24,IF(A24='Données projet'!$A$218,'Données projet'!$B$218,FE23+FD24-FM23)))</f>
        <v>64.5</v>
      </c>
      <c r="FF24" s="18">
        <f>FE24*VLOOKUP('Données projet'!$B$16,Paramètres!$A$1:$I$89,3,0)*VLOOKUP('Données projet'!$B$16,Paramètres!$A$1:$I$89,5,0)</f>
        <v>52.322400000000002</v>
      </c>
      <c r="FG24" s="14">
        <f t="shared" si="47"/>
        <v>15.211935603956737</v>
      </c>
      <c r="FH24" s="22">
        <f t="shared" si="22"/>
        <v>117.62230117689131</v>
      </c>
      <c r="FI24" s="60">
        <f t="shared" si="23"/>
        <v>336.47982955276569</v>
      </c>
      <c r="FJ24" s="60">
        <f ca="1">AVERAGE(OFFSET($FI$3,0,0,'Données projet'!$E$16+1,1))-AVERAGE(OFFSET($H$3,0,0,'Données projet'!$E$16+1,1))</f>
        <v>341.66430955115521</v>
      </c>
      <c r="FK24" s="60">
        <f t="shared" si="48"/>
        <v>366.15174925159192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12.500000000000002</v>
      </c>
      <c r="FZ24" s="13">
        <f>IF('Données projet'!$A$244&gt;35,FZ23+FY24-GH23,IF(A24&lt;'Données projet'!$A$244,$FW$205^A24,IF(A24='Données projet'!$A$244,'Données projet'!$B$244,FZ23+FY24-GH23)))</f>
        <v>64.5</v>
      </c>
      <c r="GA24" s="18">
        <f>FZ24*VLOOKUP('Données projet'!$B$17,Paramètres!$A$1:$I$89,3,0)*VLOOKUP('Données projet'!$B$17,Paramètres!$A$1:$I$89,5,0)</f>
        <v>47.291399999999996</v>
      </c>
      <c r="GB24" s="14">
        <f t="shared" si="49"/>
        <v>13.91200070808976</v>
      </c>
      <c r="GC24" s="22">
        <f t="shared" si="25"/>
        <v>106.595922899923</v>
      </c>
      <c r="GD24" s="60">
        <f t="shared" si="26"/>
        <v>325.45345127579736</v>
      </c>
      <c r="GE24" s="60">
        <f ca="1">AVERAGE(OFFSET($GD$3,0,0,'Données projet'!$E$17+1,1))-AVERAGE(OFFSET($H$3,0,0,'Données projet'!$E$17+1,1))</f>
        <v>314.58662400031631</v>
      </c>
      <c r="GF24" s="60">
        <f t="shared" si="50"/>
        <v>336.99073123405981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4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53.944800000000008</v>
      </c>
      <c r="P25" s="14">
        <f t="shared" si="33"/>
        <v>15.627975445731321</v>
      </c>
      <c r="Q25" s="22">
        <f t="shared" si="2"/>
        <v>121.17258390131538</v>
      </c>
      <c r="R25" s="60">
        <f t="shared" si="0"/>
        <v>342.35349780478379</v>
      </c>
      <c r="S25" s="60">
        <f ca="1">AVERAGE(OFFSET($R$3,0,0,'Données projet'!$E$9+1,1))-AVERAGE(OFFSET($H$3,0,0,'Données projet'!$E$9+1,1))</f>
        <v>516.30971934066179</v>
      </c>
      <c r="T25" s="60">
        <f t="shared" si="34"/>
        <v>290.84286505723571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6.5384615384615383</v>
      </c>
      <c r="AI25" s="14">
        <f>IF('Données projet'!$A$62&gt;35,AI24+AH25-AQ24,IF(A25&lt;'Données projet'!$A$62,$AF$205^A25,IF(A25='Données projet'!$A$62,'Données projet'!$B$62,AI24+AH25-AQ24)))</f>
        <v>61.794871794871781</v>
      </c>
      <c r="AJ25" s="14">
        <f>AI25*VLOOKUP('Données projet'!$B$10,Paramètres!$A$1:$I$89,3,0)*VLOOKUP('Données projet'!$B$10,Paramètres!$A$1:$I$89,5,0)</f>
        <v>64.587999999999994</v>
      </c>
      <c r="AK25" s="14">
        <f t="shared" si="35"/>
        <v>18.323238211635353</v>
      </c>
      <c r="AL25" s="22">
        <f t="shared" si="4"/>
        <v>144.40373988526488</v>
      </c>
      <c r="AM25" s="60">
        <f t="shared" si="5"/>
        <v>365.58465378873325</v>
      </c>
      <c r="AN25" s="60">
        <f ca="1">AVERAGE(OFFSET($AM$3,0,0,'Données projet'!$E$10+1,1))-AVERAGE(OFFSET($H$3,0,0,'Données projet'!$E$10+1,1))</f>
        <v>529.00505223594837</v>
      </c>
      <c r="AO25" s="60">
        <f t="shared" si="36"/>
        <v>321.23004033257985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12.500000000000002</v>
      </c>
      <c r="BD25" s="13">
        <f>IF('Données projet'!$A$88&gt;35,BD24+BC25-BL24,IF(A25&lt;'Données projet'!$A$88,$BA$205^A25,IF(A25='Données projet'!$A$88,'Données projet'!$B$88,BD24+BC25-BL24)))</f>
        <v>77</v>
      </c>
      <c r="BE25" s="14">
        <f>BD25*VLOOKUP('Données projet'!$B$11,Paramètres!$A$1:$I$89,3,0)*VLOOKUP('Données projet'!$B$11,Paramètres!$A$1:$I$89,5,0)</f>
        <v>67.267200000000003</v>
      </c>
      <c r="BF25" s="14">
        <f t="shared" si="37"/>
        <v>18.993242158132926</v>
      </c>
      <c r="BG25" s="22">
        <f t="shared" si="7"/>
        <v>150.23693675874819</v>
      </c>
      <c r="BH25" s="60">
        <f t="shared" si="8"/>
        <v>371.41785066221655</v>
      </c>
      <c r="BI25" s="60">
        <f ca="1">AVERAGE(OFFSET($BH$3,0,0,'Données projet'!$E$11+1,1))-AVERAGE(OFFSET($H$3,0,0,'Données projet'!$E$11+1,1))</f>
        <v>363.28611056308665</v>
      </c>
      <c r="BJ25" s="60">
        <f t="shared" si="38"/>
        <v>389.43647559455974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57.264479999999999</v>
      </c>
      <c r="CA25" s="14">
        <f t="shared" si="39"/>
        <v>16.474776623807379</v>
      </c>
      <c r="CB25" s="22">
        <f t="shared" si="10"/>
        <v>128.42920528646451</v>
      </c>
      <c r="CC25" s="60">
        <f t="shared" si="11"/>
        <v>349.6101191899329</v>
      </c>
      <c r="CD25" s="60">
        <f ca="1">AVERAGE(OFFSET($CC$3,0,0,'Données projet'!$E$12+1,1))-AVERAGE(OFFSET($H$3,0,0,'Données projet'!$E$12+1,1))</f>
        <v>542.90832990875208</v>
      </c>
      <c r="CE25" s="60">
        <f t="shared" si="40"/>
        <v>304.94365539329362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3.4425641025641025</v>
      </c>
      <c r="CT25" s="13">
        <f>IF('Données projet'!$A$140&gt;35,CT24+CS25-DB24,IF(A25&lt;'Données projet'!$A$140,$CQ$205^A25,IF(A25='Données projet'!$A$140,'Données projet'!$B$140,CT24+CS25-DB24)))</f>
        <v>29.987188275534368</v>
      </c>
      <c r="CU25" s="18">
        <f>CT25*VLOOKUP('Données projet'!$B$13,Paramètres!$A$1:$I$89,3,0)*VLOOKUP('Données projet'!$B$13,Paramètres!$A$1:$I$89,5,0)</f>
        <v>14.034004112950084</v>
      </c>
      <c r="CV25" s="14">
        <f t="shared" si="41"/>
        <v>4.7555606647394173</v>
      </c>
      <c r="CW25" s="22">
        <f t="shared" si="13"/>
        <v>32.725158654475884</v>
      </c>
      <c r="CX25" s="60">
        <f t="shared" si="14"/>
        <v>253.90607255794427</v>
      </c>
      <c r="CY25" s="60">
        <f ca="1">AVERAGE(OFFSET($CX$3,0,0,'Données projet'!$E$13+1,1))-AVERAGE(OFFSET($H$3,0,0,'Données projet'!$E$13+1,1))</f>
        <v>277.77877239988635</v>
      </c>
      <c r="CZ25" s="60">
        <f t="shared" si="42"/>
        <v>164.65640238394164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4.7435897435897427</v>
      </c>
      <c r="DO25" s="13">
        <f>IF('Données projet'!$A$166&gt;35,DO24+DN25-DW24,IF(A25&lt;'Données projet'!$A$166,$DL$205^A25,IF(A25='Données projet'!$A$166,'Données projet'!$B$166,DO24+DN25-DW24)))</f>
        <v>46.025641025641029</v>
      </c>
      <c r="DP25" s="18">
        <f>DO25*VLOOKUP('Données projet'!$B$14,Paramètres!$A$1:$I$89,3,0)*VLOOKUP('Données projet'!$B$14,Paramètres!$A$1:$I$89,5,0)</f>
        <v>39.490000000000009</v>
      </c>
      <c r="DQ25" s="14">
        <f t="shared" si="43"/>
        <v>11.863370564325823</v>
      </c>
      <c r="DR25" s="22">
        <f t="shared" si="16"/>
        <v>89.440453732867482</v>
      </c>
      <c r="DS25" s="60">
        <f t="shared" si="17"/>
        <v>310.62136763633589</v>
      </c>
      <c r="DT25" s="60">
        <f ca="1">AVERAGE(OFFSET($DS$3,0,0,'Données projet'!$E$14+1,1))-AVERAGE(OFFSET($H$3,0,0,'Données projet'!$E$14+1,1))</f>
        <v>354.30160274624632</v>
      </c>
      <c r="DU25" s="60">
        <f t="shared" si="44"/>
        <v>218.8005329382452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5.6</v>
      </c>
      <c r="EJ25" s="13">
        <f>IF('Données projet'!$A$192&gt;35,EJ24+EI25-ER24,IF(A25&lt;'Données projet'!$A$192,$EG$205^A25,IF(A25='Données projet'!$A$192,'Données projet'!$B$192,EJ24+EI25-ER24)))</f>
        <v>53.2</v>
      </c>
      <c r="EK25" s="18">
        <f>EJ25*VLOOKUP('Données projet'!$B$15,Paramètres!$A$1:$I$89,3,0)*VLOOKUP('Données projet'!$B$15,Paramètres!$A$1:$I$89,5,0)</f>
        <v>51.455040000000004</v>
      </c>
      <c r="EL25" s="14">
        <f t="shared" si="45"/>
        <v>14.988900446655085</v>
      </c>
      <c r="EM25" s="22">
        <f t="shared" si="19"/>
        <v>115.72319627792427</v>
      </c>
      <c r="EN25" s="60">
        <f t="shared" si="20"/>
        <v>336.90411018139264</v>
      </c>
      <c r="EO25" s="60">
        <f ca="1">AVERAGE(OFFSET($EN$3,0,0,'Données projet'!$E$15+1,1))-AVERAGE(OFFSET($H$3,0,0,'Données projet'!$E$15+1,1))</f>
        <v>496.33873798282525</v>
      </c>
      <c r="EP25" s="60">
        <f t="shared" si="46"/>
        <v>280.25465074992246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12.500000000000002</v>
      </c>
      <c r="FE25" s="13">
        <f>IF('Données projet'!$A$218&gt;35,FE24+FD25-FM24,IF(A25&lt;'Données projet'!$A$218,$FB$205^A25,IF(A25='Données projet'!$A$218,'Données projet'!$B$218,FE24+FD25-FM24)))</f>
        <v>77</v>
      </c>
      <c r="FF25" s="18">
        <f>FE25*VLOOKUP('Données projet'!$B$16,Paramètres!$A$1:$I$89,3,0)*VLOOKUP('Données projet'!$B$16,Paramètres!$A$1:$I$89,5,0)</f>
        <v>62.462400000000002</v>
      </c>
      <c r="FG25" s="14">
        <f t="shared" si="47"/>
        <v>17.789376189256878</v>
      </c>
      <c r="FH25" s="22">
        <f t="shared" si="22"/>
        <v>139.7718435296224</v>
      </c>
      <c r="FI25" s="60">
        <f t="shared" si="23"/>
        <v>360.95275743309082</v>
      </c>
      <c r="FJ25" s="60">
        <f ca="1">AVERAGE(OFFSET($FI$3,0,0,'Données projet'!$E$16+1,1))-AVERAGE(OFFSET($H$3,0,0,'Données projet'!$E$16+1,1))</f>
        <v>341.66430955115521</v>
      </c>
      <c r="FK25" s="60">
        <f t="shared" si="48"/>
        <v>366.15174925159192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12.500000000000002</v>
      </c>
      <c r="FZ25" s="13">
        <f>IF('Données projet'!$A$244&gt;35,FZ24+FY25-GH24,IF(A25&lt;'Données projet'!$A$244,$FW$205^A25,IF(A25='Données projet'!$A$244,'Données projet'!$B$244,FZ24+FY25-GH24)))</f>
        <v>77</v>
      </c>
      <c r="GA25" s="18">
        <f>FZ25*VLOOKUP('Données projet'!$B$17,Paramètres!$A$1:$I$89,3,0)*VLOOKUP('Données projet'!$B$17,Paramètres!$A$1:$I$89,5,0)</f>
        <v>56.456399999999995</v>
      </c>
      <c r="GB25" s="14">
        <f t="shared" si="49"/>
        <v>16.269186287972712</v>
      </c>
      <c r="GC25" s="22">
        <f t="shared" si="25"/>
        <v>126.66372945155246</v>
      </c>
      <c r="GD25" s="60">
        <f t="shared" si="26"/>
        <v>347.84464335502082</v>
      </c>
      <c r="GE25" s="60">
        <f ca="1">AVERAGE(OFFSET($GD$3,0,0,'Données projet'!$E$17+1,1))-AVERAGE(OFFSET($H$3,0,0,'Données projet'!$E$17+1,1))</f>
        <v>314.58662400031631</v>
      </c>
      <c r="GF25" s="60">
        <f t="shared" si="50"/>
        <v>336.99073123405981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4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59.623200000000011</v>
      </c>
      <c r="P26" s="14">
        <f t="shared" si="33"/>
        <v>17.072967249098898</v>
      </c>
      <c r="Q26" s="22">
        <f t="shared" si="2"/>
        <v>133.57915795884725</v>
      </c>
      <c r="R26" s="60">
        <f t="shared" si="0"/>
        <v>357.06435466839378</v>
      </c>
      <c r="S26" s="60">
        <f ca="1">AVERAGE(OFFSET($R$3,0,0,'Données projet'!$E$9+1,1))-AVERAGE(OFFSET($H$3,0,0,'Données projet'!$E$9+1,1))</f>
        <v>516.30971934066179</v>
      </c>
      <c r="T26" s="60">
        <f t="shared" si="34"/>
        <v>290.84286505723571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6.5384615384615383</v>
      </c>
      <c r="AI26" s="14">
        <f>IF('Données projet'!$A$62&gt;35,AI25+AH26-AQ25,IF(A26&lt;'Données projet'!$A$62,$AF$205^A26,IF(A26='Données projet'!$A$62,'Données projet'!$B$62,AI25+AH26-AQ25)))</f>
        <v>68.333333333333314</v>
      </c>
      <c r="AJ26" s="14">
        <f>AI26*VLOOKUP('Données projet'!$B$10,Paramètres!$A$1:$I$89,3,0)*VLOOKUP('Données projet'!$B$10,Paramètres!$A$1:$I$89,5,0)</f>
        <v>71.421999999999983</v>
      </c>
      <c r="AK26" s="14">
        <f t="shared" si="35"/>
        <v>20.026175905859041</v>
      </c>
      <c r="AL26" s="22">
        <f t="shared" si="4"/>
        <v>159.27223970270444</v>
      </c>
      <c r="AM26" s="60">
        <f t="shared" si="5"/>
        <v>382.75743641225097</v>
      </c>
      <c r="AN26" s="60">
        <f ca="1">AVERAGE(OFFSET($AM$3,0,0,'Données projet'!$E$10+1,1))-AVERAGE(OFFSET($H$3,0,0,'Données projet'!$E$10+1,1))</f>
        <v>529.00505223594837</v>
      </c>
      <c r="AO26" s="60">
        <f t="shared" si="36"/>
        <v>321.23004033257985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12.500000000000002</v>
      </c>
      <c r="BD26" s="13">
        <f>IF('Données projet'!$A$88&gt;35,BD25+BC26-BL25,IF(A26&lt;'Données projet'!$A$88,$BA$205^A26,IF(A26='Données projet'!$A$88,'Données projet'!$B$88,BD25+BC26-BL25)))</f>
        <v>89.5</v>
      </c>
      <c r="BE26" s="14">
        <f>BD26*VLOOKUP('Données projet'!$B$11,Paramètres!$A$1:$I$89,3,0)*VLOOKUP('Données projet'!$B$11,Paramètres!$A$1:$I$89,5,0)</f>
        <v>78.187200000000004</v>
      </c>
      <c r="BF26" s="14">
        <f t="shared" si="37"/>
        <v>21.693355566332489</v>
      </c>
      <c r="BG26" s="22">
        <f t="shared" si="7"/>
        <v>173.95863427802908</v>
      </c>
      <c r="BH26" s="60">
        <f t="shared" si="8"/>
        <v>397.44383098757555</v>
      </c>
      <c r="BI26" s="60">
        <f ca="1">AVERAGE(OFFSET($BH$3,0,0,'Données projet'!$E$11+1,1))-AVERAGE(OFFSET($H$3,0,0,'Données projet'!$E$11+1,1))</f>
        <v>363.28611056308665</v>
      </c>
      <c r="BJ26" s="60">
        <f t="shared" si="38"/>
        <v>389.43647559455974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63.292320000000004</v>
      </c>
      <c r="CA26" s="14">
        <f t="shared" si="39"/>
        <v>17.998065245956816</v>
      </c>
      <c r="CB26" s="22">
        <f t="shared" si="10"/>
        <v>141.58075430337479</v>
      </c>
      <c r="CC26" s="60">
        <f t="shared" si="11"/>
        <v>365.06595101292129</v>
      </c>
      <c r="CD26" s="60">
        <f ca="1">AVERAGE(OFFSET($CC$3,0,0,'Données projet'!$E$12+1,1))-AVERAGE(OFFSET($H$3,0,0,'Données projet'!$E$12+1,1))</f>
        <v>542.90832990875208</v>
      </c>
      <c r="CE26" s="60">
        <f t="shared" si="40"/>
        <v>304.94365539329362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3.4425641025641025</v>
      </c>
      <c r="CT26" s="13">
        <f>IF('Données projet'!$A$140&gt;35,CT25+CS26-DB25,IF(A26&lt;'Données projet'!$A$140,$CQ$205^A26,IF(A26='Données projet'!$A$140,'Données projet'!$B$140,CT25+CS26-DB25)))</f>
        <v>35.000092281482424</v>
      </c>
      <c r="CU26" s="18">
        <f>CT26*VLOOKUP('Données projet'!$B$13,Paramètres!$A$1:$I$89,3,0)*VLOOKUP('Données projet'!$B$13,Paramètres!$A$1:$I$89,5,0)</f>
        <v>16.380043187733772</v>
      </c>
      <c r="CV26" s="14">
        <f t="shared" si="41"/>
        <v>5.4515605034859353</v>
      </c>
      <c r="CW26" s="22">
        <f t="shared" si="13"/>
        <v>38.023376428874322</v>
      </c>
      <c r="CX26" s="60">
        <f t="shared" si="14"/>
        <v>261.50857313842084</v>
      </c>
      <c r="CY26" s="60">
        <f ca="1">AVERAGE(OFFSET($CX$3,0,0,'Données projet'!$E$13+1,1))-AVERAGE(OFFSET($H$3,0,0,'Données projet'!$E$13+1,1))</f>
        <v>277.77877239988635</v>
      </c>
      <c r="CZ26" s="60">
        <f t="shared" si="42"/>
        <v>164.65640238394164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4.7435897435897427</v>
      </c>
      <c r="DO26" s="13">
        <f>IF('Données projet'!$A$166&gt;35,DO25+DN26-DW25,IF(A26&lt;'Données projet'!$A$166,$DL$205^A26,IF(A26='Données projet'!$A$166,'Données projet'!$B$166,DO25+DN26-DW25)))</f>
        <v>50.769230769230774</v>
      </c>
      <c r="DP26" s="18">
        <f>DO26*VLOOKUP('Données projet'!$B$14,Paramètres!$A$1:$I$89,3,0)*VLOOKUP('Données projet'!$B$14,Paramètres!$A$1:$I$89,5,0)</f>
        <v>43.560000000000009</v>
      </c>
      <c r="DQ26" s="14">
        <f t="shared" si="43"/>
        <v>12.937492402383343</v>
      </c>
      <c r="DR26" s="22">
        <f t="shared" si="16"/>
        <v>98.39979926748434</v>
      </c>
      <c r="DS26" s="60">
        <f t="shared" si="17"/>
        <v>321.88499597703083</v>
      </c>
      <c r="DT26" s="60">
        <f ca="1">AVERAGE(OFFSET($DS$3,0,0,'Données projet'!$E$14+1,1))-AVERAGE(OFFSET($H$3,0,0,'Données projet'!$E$14+1,1))</f>
        <v>354.30160274624632</v>
      </c>
      <c r="DU26" s="60">
        <f t="shared" si="44"/>
        <v>218.8005329382452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5.6</v>
      </c>
      <c r="EJ26" s="13">
        <f>IF('Données projet'!$A$192&gt;35,EJ25+EI26-ER25,IF(A26&lt;'Données projet'!$A$192,$EG$205^A26,IF(A26='Données projet'!$A$192,'Données projet'!$B$192,EJ25+EI26-ER25)))</f>
        <v>58.800000000000004</v>
      </c>
      <c r="EK26" s="18">
        <f>EJ26*VLOOKUP('Données projet'!$B$15,Paramètres!$A$1:$I$89,3,0)*VLOOKUP('Données projet'!$B$15,Paramètres!$A$1:$I$89,5,0)</f>
        <v>56.87136000000001</v>
      </c>
      <c r="EL26" s="14">
        <f t="shared" si="45"/>
        <v>16.374802181791551</v>
      </c>
      <c r="EM26" s="22">
        <f t="shared" si="19"/>
        <v>127.57039913328697</v>
      </c>
      <c r="EN26" s="60">
        <f t="shared" si="20"/>
        <v>351.05559584283344</v>
      </c>
      <c r="EO26" s="60">
        <f ca="1">AVERAGE(OFFSET($EN$3,0,0,'Données projet'!$E$15+1,1))-AVERAGE(OFFSET($H$3,0,0,'Données projet'!$E$15+1,1))</f>
        <v>496.33873798282525</v>
      </c>
      <c r="EP26" s="60">
        <f t="shared" si="46"/>
        <v>280.25465074992246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12.500000000000002</v>
      </c>
      <c r="FE26" s="13">
        <f>IF('Données projet'!$A$218&gt;35,FE25+FD26-FM25,IF(A26&lt;'Données projet'!$A$218,$FB$205^A26,IF(A26='Données projet'!$A$218,'Données projet'!$B$218,FE25+FD26-FM25)))</f>
        <v>89.5</v>
      </c>
      <c r="FF26" s="18">
        <f>FE26*VLOOKUP('Données projet'!$B$16,Paramètres!$A$1:$I$89,3,0)*VLOOKUP('Données projet'!$B$16,Paramètres!$A$1:$I$89,5,0)</f>
        <v>72.602400000000003</v>
      </c>
      <c r="FG26" s="14">
        <f t="shared" si="47"/>
        <v>20.318345849739529</v>
      </c>
      <c r="FH26" s="22">
        <f t="shared" si="22"/>
        <v>161.83696568829635</v>
      </c>
      <c r="FI26" s="60">
        <f t="shared" si="23"/>
        <v>385.32216239784282</v>
      </c>
      <c r="FJ26" s="60">
        <f ca="1">AVERAGE(OFFSET($FI$3,0,0,'Données projet'!$E$16+1,1))-AVERAGE(OFFSET($H$3,0,0,'Données projet'!$E$16+1,1))</f>
        <v>341.66430955115521</v>
      </c>
      <c r="FK26" s="60">
        <f t="shared" si="48"/>
        <v>366.15174925159192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12.500000000000002</v>
      </c>
      <c r="FZ26" s="13">
        <f>IF('Données projet'!$A$244&gt;35,FZ25+FY26-GH25,IF(A26&lt;'Données projet'!$A$244,$FW$205^A26,IF(A26='Données projet'!$A$244,'Données projet'!$B$244,FZ25+FY26-GH25)))</f>
        <v>89.5</v>
      </c>
      <c r="GA26" s="18">
        <f>FZ26*VLOOKUP('Données projet'!$B$17,Paramètres!$A$1:$I$89,3,0)*VLOOKUP('Données projet'!$B$17,Paramètres!$A$1:$I$89,5,0)</f>
        <v>65.621399999999994</v>
      </c>
      <c r="GB26" s="14">
        <f t="shared" si="49"/>
        <v>18.582043022537167</v>
      </c>
      <c r="GC26" s="22">
        <f t="shared" si="25"/>
        <v>146.65432993091889</v>
      </c>
      <c r="GD26" s="60">
        <f t="shared" si="26"/>
        <v>370.13952664046542</v>
      </c>
      <c r="GE26" s="60">
        <f ca="1">AVERAGE(OFFSET($GD$3,0,0,'Données projet'!$E$17+1,1))-AVERAGE(OFFSET($H$3,0,0,'Données projet'!$E$17+1,1))</f>
        <v>314.58662400031631</v>
      </c>
      <c r="GF26" s="60">
        <f t="shared" si="50"/>
        <v>336.99073123405981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4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65.301600000000008</v>
      </c>
      <c r="P27" s="14">
        <f t="shared" si="33"/>
        <v>18.502003309535596</v>
      </c>
      <c r="Q27" s="22">
        <f t="shared" si="2"/>
        <v>145.95794243077449</v>
      </c>
      <c r="R27" s="60">
        <f t="shared" si="0"/>
        <v>371.72865061439427</v>
      </c>
      <c r="S27" s="60">
        <f ca="1">AVERAGE(OFFSET($R$3,0,0,'Données projet'!$E$9+1,1))-AVERAGE(OFFSET($H$3,0,0,'Données projet'!$E$9+1,1))</f>
        <v>516.30971934066179</v>
      </c>
      <c r="T27" s="60">
        <f t="shared" si="34"/>
        <v>290.84286505723571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6.5384615384615383</v>
      </c>
      <c r="AI27" s="14">
        <f>IF('Données projet'!$A$62&gt;35,AI26+AH27-AQ26,IF(A27&lt;'Données projet'!$A$62,$AF$205^A27,IF(A27='Données projet'!$A$62,'Données projet'!$B$62,AI26+AH27-AQ26)))</f>
        <v>74.871794871794847</v>
      </c>
      <c r="AJ27" s="14">
        <f>AI27*VLOOKUP('Données projet'!$B$10,Paramètres!$A$1:$I$89,3,0)*VLOOKUP('Données projet'!$B$10,Paramètres!$A$1:$I$89,5,0)</f>
        <v>78.255999999999986</v>
      </c>
      <c r="AK27" s="14">
        <f t="shared" si="35"/>
        <v>21.710221600850431</v>
      </c>
      <c r="AL27" s="22">
        <f t="shared" si="4"/>
        <v>174.10783595481448</v>
      </c>
      <c r="AM27" s="60">
        <f t="shared" si="5"/>
        <v>399.87854413843428</v>
      </c>
      <c r="AN27" s="60">
        <f ca="1">AVERAGE(OFFSET($AM$3,0,0,'Données projet'!$E$10+1,1))-AVERAGE(OFFSET($H$3,0,0,'Données projet'!$E$10+1,1))</f>
        <v>529.00505223594837</v>
      </c>
      <c r="AO27" s="60">
        <f t="shared" si="36"/>
        <v>321.23004033257985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12.500000000000002</v>
      </c>
      <c r="BD27" s="13">
        <f>IF('Données projet'!$A$88&gt;35,BD26+BC27-BL26,IF(A27&lt;'Données projet'!$A$88,$BA$205^A27,IF(A27='Données projet'!$A$88,'Données projet'!$B$88,BD26+BC27-BL26)))</f>
        <v>102</v>
      </c>
      <c r="BE27" s="14">
        <f>BD27*VLOOKUP('Données projet'!$B$11,Paramètres!$A$1:$I$89,3,0)*VLOOKUP('Données projet'!$B$11,Paramètres!$A$1:$I$89,5,0)</f>
        <v>89.107200000000006</v>
      </c>
      <c r="BF27" s="14">
        <f t="shared" si="37"/>
        <v>24.349778356363352</v>
      </c>
      <c r="BG27" s="22">
        <f t="shared" si="7"/>
        <v>197.6042373039995</v>
      </c>
      <c r="BH27" s="60">
        <f t="shared" si="8"/>
        <v>423.3749454876193</v>
      </c>
      <c r="BI27" s="60">
        <f ca="1">AVERAGE(OFFSET($BH$3,0,0,'Données projet'!$E$11+1,1))-AVERAGE(OFFSET($H$3,0,0,'Données projet'!$E$11+1,1))</f>
        <v>363.28611056308665</v>
      </c>
      <c r="BJ27" s="60">
        <f t="shared" si="38"/>
        <v>389.43647559455974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69.320160000000001</v>
      </c>
      <c r="CA27" s="14">
        <f t="shared" si="39"/>
        <v>19.50453356393022</v>
      </c>
      <c r="CB27" s="22">
        <f t="shared" si="10"/>
        <v>154.70300795717847</v>
      </c>
      <c r="CC27" s="60">
        <f t="shared" si="11"/>
        <v>380.47371614079827</v>
      </c>
      <c r="CD27" s="60">
        <f ca="1">AVERAGE(OFFSET($CC$3,0,0,'Données projet'!$E$12+1,1))-AVERAGE(OFFSET($H$3,0,0,'Données projet'!$E$12+1,1))</f>
        <v>542.90832990875208</v>
      </c>
      <c r="CE27" s="60">
        <f t="shared" si="40"/>
        <v>304.94365539329362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3.4425641025641025</v>
      </c>
      <c r="CT27" s="13">
        <f>IF('Données projet'!$A$140&gt;35,CT26+CS27-DB26,IF(A27&lt;'Données projet'!$A$140,$CQ$205^A27,IF(A27='Données projet'!$A$140,'Données projet'!$B$140,CT26+CS27-DB26)))</f>
        <v>40.850994379880916</v>
      </c>
      <c r="CU27" s="18">
        <f>CT27*VLOOKUP('Données projet'!$B$13,Paramètres!$A$1:$I$89,3,0)*VLOOKUP('Données projet'!$B$13,Paramètres!$A$1:$I$89,5,0)</f>
        <v>19.118265369784268</v>
      </c>
      <c r="CV27" s="14">
        <f t="shared" si="41"/>
        <v>6.2494233631643379</v>
      </c>
      <c r="CW27" s="22">
        <f t="shared" si="13"/>
        <v>44.182057876552157</v>
      </c>
      <c r="CX27" s="60">
        <f t="shared" si="14"/>
        <v>269.95276606017194</v>
      </c>
      <c r="CY27" s="60">
        <f ca="1">AVERAGE(OFFSET($CX$3,0,0,'Données projet'!$E$13+1,1))-AVERAGE(OFFSET($H$3,0,0,'Données projet'!$E$13+1,1))</f>
        <v>277.77877239988635</v>
      </c>
      <c r="CZ27" s="60">
        <f t="shared" si="42"/>
        <v>164.65640238394164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4.7435897435897427</v>
      </c>
      <c r="DO27" s="13">
        <f>IF('Données projet'!$A$166&gt;35,DO26+DN27-DW26,IF(A27&lt;'Données projet'!$A$166,$DL$205^A27,IF(A27='Données projet'!$A$166,'Données projet'!$B$166,DO26+DN27-DW26)))</f>
        <v>55.512820512820518</v>
      </c>
      <c r="DP27" s="18">
        <f>DO27*VLOOKUP('Données projet'!$B$14,Paramètres!$A$1:$I$89,3,0)*VLOOKUP('Données projet'!$B$14,Paramètres!$A$1:$I$89,5,0)</f>
        <v>47.63000000000001</v>
      </c>
      <c r="DQ27" s="14">
        <f t="shared" si="43"/>
        <v>13.99997778976388</v>
      </c>
      <c r="DR27" s="22">
        <f t="shared" si="16"/>
        <v>107.33887798383877</v>
      </c>
      <c r="DS27" s="60">
        <f t="shared" si="17"/>
        <v>333.10958616745859</v>
      </c>
      <c r="DT27" s="60">
        <f ca="1">AVERAGE(OFFSET($DS$3,0,0,'Données projet'!$E$14+1,1))-AVERAGE(OFFSET($H$3,0,0,'Données projet'!$E$14+1,1))</f>
        <v>354.30160274624632</v>
      </c>
      <c r="DU27" s="60">
        <f t="shared" si="44"/>
        <v>218.8005329382452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5.6</v>
      </c>
      <c r="EJ27" s="13">
        <f>IF('Données projet'!$A$192&gt;35,EJ26+EI27-ER26,IF(A27&lt;'Données projet'!$A$192,$EG$205^A27,IF(A27='Données projet'!$A$192,'Données projet'!$B$192,EJ26+EI27-ER26)))</f>
        <v>64.400000000000006</v>
      </c>
      <c r="EK27" s="18">
        <f>EJ27*VLOOKUP('Données projet'!$B$15,Paramètres!$A$1:$I$89,3,0)*VLOOKUP('Données projet'!$B$15,Paramètres!$A$1:$I$89,5,0)</f>
        <v>62.287680000000009</v>
      </c>
      <c r="EL27" s="14">
        <f t="shared" si="45"/>
        <v>17.745400652396182</v>
      </c>
      <c r="EM27" s="22">
        <f t="shared" si="19"/>
        <v>139.39094880292336</v>
      </c>
      <c r="EN27" s="60">
        <f t="shared" si="20"/>
        <v>365.16165698654316</v>
      </c>
      <c r="EO27" s="60">
        <f ca="1">AVERAGE(OFFSET($EN$3,0,0,'Données projet'!$E$15+1,1))-AVERAGE(OFFSET($H$3,0,0,'Données projet'!$E$15+1,1))</f>
        <v>496.33873798282525</v>
      </c>
      <c r="EP27" s="60">
        <f t="shared" si="46"/>
        <v>280.25465074992246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12.500000000000002</v>
      </c>
      <c r="FE27" s="13">
        <f>IF('Données projet'!$A$218&gt;35,FE26+FD27-FM26,IF(A27&lt;'Données projet'!$A$218,$FB$205^A27,IF(A27='Données projet'!$A$218,'Données projet'!$B$218,FE26+FD27-FM26)))</f>
        <v>102</v>
      </c>
      <c r="FF27" s="18">
        <f>FE27*VLOOKUP('Données projet'!$B$16,Paramètres!$A$1:$I$89,3,0)*VLOOKUP('Données projet'!$B$16,Paramètres!$A$1:$I$89,5,0)</f>
        <v>82.742400000000004</v>
      </c>
      <c r="FG27" s="14">
        <f t="shared" si="47"/>
        <v>22.806394174303204</v>
      </c>
      <c r="FH27" s="22">
        <f t="shared" si="22"/>
        <v>183.83081652024475</v>
      </c>
      <c r="FI27" s="60">
        <f t="shared" si="23"/>
        <v>409.60152470386458</v>
      </c>
      <c r="FJ27" s="60">
        <f ca="1">AVERAGE(OFFSET($FI$3,0,0,'Données projet'!$E$16+1,1))-AVERAGE(OFFSET($H$3,0,0,'Données projet'!$E$16+1,1))</f>
        <v>341.66430955115521</v>
      </c>
      <c r="FK27" s="60">
        <f t="shared" si="48"/>
        <v>366.15174925159192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12.500000000000002</v>
      </c>
      <c r="FZ27" s="13">
        <f>IF('Données projet'!$A$244&gt;35,FZ26+FY27-GH26,IF(A27&lt;'Données projet'!$A$244,$FW$205^A27,IF(A27='Données projet'!$A$244,'Données projet'!$B$244,FZ26+FY27-GH26)))</f>
        <v>102</v>
      </c>
      <c r="GA27" s="18">
        <f>FZ27*VLOOKUP('Données projet'!$B$17,Paramètres!$A$1:$I$89,3,0)*VLOOKUP('Données projet'!$B$17,Paramètres!$A$1:$I$89,5,0)</f>
        <v>74.7864</v>
      </c>
      <c r="GB27" s="14">
        <f t="shared" si="49"/>
        <v>20.857475351088969</v>
      </c>
      <c r="GC27" s="22">
        <f t="shared" si="25"/>
        <v>166.57974956981329</v>
      </c>
      <c r="GD27" s="60">
        <f t="shared" si="26"/>
        <v>392.35045775343309</v>
      </c>
      <c r="GE27" s="60">
        <f ca="1">AVERAGE(OFFSET($GD$3,0,0,'Données projet'!$E$17+1,1))-AVERAGE(OFFSET($H$3,0,0,'Données projet'!$E$17+1,1))</f>
        <v>314.58662400031631</v>
      </c>
      <c r="GF27" s="60">
        <f t="shared" si="50"/>
        <v>336.99073123405981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4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70.98</v>
      </c>
      <c r="P28" s="14">
        <f t="shared" si="33"/>
        <v>19.916628839746853</v>
      </c>
      <c r="Q28" s="22">
        <f t="shared" si="2"/>
        <v>158.31162856255909</v>
      </c>
      <c r="R28" s="60">
        <f t="shared" si="0"/>
        <v>386.34940252889123</v>
      </c>
      <c r="S28" s="60">
        <f ca="1">AVERAGE(OFFSET($R$3,0,0,'Données projet'!$E$9+1,1))-AVERAGE(OFFSET($H$3,0,0,'Données projet'!$E$9+1,1))</f>
        <v>516.30971934066179</v>
      </c>
      <c r="T28" s="60">
        <f t="shared" si="34"/>
        <v>290.84286505723571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81.410256410256409</v>
      </c>
      <c r="AG28" s="13">
        <f>VLOOKUP(A28,'Données projet'!$A$61:$I$81,9,0)</f>
        <v>6.5384615384615383</v>
      </c>
      <c r="AH28" s="13">
        <f t="array" ref="AH28">INDEX(AG:AG,MIN(IF(ISNUMBER(AG28:AG224),ROW(AG28:AG224),"")))</f>
        <v>6.5384615384615383</v>
      </c>
      <c r="AI28" s="14">
        <f>IF('Données projet'!$A$62&gt;35,AI27+AH28-AQ27,IF(A28&lt;'Données projet'!$A$62,$AF$205^A28,IF(A28='Données projet'!$A$62,'Données projet'!$B$62,AI27+AH28-AQ27)))</f>
        <v>81.41025641025638</v>
      </c>
      <c r="AJ28" s="14">
        <f>AI28*VLOOKUP('Données projet'!$B$10,Paramètres!$A$1:$I$89,3,0)*VLOOKUP('Données projet'!$B$10,Paramètres!$A$1:$I$89,5,0)</f>
        <v>85.089999999999975</v>
      </c>
      <c r="AK28" s="14">
        <f t="shared" si="35"/>
        <v>23.377212702158658</v>
      </c>
      <c r="AL28" s="22">
        <f t="shared" si="4"/>
        <v>188.91372878959294</v>
      </c>
      <c r="AM28" s="60">
        <f t="shared" si="5"/>
        <v>416.95150275592505</v>
      </c>
      <c r="AN28" s="60">
        <f ca="1">AVERAGE(OFFSET($AM$3,0,0,'Données projet'!$E$10+1,1))-AVERAGE(OFFSET($H$3,0,0,'Données projet'!$E$10+1,1))</f>
        <v>529.00505223594837</v>
      </c>
      <c r="AO28" s="60">
        <f t="shared" si="36"/>
        <v>321.23004033257985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114.5</v>
      </c>
      <c r="BB28" s="13">
        <f>VLOOKUP(A28,'Données projet'!$A$87:$I$107,9,0)</f>
        <v>12.500000000000002</v>
      </c>
      <c r="BC28" s="13">
        <f t="array" ref="BC28">INDEX(BB:BB,MIN(IF(ISNUMBER(BB28:BB224),ROW(BB28:BB224),"")))</f>
        <v>12.500000000000002</v>
      </c>
      <c r="BD28" s="13">
        <f>IF('Données projet'!$A$88&gt;35,BD27+BC28-BL27,IF(A28&lt;'Données projet'!$A$88,$BA$205^A28,IF(A28='Données projet'!$A$88,'Données projet'!$B$88,BD27+BC28-BL27)))</f>
        <v>114.5</v>
      </c>
      <c r="BE28" s="14">
        <f>BD28*VLOOKUP('Données projet'!$B$11,Paramètres!$A$1:$I$89,3,0)*VLOOKUP('Données projet'!$B$11,Paramètres!$A$1:$I$89,5,0)</f>
        <v>100.02720000000001</v>
      </c>
      <c r="BF28" s="14">
        <f t="shared" si="37"/>
        <v>26.968477470701153</v>
      </c>
      <c r="BG28" s="22">
        <f t="shared" si="7"/>
        <v>221.18413826147119</v>
      </c>
      <c r="BH28" s="60">
        <f t="shared" si="8"/>
        <v>449.22191222780327</v>
      </c>
      <c r="BI28" s="60">
        <f ca="1">AVERAGE(OFFSET($BH$3,0,0,'Données projet'!$E$11+1,1))-AVERAGE(OFFSET($H$3,0,0,'Données projet'!$E$11+1,1))</f>
        <v>363.28611056308665</v>
      </c>
      <c r="BJ28" s="60">
        <f t="shared" si="38"/>
        <v>389.43647559455974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75.347999999999999</v>
      </c>
      <c r="CA28" s="14">
        <f t="shared" si="39"/>
        <v>20.99581051771704</v>
      </c>
      <c r="CB28" s="22">
        <f t="shared" si="10"/>
        <v>167.79880331835713</v>
      </c>
      <c r="CC28" s="60">
        <f t="shared" si="11"/>
        <v>395.83657728468927</v>
      </c>
      <c r="CD28" s="60">
        <f ca="1">AVERAGE(OFFSET($CC$3,0,0,'Données projet'!$E$12+1,1))-AVERAGE(OFFSET($H$3,0,0,'Données projet'!$E$12+1,1))</f>
        <v>542.90832990875208</v>
      </c>
      <c r="CE28" s="60">
        <f t="shared" si="40"/>
        <v>304.94365539329362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3.4425641025641025</v>
      </c>
      <c r="CT28" s="13">
        <f>IF('Données projet'!$A$140&gt;35,CT27+CS28-DB27,IF(A28&lt;'Données projet'!$A$140,$CQ$205^A28,IF(A28='Données projet'!$A$140,'Données projet'!$B$140,CT27+CS28-DB27)))</f>
        <v>47.679981195591871</v>
      </c>
      <c r="CU28" s="18">
        <f>CT28*VLOOKUP('Données projet'!$B$13,Paramètres!$A$1:$I$89,3,0)*VLOOKUP('Données projet'!$B$13,Paramètres!$A$1:$I$89,5,0)</f>
        <v>22.314231199536998</v>
      </c>
      <c r="CV28" s="14">
        <f t="shared" si="41"/>
        <v>7.1640574010122027</v>
      </c>
      <c r="CW28" s="22">
        <f t="shared" si="13"/>
        <v>51.341352645956526</v>
      </c>
      <c r="CX28" s="60">
        <f t="shared" si="14"/>
        <v>279.37912661228864</v>
      </c>
      <c r="CY28" s="60">
        <f ca="1">AVERAGE(OFFSET($CX$3,0,0,'Données projet'!$E$13+1,1))-AVERAGE(OFFSET($H$3,0,0,'Données projet'!$E$13+1,1))</f>
        <v>277.77877239988635</v>
      </c>
      <c r="CZ28" s="60">
        <f t="shared" si="42"/>
        <v>164.65640238394164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60.256410256410255</v>
      </c>
      <c r="DM28" s="13">
        <f>VLOOKUP(A28,'Données projet'!$A$165:$I$185,9,0)</f>
        <v>4.7435897435897427</v>
      </c>
      <c r="DN28" s="13">
        <f t="array" ref="DN28">INDEX(DM:DM,MIN(IF(ISNUMBER(DM28:DM224),ROW(DM28:DM224),"")))</f>
        <v>4.7435897435897427</v>
      </c>
      <c r="DO28" s="13">
        <f>IF('Données projet'!$A$166&gt;35,DO27+DN28-DW27,IF(A28&lt;'Données projet'!$A$166,$DL$205^A28,IF(A28='Données projet'!$A$166,'Données projet'!$B$166,DO27+DN28-DW27)))</f>
        <v>60.256410256410263</v>
      </c>
      <c r="DP28" s="18">
        <f>DO28*VLOOKUP('Données projet'!$B$14,Paramètres!$A$1:$I$89,3,0)*VLOOKUP('Données projet'!$B$14,Paramètres!$A$1:$I$89,5,0)</f>
        <v>51.700000000000017</v>
      </c>
      <c r="DQ28" s="14">
        <f t="shared" si="43"/>
        <v>15.051934117764738</v>
      </c>
      <c r="DR28" s="22">
        <f t="shared" si="16"/>
        <v>116.25961858844029</v>
      </c>
      <c r="DS28" s="60">
        <f t="shared" si="17"/>
        <v>344.29739255477239</v>
      </c>
      <c r="DT28" s="60">
        <f ca="1">AVERAGE(OFFSET($DS$3,0,0,'Données projet'!$E$14+1,1))-AVERAGE(OFFSET($H$3,0,0,'Données projet'!$E$14+1,1))</f>
        <v>354.30160274624632</v>
      </c>
      <c r="DU28" s="60">
        <f t="shared" si="44"/>
        <v>218.8005329382452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70</v>
      </c>
      <c r="EH28" s="13">
        <f>VLOOKUP(A28,'Données projet'!$A$191:$I$211,9,0)</f>
        <v>5.6</v>
      </c>
      <c r="EI28" s="13">
        <f t="array" ref="EI28">INDEX(EH:EH,MIN(IF(ISNUMBER(EH28:EH224),ROW(EH28:EH224),"")))</f>
        <v>5.6</v>
      </c>
      <c r="EJ28" s="13">
        <f>IF('Données projet'!$A$192&gt;35,EJ27+EI28-ER27,IF(A28&lt;'Données projet'!$A$192,$EG$205^A28,IF(A28='Données projet'!$A$192,'Données projet'!$B$192,EJ27+EI28-ER27)))</f>
        <v>70</v>
      </c>
      <c r="EK28" s="18">
        <f>EJ28*VLOOKUP('Données projet'!$B$15,Paramètres!$A$1:$I$89,3,0)*VLOOKUP('Données projet'!$B$15,Paramètres!$A$1:$I$89,5,0)</f>
        <v>67.703999999999994</v>
      </c>
      <c r="EL28" s="14">
        <f t="shared" si="45"/>
        <v>19.102177882771514</v>
      </c>
      <c r="EM28" s="22">
        <f t="shared" si="19"/>
        <v>151.18742647916039</v>
      </c>
      <c r="EN28" s="60">
        <f t="shared" si="20"/>
        <v>379.22520044549253</v>
      </c>
      <c r="EO28" s="60">
        <f ca="1">AVERAGE(OFFSET($EN$3,0,0,'Données projet'!$E$15+1,1))-AVERAGE(OFFSET($H$3,0,0,'Données projet'!$E$15+1,1))</f>
        <v>496.33873798282525</v>
      </c>
      <c r="EP28" s="60">
        <f t="shared" si="46"/>
        <v>280.25465074992246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114.5</v>
      </c>
      <c r="FC28" s="13">
        <f>VLOOKUP(A28,'Données projet'!$A$217:$I$237,9,0)</f>
        <v>12.500000000000002</v>
      </c>
      <c r="FD28" s="13">
        <f t="array" ref="FD28">INDEX(FC:FC,MIN(IF(ISNUMBER(FC28:FC224),ROW(FC28:FC224),"")))</f>
        <v>12.500000000000002</v>
      </c>
      <c r="FE28" s="13">
        <f>IF('Données projet'!$A$218&gt;35,FE27+FD28-FM27,IF(A28&lt;'Données projet'!$A$218,$FB$205^A28,IF(A28='Données projet'!$A$218,'Données projet'!$B$218,FE27+FD28-FM27)))</f>
        <v>114.5</v>
      </c>
      <c r="FF28" s="18">
        <f>FE28*VLOOKUP('Données projet'!$B$16,Paramètres!$A$1:$I$89,3,0)*VLOOKUP('Données projet'!$B$16,Paramètres!$A$1:$I$89,5,0)</f>
        <v>92.882400000000004</v>
      </c>
      <c r="FG28" s="14">
        <f t="shared" si="47"/>
        <v>25.259109897273174</v>
      </c>
      <c r="FH28" s="22">
        <f t="shared" si="22"/>
        <v>205.76312973775077</v>
      </c>
      <c r="FI28" s="60">
        <f t="shared" si="23"/>
        <v>433.80090370408288</v>
      </c>
      <c r="FJ28" s="60">
        <f ca="1">AVERAGE(OFFSET($FI$3,0,0,'Données projet'!$E$16+1,1))-AVERAGE(OFFSET($H$3,0,0,'Données projet'!$E$16+1,1))</f>
        <v>341.66430955115521</v>
      </c>
      <c r="FK28" s="60">
        <f t="shared" si="48"/>
        <v>366.15174925159192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114.5</v>
      </c>
      <c r="FX28" s="13">
        <f>VLOOKUP(A28,'Données projet'!$A$243:$I$263,9,0)</f>
        <v>12.500000000000002</v>
      </c>
      <c r="FY28" s="13">
        <f t="array" ref="FY28">INDEX(FX:FX,MIN(IF(ISNUMBER(FX28:FX224),ROW(FX28:FX224),"")))</f>
        <v>12.500000000000002</v>
      </c>
      <c r="FZ28" s="13">
        <f>IF('Données projet'!$A$244&gt;35,FZ27+FY28-GH27,IF(A28&lt;'Données projet'!$A$244,$FW$205^A28,IF(A28='Données projet'!$A$244,'Données projet'!$B$244,FZ27+FY28-GH27)))</f>
        <v>114.5</v>
      </c>
      <c r="GA28" s="18">
        <f>FZ28*VLOOKUP('Données projet'!$B$17,Paramètres!$A$1:$I$89,3,0)*VLOOKUP('Données projet'!$B$17,Paramètres!$A$1:$I$89,5,0)</f>
        <v>83.951399999999992</v>
      </c>
      <c r="GB28" s="14">
        <f t="shared" si="49"/>
        <v>23.100594423051504</v>
      </c>
      <c r="GC28" s="22">
        <f t="shared" si="25"/>
        <v>186.44889028681465</v>
      </c>
      <c r="GD28" s="60">
        <f t="shared" si="26"/>
        <v>414.48666425314673</v>
      </c>
      <c r="GE28" s="60">
        <f ca="1">AVERAGE(OFFSET($GD$3,0,0,'Données projet'!$E$17+1,1))-AVERAGE(OFFSET($H$3,0,0,'Données projet'!$E$17+1,1))</f>
        <v>314.58662400031631</v>
      </c>
      <c r="GF28" s="60">
        <f t="shared" si="50"/>
        <v>336.99073123405981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4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78.078000000000003</v>
      </c>
      <c r="P29" s="14">
        <f t="shared" si="33"/>
        <v>21.666582091642084</v>
      </c>
      <c r="Q29" s="22">
        <f t="shared" si="2"/>
        <v>173.72181380960993</v>
      </c>
      <c r="R29" s="60">
        <f t="shared" si="0"/>
        <v>404.00852785880011</v>
      </c>
      <c r="S29" s="60">
        <f ca="1">AVERAGE(OFFSET($R$3,0,0,'Données projet'!$E$9+1,1))-AVERAGE(OFFSET($H$3,0,0,'Données projet'!$E$9+1,1))</f>
        <v>516.30971934066179</v>
      </c>
      <c r="T29" s="60">
        <f t="shared" si="34"/>
        <v>290.84286505723571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6.7948717948717956</v>
      </c>
      <c r="AI29" s="14">
        <f>IF('Données projet'!$A$62&gt;35,AI28+AH29-AQ28,IF(A29&lt;'Données projet'!$A$62,$AF$205^A29,IF(A29='Données projet'!$A$62,'Données projet'!$B$62,AI28+AH29-AQ28)))</f>
        <v>88.205128205128176</v>
      </c>
      <c r="AJ29" s="14">
        <f>AI29*VLOOKUP('Données projet'!$B$10,Paramètres!$A$1:$I$89,3,0)*VLOOKUP('Données projet'!$B$10,Paramètres!$A$1:$I$89,5,0)</f>
        <v>92.191999999999979</v>
      </c>
      <c r="AK29" s="14">
        <f t="shared" si="35"/>
        <v>25.093139947710512</v>
      </c>
      <c r="AL29" s="22">
        <f t="shared" si="4"/>
        <v>204.27161874226246</v>
      </c>
      <c r="AM29" s="60">
        <f t="shared" si="5"/>
        <v>434.55833279145264</v>
      </c>
      <c r="AN29" s="60">
        <f ca="1">AVERAGE(OFFSET($AM$3,0,0,'Données projet'!$E$10+1,1))-AVERAGE(OFFSET($H$3,0,0,'Données projet'!$E$10+1,1))</f>
        <v>529.00505223594837</v>
      </c>
      <c r="AO29" s="60">
        <f t="shared" si="36"/>
        <v>321.23004033257985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IF('Données projet'!$A$88&gt;35,BD28+BC29-BL28,IF(A29&lt;'Données projet'!$A$88,$BA$205^A29,IF(A29='Données projet'!$A$88,'Données projet'!$B$88,BD28+BC29-BL28)))</f>
        <v>126.5</v>
      </c>
      <c r="BE29" s="14">
        <f>BD29*VLOOKUP('Données projet'!$B$11,Paramètres!$A$1:$I$89,3,0)*VLOOKUP('Données projet'!$B$11,Paramètres!$A$1:$I$89,5,0)</f>
        <v>110.5104</v>
      </c>
      <c r="BF29" s="14">
        <f t="shared" si="37"/>
        <v>29.451206375056387</v>
      </c>
      <c r="BG29" s="22">
        <f t="shared" si="7"/>
        <v>243.76646443655656</v>
      </c>
      <c r="BH29" s="60">
        <f t="shared" si="8"/>
        <v>474.05317848574674</v>
      </c>
      <c r="BI29" s="60">
        <f ca="1">AVERAGE(OFFSET($BH$3,0,0,'Données projet'!$E$11+1,1))-AVERAGE(OFFSET($H$3,0,0,'Données projet'!$E$11+1,1))</f>
        <v>363.28611056308665</v>
      </c>
      <c r="BJ29" s="60">
        <f t="shared" si="38"/>
        <v>389.43647559455974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77</v>
      </c>
      <c r="BZ29" s="14">
        <f>BY29*VLOOKUP('Données projet'!$B$12,Paramètres!$A$1:$I$89,3,0)*VLOOKUP('Données projet'!$B$12,Paramètres!$A$1:$I$89,5,0)</f>
        <v>82.882799999999989</v>
      </c>
      <c r="CA29" s="14">
        <f t="shared" si="39"/>
        <v>22.840584911380041</v>
      </c>
      <c r="CB29" s="22">
        <f t="shared" si="10"/>
        <v>184.1348953873202</v>
      </c>
      <c r="CC29" s="60">
        <f t="shared" si="11"/>
        <v>414.42160943651038</v>
      </c>
      <c r="CD29" s="60">
        <f ca="1">AVERAGE(OFFSET($CC$3,0,0,'Données projet'!$E$12+1,1))-AVERAGE(OFFSET($H$3,0,0,'Données projet'!$E$12+1,1))</f>
        <v>542.90832990875208</v>
      </c>
      <c r="CE29" s="60">
        <f t="shared" si="40"/>
        <v>304.94365539329362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3.4425641025641025</v>
      </c>
      <c r="CT29" s="13">
        <f>IF('Données projet'!$A$140&gt;35,CT28+CS29-DB28,IF(A29&lt;'Données projet'!$A$140,$CQ$205^A29,IF(A29='Données projet'!$A$140,'Données projet'!$B$140,CT28+CS29-DB28)))</f>
        <v>55.650557381086244</v>
      </c>
      <c r="CU29" s="18">
        <f>CT29*VLOOKUP('Données projet'!$B$13,Paramètres!$A$1:$I$89,3,0)*VLOOKUP('Données projet'!$B$13,Paramètres!$A$1:$I$89,5,0)</f>
        <v>26.044460854348362</v>
      </c>
      <c r="CV29" s="14">
        <f t="shared" si="41"/>
        <v>8.2125526568599181</v>
      </c>
      <c r="CW29" s="22">
        <f t="shared" si="13"/>
        <v>59.664298532021071</v>
      </c>
      <c r="CX29" s="60">
        <f t="shared" si="14"/>
        <v>289.95101258121127</v>
      </c>
      <c r="CY29" s="60">
        <f ca="1">AVERAGE(OFFSET($CX$3,0,0,'Données projet'!$E$13+1,1))-AVERAGE(OFFSET($H$3,0,0,'Données projet'!$E$13+1,1))</f>
        <v>277.77877239988635</v>
      </c>
      <c r="CZ29" s="60">
        <f t="shared" si="42"/>
        <v>164.65640238394164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4.9999999999999982</v>
      </c>
      <c r="DO29" s="13">
        <f>IF('Données projet'!$A$166&gt;35,DO28+DN29-DW28,IF(A29&lt;'Données projet'!$A$166,$DL$205^A29,IF(A29='Données projet'!$A$166,'Données projet'!$B$166,DO28+DN29-DW28)))</f>
        <v>65.256410256410263</v>
      </c>
      <c r="DP29" s="18">
        <f>DO29*VLOOKUP('Données projet'!$B$14,Paramètres!$A$1:$I$89,3,0)*VLOOKUP('Données projet'!$B$14,Paramètres!$A$1:$I$89,5,0)</f>
        <v>55.990000000000016</v>
      </c>
      <c r="DQ29" s="14">
        <f t="shared" si="43"/>
        <v>16.150369911280464</v>
      </c>
      <c r="DR29" s="22">
        <f t="shared" si="16"/>
        <v>125.64447759548017</v>
      </c>
      <c r="DS29" s="60">
        <f t="shared" si="17"/>
        <v>355.93119164467032</v>
      </c>
      <c r="DT29" s="60">
        <f ca="1">AVERAGE(OFFSET($DS$3,0,0,'Données projet'!$E$14+1,1))-AVERAGE(OFFSET($H$3,0,0,'Données projet'!$E$14+1,1))</f>
        <v>354.30160274624632</v>
      </c>
      <c r="DU29" s="60">
        <f t="shared" si="44"/>
        <v>218.8005329382452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</v>
      </c>
      <c r="EJ29" s="13">
        <f>IF('Données projet'!$A$192&gt;35,EJ28+EI29-ER28,IF(A29&lt;'Données projet'!$A$192,$EG$205^A29,IF(A29='Données projet'!$A$192,'Données projet'!$B$192,EJ28+EI29-ER28)))</f>
        <v>77</v>
      </c>
      <c r="EK29" s="18">
        <f>EJ29*VLOOKUP('Données projet'!$B$15,Paramètres!$A$1:$I$89,3,0)*VLOOKUP('Données projet'!$B$15,Paramètres!$A$1:$I$89,5,0)</f>
        <v>74.474400000000003</v>
      </c>
      <c r="EL29" s="14">
        <f t="shared" si="45"/>
        <v>20.780570274034375</v>
      </c>
      <c r="EM29" s="22">
        <f t="shared" si="19"/>
        <v>165.90240656060988</v>
      </c>
      <c r="EN29" s="60">
        <f t="shared" si="20"/>
        <v>396.18912060980006</v>
      </c>
      <c r="EO29" s="60">
        <f ca="1">AVERAGE(OFFSET($EN$3,0,0,'Données projet'!$E$15+1,1))-AVERAGE(OFFSET($H$3,0,0,'Données projet'!$E$15+1,1))</f>
        <v>496.33873798282525</v>
      </c>
      <c r="EP29" s="60">
        <f t="shared" si="46"/>
        <v>280.25465074992246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12</v>
      </c>
      <c r="FE29" s="13">
        <f>IF('Données projet'!$A$218&gt;35,FE28+FD29-FM28,IF(A29&lt;'Données projet'!$A$218,$FB$205^A29,IF(A29='Données projet'!$A$218,'Données projet'!$B$218,FE28+FD29-FM28)))</f>
        <v>126.5</v>
      </c>
      <c r="FF29" s="18">
        <f>FE29*VLOOKUP('Données projet'!$B$16,Paramètres!$A$1:$I$89,3,0)*VLOOKUP('Données projet'!$B$16,Paramètres!$A$1:$I$89,5,0)</f>
        <v>102.61680000000001</v>
      </c>
      <c r="FG29" s="14">
        <f t="shared" si="47"/>
        <v>27.584473733936797</v>
      </c>
      <c r="FH29" s="22">
        <f t="shared" si="22"/>
        <v>226.76721841993992</v>
      </c>
      <c r="FI29" s="60">
        <f t="shared" si="23"/>
        <v>457.05393246913013</v>
      </c>
      <c r="FJ29" s="60">
        <f ca="1">AVERAGE(OFFSET($FI$3,0,0,'Données projet'!$E$16+1,1))-AVERAGE(OFFSET($H$3,0,0,'Données projet'!$E$16+1,1))</f>
        <v>341.66430955115521</v>
      </c>
      <c r="FK29" s="60">
        <f t="shared" si="48"/>
        <v>366.15174925159192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12</v>
      </c>
      <c r="FZ29" s="13">
        <f>IF('Données projet'!$A$244&gt;35,FZ28+FY29-GH28,IF(A29&lt;'Données projet'!$A$244,$FW$205^A29,IF(A29='Données projet'!$A$244,'Données projet'!$B$244,FZ28+FY29-GH28)))</f>
        <v>126.5</v>
      </c>
      <c r="GA29" s="18">
        <f>FZ29*VLOOKUP('Données projet'!$B$17,Paramètres!$A$1:$I$89,3,0)*VLOOKUP('Données projet'!$B$17,Paramètres!$A$1:$I$89,5,0)</f>
        <v>92.749800000000008</v>
      </c>
      <c r="GB29" s="14">
        <f t="shared" si="49"/>
        <v>25.227244455268032</v>
      </c>
      <c r="GC29" s="22">
        <f t="shared" si="25"/>
        <v>205.47668575959185</v>
      </c>
      <c r="GD29" s="60">
        <f t="shared" si="26"/>
        <v>435.76339980878203</v>
      </c>
      <c r="GE29" s="60">
        <f ca="1">AVERAGE(OFFSET($GD$3,0,0,'Données projet'!$E$17+1,1))-AVERAGE(OFFSET($H$3,0,0,'Données projet'!$E$17+1,1))</f>
        <v>314.58662400031631</v>
      </c>
      <c r="GF29" s="60">
        <f t="shared" si="50"/>
        <v>336.99073123405981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4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85.176000000000002</v>
      </c>
      <c r="P30" s="14">
        <f t="shared" si="33"/>
        <v>23.398088487656441</v>
      </c>
      <c r="Q30" s="22">
        <f t="shared" si="2"/>
        <v>189.09987078266829</v>
      </c>
      <c r="R30" s="60">
        <f t="shared" si="0"/>
        <v>421.6177136552318</v>
      </c>
      <c r="S30" s="60">
        <f ca="1">AVERAGE(OFFSET($R$3,0,0,'Données projet'!$E$9+1,1))-AVERAGE(OFFSET($H$3,0,0,'Données projet'!$E$9+1,1))</f>
        <v>516.30971934066179</v>
      </c>
      <c r="T30" s="60">
        <f t="shared" si="34"/>
        <v>290.84286505723571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6.7948717948717956</v>
      </c>
      <c r="AI30" s="14">
        <f>IF('Données projet'!$A$62&gt;35,AI29+AH30-AQ29,IF(A30&lt;'Données projet'!$A$62,$AF$205^A30,IF(A30='Données projet'!$A$62,'Données projet'!$B$62,AI29+AH30-AQ29)))</f>
        <v>94.999999999999972</v>
      </c>
      <c r="AJ30" s="14">
        <f>AI30*VLOOKUP('Données projet'!$B$10,Paramètres!$A$1:$I$89,3,0)*VLOOKUP('Données projet'!$B$10,Paramètres!$A$1:$I$89,5,0)</f>
        <v>99.293999999999983</v>
      </c>
      <c r="AK30" s="14">
        <f t="shared" si="35"/>
        <v>26.793733491718761</v>
      </c>
      <c r="AL30" s="22">
        <f t="shared" si="4"/>
        <v>219.60280249807681</v>
      </c>
      <c r="AM30" s="60">
        <f t="shared" si="5"/>
        <v>452.12064537064032</v>
      </c>
      <c r="AN30" s="60">
        <f ca="1">AVERAGE(OFFSET($AM$3,0,0,'Données projet'!$E$10+1,1))-AVERAGE(OFFSET($H$3,0,0,'Données projet'!$E$10+1,1))</f>
        <v>529.00505223594837</v>
      </c>
      <c r="AO30" s="60">
        <f t="shared" si="36"/>
        <v>321.23004033257985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IF('Données projet'!$A$88&gt;35,BD29+BC30-BL29,IF(A30&lt;'Données projet'!$A$88,$BA$205^A30,IF(A30='Données projet'!$A$88,'Données projet'!$B$88,BD29+BC30-BL29)))</f>
        <v>138.5</v>
      </c>
      <c r="BE30" s="14">
        <f>BD30*VLOOKUP('Données projet'!$B$11,Paramètres!$A$1:$I$89,3,0)*VLOOKUP('Données projet'!$B$11,Paramètres!$A$1:$I$89,5,0)</f>
        <v>120.9936</v>
      </c>
      <c r="BF30" s="14">
        <f t="shared" si="37"/>
        <v>31.906628844954461</v>
      </c>
      <c r="BG30" s="22">
        <f t="shared" si="7"/>
        <v>266.30123190496232</v>
      </c>
      <c r="BH30" s="60">
        <f t="shared" si="8"/>
        <v>498.81907477752583</v>
      </c>
      <c r="BI30" s="60">
        <f ca="1">AVERAGE(OFFSET($BH$3,0,0,'Données projet'!$E$11+1,1))-AVERAGE(OFFSET($H$3,0,0,'Données projet'!$E$11+1,1))</f>
        <v>363.28611056308665</v>
      </c>
      <c r="BJ30" s="60">
        <f t="shared" si="38"/>
        <v>389.43647559455974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90.417599999999993</v>
      </c>
      <c r="CA30" s="14">
        <f t="shared" si="39"/>
        <v>24.665912907068826</v>
      </c>
      <c r="CB30" s="22">
        <f t="shared" si="10"/>
        <v>200.43711831314488</v>
      </c>
      <c r="CC30" s="60">
        <f t="shared" si="11"/>
        <v>432.95496118570838</v>
      </c>
      <c r="CD30" s="60">
        <f ca="1">AVERAGE(OFFSET($CC$3,0,0,'Données projet'!$E$12+1,1))-AVERAGE(OFFSET($H$3,0,0,'Données projet'!$E$12+1,1))</f>
        <v>542.90832990875208</v>
      </c>
      <c r="CE30" s="60">
        <f t="shared" si="40"/>
        <v>304.94365539329362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3.4425641025641025</v>
      </c>
      <c r="CT30" s="13">
        <f>IF('Données projet'!$A$140&gt;35,CT29+CS30-DB29,IF(A30&lt;'Données projet'!$A$140,$CQ$205^A30,IF(A30='Données projet'!$A$140,'Données projet'!$B$140,CT29+CS30-DB29)))</f>
        <v>64.953560365747308</v>
      </c>
      <c r="CU30" s="18">
        <f>CT30*VLOOKUP('Données projet'!$B$13,Paramètres!$A$1:$I$89,3,0)*VLOOKUP('Données projet'!$B$13,Paramètres!$A$1:$I$89,5,0)</f>
        <v>30.398266251169741</v>
      </c>
      <c r="CV30" s="14">
        <f t="shared" si="41"/>
        <v>9.4145003824463398</v>
      </c>
      <c r="CW30" s="22">
        <f t="shared" si="13"/>
        <v>69.340568553547996</v>
      </c>
      <c r="CX30" s="60">
        <f t="shared" si="14"/>
        <v>301.8584114261115</v>
      </c>
      <c r="CY30" s="60">
        <f ca="1">AVERAGE(OFFSET($CX$3,0,0,'Données projet'!$E$13+1,1))-AVERAGE(OFFSET($H$3,0,0,'Données projet'!$E$13+1,1))</f>
        <v>277.77877239988635</v>
      </c>
      <c r="CZ30" s="60">
        <f t="shared" si="42"/>
        <v>164.65640238394164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4.9999999999999982</v>
      </c>
      <c r="DO30" s="13">
        <f>IF('Données projet'!$A$166&gt;35,DO29+DN30-DW29,IF(A30&lt;'Données projet'!$A$166,$DL$205^A30,IF(A30='Données projet'!$A$166,'Données projet'!$B$166,DO29+DN30-DW29)))</f>
        <v>70.256410256410263</v>
      </c>
      <c r="DP30" s="18">
        <f>DO30*VLOOKUP('Données projet'!$B$14,Paramètres!$A$1:$I$89,3,0)*VLOOKUP('Données projet'!$B$14,Paramètres!$A$1:$I$89,5,0)</f>
        <v>60.280000000000015</v>
      </c>
      <c r="DQ30" s="14">
        <f t="shared" si="43"/>
        <v>17.239042603482694</v>
      </c>
      <c r="DR30" s="22">
        <f t="shared" si="16"/>
        <v>135.01233253439906</v>
      </c>
      <c r="DS30" s="60">
        <f t="shared" si="17"/>
        <v>367.5301754069626</v>
      </c>
      <c r="DT30" s="60">
        <f ca="1">AVERAGE(OFFSET($DS$3,0,0,'Données projet'!$E$14+1,1))-AVERAGE(OFFSET($H$3,0,0,'Données projet'!$E$14+1,1))</f>
        <v>354.30160274624632</v>
      </c>
      <c r="DU30" s="60">
        <f t="shared" si="44"/>
        <v>218.8005329382452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</v>
      </c>
      <c r="EJ30" s="13">
        <f>IF('Données projet'!$A$192&gt;35,EJ29+EI30-ER29,IF(A30&lt;'Données projet'!$A$192,$EG$205^A30,IF(A30='Données projet'!$A$192,'Données projet'!$B$192,EJ29+EI30-ER29)))</f>
        <v>84</v>
      </c>
      <c r="EK30" s="18">
        <f>EJ30*VLOOKUP('Données projet'!$B$15,Paramètres!$A$1:$I$89,3,0)*VLOOKUP('Données projet'!$B$15,Paramètres!$A$1:$I$89,5,0)</f>
        <v>81.244799999999998</v>
      </c>
      <c r="EL30" s="14">
        <f t="shared" si="45"/>
        <v>22.441270156928962</v>
      </c>
      <c r="EM30" s="22">
        <f t="shared" si="19"/>
        <v>180.58657218998462</v>
      </c>
      <c r="EN30" s="60">
        <f t="shared" si="20"/>
        <v>413.10441506254813</v>
      </c>
      <c r="EO30" s="60">
        <f ca="1">AVERAGE(OFFSET($EN$3,0,0,'Données projet'!$E$15+1,1))-AVERAGE(OFFSET($H$3,0,0,'Données projet'!$E$15+1,1))</f>
        <v>496.33873798282525</v>
      </c>
      <c r="EP30" s="60">
        <f t="shared" si="46"/>
        <v>280.25465074992246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12</v>
      </c>
      <c r="FE30" s="13">
        <f>IF('Données projet'!$A$218&gt;35,FE29+FD30-FM29,IF(A30&lt;'Données projet'!$A$218,$FB$205^A30,IF(A30='Données projet'!$A$218,'Données projet'!$B$218,FE29+FD30-FM29)))</f>
        <v>138.5</v>
      </c>
      <c r="FF30" s="18">
        <f>FE30*VLOOKUP('Données projet'!$B$16,Paramètres!$A$1:$I$89,3,0)*VLOOKUP('Données projet'!$B$16,Paramètres!$A$1:$I$89,5,0)</f>
        <v>112.35119999999999</v>
      </c>
      <c r="FG30" s="14">
        <f t="shared" si="47"/>
        <v>29.884261924752163</v>
      </c>
      <c r="FH30" s="22">
        <f t="shared" si="22"/>
        <v>247.72676285227666</v>
      </c>
      <c r="FI30" s="60">
        <f t="shared" si="23"/>
        <v>480.2446057248402</v>
      </c>
      <c r="FJ30" s="60">
        <f ca="1">AVERAGE(OFFSET($FI$3,0,0,'Données projet'!$E$16+1,1))-AVERAGE(OFFSET($H$3,0,0,'Données projet'!$E$16+1,1))</f>
        <v>341.66430955115521</v>
      </c>
      <c r="FK30" s="60">
        <f t="shared" si="48"/>
        <v>366.15174925159192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12</v>
      </c>
      <c r="FZ30" s="13">
        <f>IF('Données projet'!$A$244&gt;35,FZ29+FY30-GH29,IF(A30&lt;'Données projet'!$A$244,$FW$205^A30,IF(A30='Données projet'!$A$244,'Données projet'!$B$244,FZ29+FY30-GH29)))</f>
        <v>138.5</v>
      </c>
      <c r="GA30" s="18">
        <f>FZ30*VLOOKUP('Données projet'!$B$17,Paramètres!$A$1:$I$89,3,0)*VLOOKUP('Données projet'!$B$17,Paramètres!$A$1:$I$89,5,0)</f>
        <v>101.54820000000001</v>
      </c>
      <c r="GB30" s="14">
        <f t="shared" si="49"/>
        <v>27.330504406668176</v>
      </c>
      <c r="GC30" s="22">
        <f t="shared" si="25"/>
        <v>224.46374350828043</v>
      </c>
      <c r="GD30" s="60">
        <f t="shared" si="26"/>
        <v>456.98158638084396</v>
      </c>
      <c r="GE30" s="60">
        <f ca="1">AVERAGE(OFFSET($GD$3,0,0,'Données projet'!$E$17+1,1))-AVERAGE(OFFSET($H$3,0,0,'Données projet'!$E$17+1,1))</f>
        <v>314.58662400031631</v>
      </c>
      <c r="GF30" s="60">
        <f t="shared" si="50"/>
        <v>336.99073123405981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4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92.274000000000001</v>
      </c>
      <c r="P31" s="14">
        <f t="shared" si="33"/>
        <v>25.112860036087575</v>
      </c>
      <c r="Q31" s="22">
        <f t="shared" si="2"/>
        <v>204.4487812295192</v>
      </c>
      <c r="R31" s="60">
        <f t="shared" si="0"/>
        <v>439.18025065150329</v>
      </c>
      <c r="S31" s="60">
        <f ca="1">AVERAGE(OFFSET($R$3,0,0,'Données projet'!$E$9+1,1))-AVERAGE(OFFSET($H$3,0,0,'Données projet'!$E$9+1,1))</f>
        <v>516.30971934066179</v>
      </c>
      <c r="T31" s="60">
        <f t="shared" si="34"/>
        <v>290.84286505723571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6.7948717948717956</v>
      </c>
      <c r="AI31" s="14">
        <f>IF('Données projet'!$A$62&gt;35,AI30+AH31-AQ30,IF(A31&lt;'Données projet'!$A$62,$AF$205^A31,IF(A31='Données projet'!$A$62,'Données projet'!$B$62,AI30+AH31-AQ30)))</f>
        <v>101.79487179487177</v>
      </c>
      <c r="AJ31" s="14">
        <f>AI31*VLOOKUP('Données projet'!$B$10,Paramètres!$A$1:$I$89,3,0)*VLOOKUP('Données projet'!$B$10,Paramètres!$A$1:$I$89,5,0)</f>
        <v>106.39599999999997</v>
      </c>
      <c r="AK31" s="14">
        <f t="shared" si="35"/>
        <v>28.480214812412058</v>
      </c>
      <c r="AL31" s="22">
        <f t="shared" si="4"/>
        <v>234.90940746495096</v>
      </c>
      <c r="AM31" s="60">
        <f t="shared" si="5"/>
        <v>469.64087688693508</v>
      </c>
      <c r="AN31" s="60">
        <f ca="1">AVERAGE(OFFSET($AM$3,0,0,'Données projet'!$E$10+1,1))-AVERAGE(OFFSET($H$3,0,0,'Données projet'!$E$10+1,1))</f>
        <v>529.00505223594837</v>
      </c>
      <c r="AO31" s="60">
        <f t="shared" si="36"/>
        <v>321.23004033257985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IF('Données projet'!$A$88&gt;35,BD30+BC31-BL30,IF(A31&lt;'Données projet'!$A$88,$BA$205^A31,IF(A31='Données projet'!$A$88,'Données projet'!$B$88,BD30+BC31-BL30)))</f>
        <v>150.5</v>
      </c>
      <c r="BE31" s="14">
        <f>BD31*VLOOKUP('Données projet'!$B$11,Paramètres!$A$1:$I$89,3,0)*VLOOKUP('Données projet'!$B$11,Paramètres!$A$1:$I$89,5,0)</f>
        <v>131.4768</v>
      </c>
      <c r="BF31" s="14">
        <f t="shared" si="37"/>
        <v>34.337379785620797</v>
      </c>
      <c r="BG31" s="22">
        <f t="shared" si="7"/>
        <v>288.79302979328958</v>
      </c>
      <c r="BH31" s="60">
        <f t="shared" si="8"/>
        <v>523.52449921527364</v>
      </c>
      <c r="BI31" s="60">
        <f ca="1">AVERAGE(OFFSET($BH$3,0,0,'Données projet'!$E$11+1,1))-AVERAGE(OFFSET($H$3,0,0,'Données projet'!$E$11+1,1))</f>
        <v>363.28611056308665</v>
      </c>
      <c r="BJ31" s="60">
        <f t="shared" si="38"/>
        <v>389.43647559455974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91</v>
      </c>
      <c r="BZ31" s="14">
        <f>BY31*VLOOKUP('Données projet'!$B$12,Paramètres!$A$1:$I$89,3,0)*VLOOKUP('Données projet'!$B$12,Paramètres!$A$1:$I$89,5,0)</f>
        <v>97.952399999999997</v>
      </c>
      <c r="CA31" s="14">
        <f t="shared" si="39"/>
        <v>26.473599278177087</v>
      </c>
      <c r="CB31" s="22">
        <f t="shared" si="10"/>
        <v>216.70861540949173</v>
      </c>
      <c r="CC31" s="60">
        <f t="shared" si="11"/>
        <v>451.44008483147582</v>
      </c>
      <c r="CD31" s="60">
        <f ca="1">AVERAGE(OFFSET($CC$3,0,0,'Données projet'!$E$12+1,1))-AVERAGE(OFFSET($H$3,0,0,'Données projet'!$E$12+1,1))</f>
        <v>542.90832990875208</v>
      </c>
      <c r="CE31" s="60">
        <f t="shared" si="40"/>
        <v>304.94365539329362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3.4425641025641025</v>
      </c>
      <c r="CT31" s="13">
        <f>IF('Données projet'!$A$140&gt;35,CT30+CS31-DB30,IF(A31&lt;'Données projet'!$A$140,$CQ$205^A31,IF(A31='Données projet'!$A$140,'Données projet'!$B$140,CT30+CS31-DB30)))</f>
        <v>75.81172952673181</v>
      </c>
      <c r="CU31" s="18">
        <f>CT31*VLOOKUP('Données projet'!$B$13,Paramètres!$A$1:$I$89,3,0)*VLOOKUP('Données projet'!$B$13,Paramètres!$A$1:$I$89,5,0)</f>
        <v>35.479889418510488</v>
      </c>
      <c r="CV31" s="14">
        <f t="shared" si="41"/>
        <v>10.7923591061602</v>
      </c>
      <c r="CW31" s="22">
        <f t="shared" si="13"/>
        <v>80.590832847134777</v>
      </c>
      <c r="CX31" s="60">
        <f t="shared" si="14"/>
        <v>315.32230226911884</v>
      </c>
      <c r="CY31" s="60">
        <f ca="1">AVERAGE(OFFSET($CX$3,0,0,'Données projet'!$E$13+1,1))-AVERAGE(OFFSET($H$3,0,0,'Données projet'!$E$13+1,1))</f>
        <v>277.77877239988635</v>
      </c>
      <c r="CZ31" s="60">
        <f t="shared" si="42"/>
        <v>164.65640238394164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4.9999999999999982</v>
      </c>
      <c r="DO31" s="13">
        <f>IF('Données projet'!$A$166&gt;35,DO30+DN31-DW30,IF(A31&lt;'Données projet'!$A$166,$DL$205^A31,IF(A31='Données projet'!$A$166,'Données projet'!$B$166,DO30+DN31-DW30)))</f>
        <v>75.256410256410263</v>
      </c>
      <c r="DP31" s="18">
        <f>DO31*VLOOKUP('Données projet'!$B$14,Paramètres!$A$1:$I$89,3,0)*VLOOKUP('Données projet'!$B$14,Paramètres!$A$1:$I$89,5,0)</f>
        <v>64.570000000000022</v>
      </c>
      <c r="DQ31" s="14">
        <f t="shared" si="43"/>
        <v>18.318726039614646</v>
      </c>
      <c r="DR31" s="22">
        <f t="shared" si="16"/>
        <v>144.36453118566223</v>
      </c>
      <c r="DS31" s="60">
        <f t="shared" si="17"/>
        <v>379.09600060764632</v>
      </c>
      <c r="DT31" s="60">
        <f ca="1">AVERAGE(OFFSET($DS$3,0,0,'Données projet'!$E$14+1,1))-AVERAGE(OFFSET($H$3,0,0,'Données projet'!$E$14+1,1))</f>
        <v>354.30160274624632</v>
      </c>
      <c r="DU31" s="60">
        <f t="shared" si="44"/>
        <v>218.8005329382452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</v>
      </c>
      <c r="EJ31" s="13">
        <f>IF('Données projet'!$A$192&gt;35,EJ30+EI31-ER30,IF(A31&lt;'Données projet'!$A$192,$EG$205^A31,IF(A31='Données projet'!$A$192,'Données projet'!$B$192,EJ30+EI31-ER30)))</f>
        <v>91</v>
      </c>
      <c r="EK31" s="18">
        <f>EJ31*VLOOKUP('Données projet'!$B$15,Paramètres!$A$1:$I$89,3,0)*VLOOKUP('Données projet'!$B$15,Paramètres!$A$1:$I$89,5,0)</f>
        <v>88.015200000000007</v>
      </c>
      <c r="EL31" s="14">
        <f t="shared" si="45"/>
        <v>24.085919530575829</v>
      </c>
      <c r="EM31" s="22">
        <f t="shared" si="19"/>
        <v>195.24278318241954</v>
      </c>
      <c r="EN31" s="60">
        <f t="shared" si="20"/>
        <v>429.97425260440366</v>
      </c>
      <c r="EO31" s="60">
        <f ca="1">AVERAGE(OFFSET($EN$3,0,0,'Données projet'!$E$15+1,1))-AVERAGE(OFFSET($H$3,0,0,'Données projet'!$E$15+1,1))</f>
        <v>496.33873798282525</v>
      </c>
      <c r="EP31" s="60">
        <f t="shared" si="46"/>
        <v>280.25465074992246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12</v>
      </c>
      <c r="FE31" s="13">
        <f>IF('Données projet'!$A$218&gt;35,FE30+FD31-FM30,IF(A31&lt;'Données projet'!$A$218,$FB$205^A31,IF(A31='Données projet'!$A$218,'Données projet'!$B$218,FE30+FD31-FM30)))</f>
        <v>150.5</v>
      </c>
      <c r="FF31" s="18">
        <f>FE31*VLOOKUP('Données projet'!$B$16,Paramètres!$A$1:$I$89,3,0)*VLOOKUP('Données projet'!$B$16,Paramètres!$A$1:$I$89,5,0)</f>
        <v>122.08560000000001</v>
      </c>
      <c r="FG31" s="14">
        <f t="shared" si="47"/>
        <v>32.160942364346717</v>
      </c>
      <c r="FH31" s="22">
        <f t="shared" si="22"/>
        <v>268.64606128457058</v>
      </c>
      <c r="FI31" s="60">
        <f t="shared" si="23"/>
        <v>503.37753070655469</v>
      </c>
      <c r="FJ31" s="60">
        <f ca="1">AVERAGE(OFFSET($FI$3,0,0,'Données projet'!$E$16+1,1))-AVERAGE(OFFSET($H$3,0,0,'Données projet'!$E$16+1,1))</f>
        <v>341.66430955115521</v>
      </c>
      <c r="FK31" s="60">
        <f t="shared" si="48"/>
        <v>366.15174925159192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12</v>
      </c>
      <c r="FZ31" s="13">
        <f>IF('Données projet'!$A$244&gt;35,FZ30+FY31-GH30,IF(A31&lt;'Données projet'!$A$244,$FW$205^A31,IF(A31='Données projet'!$A$244,'Données projet'!$B$244,FZ30+FY31-GH30)))</f>
        <v>150.5</v>
      </c>
      <c r="GA31" s="18">
        <f>FZ31*VLOOKUP('Données projet'!$B$17,Paramètres!$A$1:$I$89,3,0)*VLOOKUP('Données projet'!$B$17,Paramètres!$A$1:$I$89,5,0)</f>
        <v>110.34660000000001</v>
      </c>
      <c r="GB31" s="14">
        <f t="shared" si="49"/>
        <v>29.412631278116066</v>
      </c>
      <c r="GC31" s="22">
        <f t="shared" si="25"/>
        <v>243.41399447605218</v>
      </c>
      <c r="GD31" s="60">
        <f t="shared" si="26"/>
        <v>478.14546389803627</v>
      </c>
      <c r="GE31" s="60">
        <f ca="1">AVERAGE(OFFSET($GD$3,0,0,'Données projet'!$E$17+1,1))-AVERAGE(OFFSET($H$3,0,0,'Données projet'!$E$17+1,1))</f>
        <v>314.58662400031631</v>
      </c>
      <c r="GF31" s="60">
        <f t="shared" si="50"/>
        <v>336.99073123405981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4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99.372000000000014</v>
      </c>
      <c r="P32" s="14">
        <f t="shared" si="33"/>
        <v>26.812330397327713</v>
      </c>
      <c r="Q32" s="22">
        <f t="shared" si="2"/>
        <v>219.7710421086791</v>
      </c>
      <c r="R32" s="60">
        <f t="shared" si="0"/>
        <v>456.69893943145496</v>
      </c>
      <c r="S32" s="60">
        <f ca="1">AVERAGE(OFFSET($R$3,0,0,'Données projet'!$E$9+1,1))-AVERAGE(OFFSET($H$3,0,0,'Données projet'!$E$9+1,1))</f>
        <v>516.30971934066179</v>
      </c>
      <c r="T32" s="60">
        <f t="shared" si="34"/>
        <v>290.84286505723571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6.7948717948717956</v>
      </c>
      <c r="AI32" s="14">
        <f>IF('Données projet'!$A$62&gt;35,AI31+AH32-AQ31,IF(A32&lt;'Données projet'!$A$62,$AF$205^A32,IF(A32='Données projet'!$A$62,'Données projet'!$B$62,AI31+AH32-AQ31)))</f>
        <v>108.58974358974356</v>
      </c>
      <c r="AJ32" s="14">
        <f>AI32*VLOOKUP('Données projet'!$B$10,Paramètres!$A$1:$I$89,3,0)*VLOOKUP('Données projet'!$B$10,Paramètres!$A$1:$I$89,5,0)</f>
        <v>113.49799999999998</v>
      </c>
      <c r="AK32" s="14">
        <f t="shared" si="35"/>
        <v>30.153633093360881</v>
      </c>
      <c r="AL32" s="22">
        <f t="shared" si="4"/>
        <v>250.19326097093685</v>
      </c>
      <c r="AM32" s="60">
        <f t="shared" si="5"/>
        <v>487.12115829371271</v>
      </c>
      <c r="AN32" s="60">
        <f ca="1">AVERAGE(OFFSET($AM$3,0,0,'Données projet'!$E$10+1,1))-AVERAGE(OFFSET($H$3,0,0,'Données projet'!$E$10+1,1))</f>
        <v>529.00505223594837</v>
      </c>
      <c r="AO32" s="60">
        <f t="shared" si="36"/>
        <v>321.23004033257985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IF('Données projet'!$A$88&gt;35,BD31+BC32-BL31,IF(A32&lt;'Données projet'!$A$88,$BA$205^A32,IF(A32='Données projet'!$A$88,'Données projet'!$B$88,BD31+BC32-BL31)))</f>
        <v>162.5</v>
      </c>
      <c r="BE32" s="14">
        <f>BD32*VLOOKUP('Données projet'!$B$11,Paramètres!$A$1:$I$89,3,0)*VLOOKUP('Données projet'!$B$11,Paramètres!$A$1:$I$89,5,0)</f>
        <v>141.96000000000004</v>
      </c>
      <c r="BF32" s="14">
        <f t="shared" si="37"/>
        <v>36.745650011720485</v>
      </c>
      <c r="BG32" s="22">
        <f t="shared" si="7"/>
        <v>311.24567377041325</v>
      </c>
      <c r="BH32" s="60">
        <f t="shared" si="8"/>
        <v>548.17357109318914</v>
      </c>
      <c r="BI32" s="60">
        <f ca="1">AVERAGE(OFFSET($BH$3,0,0,'Données projet'!$E$11+1,1))-AVERAGE(OFFSET($H$3,0,0,'Données projet'!$E$11+1,1))</f>
        <v>363.28611056308665</v>
      </c>
      <c r="BJ32" s="60">
        <f t="shared" si="38"/>
        <v>389.43647559455974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98</v>
      </c>
      <c r="BZ32" s="14">
        <f>BY32*VLOOKUP('Données projet'!$B$12,Paramètres!$A$1:$I$89,3,0)*VLOOKUP('Données projet'!$B$12,Paramètres!$A$1:$I$89,5,0)</f>
        <v>105.48719999999999</v>
      </c>
      <c r="CA32" s="14">
        <f t="shared" si="39"/>
        <v>28.265155367923839</v>
      </c>
      <c r="CB32" s="22">
        <f t="shared" si="10"/>
        <v>232.95201893246733</v>
      </c>
      <c r="CC32" s="60">
        <f t="shared" si="11"/>
        <v>469.87991625524319</v>
      </c>
      <c r="CD32" s="60">
        <f ca="1">AVERAGE(OFFSET($CC$3,0,0,'Données projet'!$E$12+1,1))-AVERAGE(OFFSET($H$3,0,0,'Données projet'!$E$12+1,1))</f>
        <v>542.90832990875208</v>
      </c>
      <c r="CE32" s="60">
        <f t="shared" si="40"/>
        <v>304.94365539329362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3.4425641025641025</v>
      </c>
      <c r="CT32" s="13">
        <f>IF('Données projet'!$A$140&gt;35,CT31+CS32-DB31,IF(A32&lt;'Données projet'!$A$140,$CQ$205^A32,IF(A32='Données projet'!$A$140,'Données projet'!$B$140,CT31+CS32-DB31)))</f>
        <v>88.485039179856727</v>
      </c>
      <c r="CU32" s="18">
        <f>CT32*VLOOKUP('Données projet'!$B$13,Paramètres!$A$1:$I$89,3,0)*VLOOKUP('Données projet'!$B$13,Paramètres!$A$1:$I$89,5,0)</f>
        <v>41.410998336172952</v>
      </c>
      <c r="CV32" s="14">
        <f t="shared" si="41"/>
        <v>12.371874273168087</v>
      </c>
      <c r="CW32" s="22">
        <f t="shared" si="13"/>
        <v>93.671836461268967</v>
      </c>
      <c r="CX32" s="60">
        <f t="shared" si="14"/>
        <v>330.59973378404482</v>
      </c>
      <c r="CY32" s="60">
        <f ca="1">AVERAGE(OFFSET($CX$3,0,0,'Données projet'!$E$13+1,1))-AVERAGE(OFFSET($H$3,0,0,'Données projet'!$E$13+1,1))</f>
        <v>277.77877239988635</v>
      </c>
      <c r="CZ32" s="60">
        <f t="shared" si="42"/>
        <v>164.65640238394164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4.9999999999999982</v>
      </c>
      <c r="DO32" s="13">
        <f>IF('Données projet'!$A$166&gt;35,DO31+DN32-DW31,IF(A32&lt;'Données projet'!$A$166,$DL$205^A32,IF(A32='Données projet'!$A$166,'Données projet'!$B$166,DO31+DN32-DW31)))</f>
        <v>80.256410256410263</v>
      </c>
      <c r="DP32" s="18">
        <f>DO32*VLOOKUP('Données projet'!$B$14,Paramètres!$A$1:$I$89,3,0)*VLOOKUP('Données projet'!$B$14,Paramètres!$A$1:$I$89,5,0)</f>
        <v>68.860000000000014</v>
      </c>
      <c r="DQ32" s="14">
        <f t="shared" si="43"/>
        <v>19.390085420022569</v>
      </c>
      <c r="DR32" s="22">
        <f t="shared" si="16"/>
        <v>153.70223210653933</v>
      </c>
      <c r="DS32" s="60">
        <f t="shared" si="17"/>
        <v>390.63012942931516</v>
      </c>
      <c r="DT32" s="60">
        <f ca="1">AVERAGE(OFFSET($DS$3,0,0,'Données projet'!$E$14+1,1))-AVERAGE(OFFSET($H$3,0,0,'Données projet'!$E$14+1,1))</f>
        <v>354.30160274624632</v>
      </c>
      <c r="DU32" s="60">
        <f t="shared" si="44"/>
        <v>218.8005329382452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</v>
      </c>
      <c r="EJ32" s="13">
        <f>IF('Données projet'!$A$192&gt;35,EJ31+EI32-ER31,IF(A32&lt;'Données projet'!$A$192,$EG$205^A32,IF(A32='Données projet'!$A$192,'Données projet'!$B$192,EJ31+EI32-ER31)))</f>
        <v>98</v>
      </c>
      <c r="EK32" s="18">
        <f>EJ32*VLOOKUP('Données projet'!$B$15,Paramètres!$A$1:$I$89,3,0)*VLOOKUP('Données projet'!$B$15,Paramètres!$A$1:$I$89,5,0)</f>
        <v>94.785600000000002</v>
      </c>
      <c r="EL32" s="14">
        <f t="shared" si="45"/>
        <v>25.715893428674526</v>
      </c>
      <c r="EM32" s="22">
        <f t="shared" si="19"/>
        <v>209.87343438827483</v>
      </c>
      <c r="EN32" s="60">
        <f t="shared" si="20"/>
        <v>446.80133171105069</v>
      </c>
      <c r="EO32" s="60">
        <f ca="1">AVERAGE(OFFSET($EN$3,0,0,'Données projet'!$E$15+1,1))-AVERAGE(OFFSET($H$3,0,0,'Données projet'!$E$15+1,1))</f>
        <v>496.33873798282525</v>
      </c>
      <c r="EP32" s="60">
        <f t="shared" si="46"/>
        <v>280.25465074992246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12</v>
      </c>
      <c r="FE32" s="13">
        <f>IF('Données projet'!$A$218&gt;35,FE31+FD32-FM31,IF(A32&lt;'Données projet'!$A$218,$FB$205^A32,IF(A32='Données projet'!$A$218,'Données projet'!$B$218,FE31+FD32-FM31)))</f>
        <v>162.5</v>
      </c>
      <c r="FF32" s="18">
        <f>FE32*VLOOKUP('Données projet'!$B$16,Paramètres!$A$1:$I$89,3,0)*VLOOKUP('Données projet'!$B$16,Paramètres!$A$1:$I$89,5,0)</f>
        <v>131.82</v>
      </c>
      <c r="FG32" s="14">
        <f t="shared" si="47"/>
        <v>34.416567004983904</v>
      </c>
      <c r="FH32" s="22">
        <f t="shared" si="22"/>
        <v>289.52868753368028</v>
      </c>
      <c r="FI32" s="60">
        <f t="shared" si="23"/>
        <v>526.45658485645617</v>
      </c>
      <c r="FJ32" s="60">
        <f ca="1">AVERAGE(OFFSET($FI$3,0,0,'Données projet'!$E$16+1,1))-AVERAGE(OFFSET($H$3,0,0,'Données projet'!$E$16+1,1))</f>
        <v>341.66430955115521</v>
      </c>
      <c r="FK32" s="60">
        <f t="shared" si="48"/>
        <v>366.15174925159192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12</v>
      </c>
      <c r="FZ32" s="13">
        <f>IF('Données projet'!$A$244&gt;35,FZ31+FY32-GH31,IF(A32&lt;'Données projet'!$A$244,$FW$205^A32,IF(A32='Données projet'!$A$244,'Données projet'!$B$244,FZ31+FY32-GH31)))</f>
        <v>162.5</v>
      </c>
      <c r="GA32" s="18">
        <f>FZ32*VLOOKUP('Données projet'!$B$17,Paramètres!$A$1:$I$89,3,0)*VLOOKUP('Données projet'!$B$17,Paramètres!$A$1:$I$89,5,0)</f>
        <v>119.14500000000001</v>
      </c>
      <c r="GB32" s="14">
        <f t="shared" si="49"/>
        <v>31.475501672437705</v>
      </c>
      <c r="GC32" s="22">
        <f t="shared" si="25"/>
        <v>262.33070707949565</v>
      </c>
      <c r="GD32" s="60">
        <f t="shared" si="26"/>
        <v>499.25860440227149</v>
      </c>
      <c r="GE32" s="60">
        <f ca="1">AVERAGE(OFFSET($GD$3,0,0,'Données projet'!$E$17+1,1))-AVERAGE(OFFSET($H$3,0,0,'Données projet'!$E$17+1,1))</f>
        <v>314.58662400031631</v>
      </c>
      <c r="GF32" s="60">
        <f t="shared" si="50"/>
        <v>336.99073123405981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4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106.47</v>
      </c>
      <c r="P33" s="14">
        <f t="shared" si="33"/>
        <v>28.49771681771891</v>
      </c>
      <c r="Q33" s="22">
        <f t="shared" si="2"/>
        <v>235.06877345752704</v>
      </c>
      <c r="R33" s="60">
        <f t="shared" si="0"/>
        <v>474.17619839056903</v>
      </c>
      <c r="S33" s="60">
        <f ca="1">AVERAGE(OFFSET($R$3,0,0,'Données projet'!$E$9+1,1))-AVERAGE(OFFSET($H$3,0,0,'Données projet'!$E$9+1,1))</f>
        <v>516.30971934066179</v>
      </c>
      <c r="T33" s="60">
        <f t="shared" si="34"/>
        <v>290.84286505723571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115.38461538461539</v>
      </c>
      <c r="AG33" s="13">
        <f>VLOOKUP(A33,'Données projet'!$A$61:$I$81,9,0)</f>
        <v>6.7948717948717956</v>
      </c>
      <c r="AH33" s="13">
        <f t="array" ref="AH33">INDEX(AG:AG,MIN(IF(ISNUMBER(AG33:AG229),ROW(AG33:AG229),"")))</f>
        <v>6.7948717948717956</v>
      </c>
      <c r="AI33" s="14">
        <f>IF('Données projet'!$A$62&gt;35,AI32+AH33-AQ32,IF(A33&lt;'Données projet'!$A$62,$AF$205^A33,IF(A33='Données projet'!$A$62,'Données projet'!$B$62,AI32+AH33-AQ32)))</f>
        <v>115.38461538461536</v>
      </c>
      <c r="AJ33" s="14">
        <f>AI33*VLOOKUP('Données projet'!$B$10,Paramètres!$A$1:$I$89,3,0)*VLOOKUP('Données projet'!$B$10,Paramètres!$A$1:$I$89,5,0)</f>
        <v>120.59999999999998</v>
      </c>
      <c r="AK33" s="14">
        <f t="shared" si="35"/>
        <v>31.814898793993059</v>
      </c>
      <c r="AL33" s="22">
        <f t="shared" si="4"/>
        <v>265.45594873287126</v>
      </c>
      <c r="AM33" s="60">
        <f t="shared" si="5"/>
        <v>504.56337366591322</v>
      </c>
      <c r="AN33" s="60">
        <f ca="1">AVERAGE(OFFSET($AM$3,0,0,'Données projet'!$E$10+1,1))-AVERAGE(OFFSET($H$3,0,0,'Données projet'!$E$10+1,1))</f>
        <v>529.00505223594837</v>
      </c>
      <c r="AO33" s="60">
        <f t="shared" si="36"/>
        <v>321.23004033257985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17.948717948717949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174.5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IF('Données projet'!$A$88&gt;35,BD32+BC33-BL32,IF(A33&lt;'Données projet'!$A$88,$BA$205^A33,IF(A33='Données projet'!$A$88,'Données projet'!$B$88,BD32+BC33-BL32)))</f>
        <v>174.5</v>
      </c>
      <c r="BE33" s="14">
        <f>BD33*VLOOKUP('Données projet'!$B$11,Paramètres!$A$1:$I$89,3,0)*VLOOKUP('Données projet'!$B$11,Paramètres!$A$1:$I$89,5,0)</f>
        <v>152.44320000000002</v>
      </c>
      <c r="BF33" s="14">
        <f t="shared" si="37"/>
        <v>39.133288418096313</v>
      </c>
      <c r="BG33" s="22">
        <f t="shared" si="7"/>
        <v>333.66238399485115</v>
      </c>
      <c r="BH33" s="60">
        <f t="shared" si="8"/>
        <v>572.76980892789311</v>
      </c>
      <c r="BI33" s="60">
        <f ca="1">AVERAGE(OFFSET($BH$3,0,0,'Données projet'!$E$11+1,1))-AVERAGE(OFFSET($H$3,0,0,'Données projet'!$E$11+1,1))</f>
        <v>363.28611056308665</v>
      </c>
      <c r="BJ33" s="60">
        <f t="shared" si="38"/>
        <v>389.43647559455974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105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105</v>
      </c>
      <c r="BZ33" s="14">
        <f>BY33*VLOOKUP('Données projet'!$B$12,Paramètres!$A$1:$I$89,3,0)*VLOOKUP('Données projet'!$B$12,Paramètres!$A$1:$I$89,5,0)</f>
        <v>113.02199999999999</v>
      </c>
      <c r="CA33" s="14">
        <f t="shared" si="39"/>
        <v>30.041864379091852</v>
      </c>
      <c r="CB33" s="22">
        <f t="shared" si="10"/>
        <v>249.16956379358496</v>
      </c>
      <c r="CC33" s="60">
        <f t="shared" si="11"/>
        <v>488.27698872662694</v>
      </c>
      <c r="CD33" s="60">
        <f ca="1">AVERAGE(OFFSET($CC$3,0,0,'Données projet'!$E$12+1,1))-AVERAGE(OFFSET($H$3,0,0,'Données projet'!$E$12+1,1))</f>
        <v>542.90832990875208</v>
      </c>
      <c r="CE33" s="60">
        <f t="shared" si="40"/>
        <v>304.94365539329362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103.27692307692307</v>
      </c>
      <c r="CR33" s="13">
        <f>VLOOKUP(A33,'Données projet'!$A$139:$I$159,9,0)</f>
        <v>3.4425641025641025</v>
      </c>
      <c r="CS33" s="13">
        <f t="array" ref="CS33">INDEX(CR:CR,MIN(IF(ISNUMBER(CR33:CR229),ROW(CR33:CR229),"")))</f>
        <v>3.4425641025641025</v>
      </c>
      <c r="CT33" s="13">
        <f>IF('Données projet'!$A$140&gt;35,CT32+CS33-DB32,IF(A33&lt;'Données projet'!$A$140,$CQ$205^A33,IF(A33='Données projet'!$A$140,'Données projet'!$B$140,CT32+CS33-DB32)))</f>
        <v>103.27692307692307</v>
      </c>
      <c r="CU33" s="18">
        <f>CT33*VLOOKUP('Données projet'!$B$13,Paramètres!$A$1:$I$89,3,0)*VLOOKUP('Données projet'!$B$13,Paramètres!$A$1:$I$89,5,0)</f>
        <v>48.333599999999997</v>
      </c>
      <c r="CV33" s="14">
        <f t="shared" si="41"/>
        <v>14.182559301951969</v>
      </c>
      <c r="CW33" s="22">
        <f t="shared" si="13"/>
        <v>108.88231078423301</v>
      </c>
      <c r="CX33" s="60">
        <f t="shared" si="14"/>
        <v>347.98973571727498</v>
      </c>
      <c r="CY33" s="60">
        <f ca="1">AVERAGE(OFFSET($CX$3,0,0,'Données projet'!$E$13+1,1))-AVERAGE(OFFSET($H$3,0,0,'Données projet'!$E$13+1,1))</f>
        <v>277.77877239988635</v>
      </c>
      <c r="CZ33" s="60">
        <f t="shared" si="42"/>
        <v>164.65640238394164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85.256410256410248</v>
      </c>
      <c r="DM33" s="13">
        <f>VLOOKUP(A33,'Données projet'!$A$165:$I$185,9,0)</f>
        <v>4.9999999999999982</v>
      </c>
      <c r="DN33" s="13">
        <f t="array" ref="DN33">INDEX(DM:DM,MIN(IF(ISNUMBER(DM33:DM229),ROW(DM33:DM229),"")))</f>
        <v>4.9999999999999982</v>
      </c>
      <c r="DO33" s="13">
        <f>IF('Données projet'!$A$166&gt;35,DO32+DN33-DW32,IF(A33&lt;'Données projet'!$A$166,$DL$205^A33,IF(A33='Données projet'!$A$166,'Données projet'!$B$166,DO32+DN33-DW32)))</f>
        <v>85.256410256410263</v>
      </c>
      <c r="DP33" s="18">
        <f>DO33*VLOOKUP('Données projet'!$B$14,Paramètres!$A$1:$I$89,3,0)*VLOOKUP('Données projet'!$B$14,Paramètres!$A$1:$I$89,5,0)</f>
        <v>73.15000000000002</v>
      </c>
      <c r="DQ33" s="14">
        <f t="shared" si="43"/>
        <v>20.453698376193206</v>
      </c>
      <c r="DR33" s="22">
        <f t="shared" si="16"/>
        <v>163.02644133853653</v>
      </c>
      <c r="DS33" s="60">
        <f t="shared" si="17"/>
        <v>402.13386627157854</v>
      </c>
      <c r="DT33" s="60">
        <f ca="1">AVERAGE(OFFSET($DS$3,0,0,'Données projet'!$E$14+1,1))-AVERAGE(OFFSET($H$3,0,0,'Données projet'!$E$14+1,1))</f>
        <v>354.30160274624632</v>
      </c>
      <c r="DU33" s="60">
        <f t="shared" si="44"/>
        <v>218.8005329382452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17.307692307692307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105</v>
      </c>
      <c r="EH33" s="13">
        <f>VLOOKUP(A33,'Données projet'!$A$191:$I$211,9,0)</f>
        <v>7</v>
      </c>
      <c r="EI33" s="13">
        <f t="array" ref="EI33">INDEX(EH:EH,MIN(IF(ISNUMBER(EH33:EH229),ROW(EH33:EH229),"")))</f>
        <v>7</v>
      </c>
      <c r="EJ33" s="13">
        <f>IF('Données projet'!$A$192&gt;35,EJ32+EI33-ER32,IF(A33&lt;'Données projet'!$A$192,$EG$205^A33,IF(A33='Données projet'!$A$192,'Données projet'!$B$192,EJ32+EI33-ER32)))</f>
        <v>105</v>
      </c>
      <c r="EK33" s="18">
        <f>EJ33*VLOOKUP('Données projet'!$B$15,Paramètres!$A$1:$I$89,3,0)*VLOOKUP('Données projet'!$B$15,Paramètres!$A$1:$I$89,5,0)</f>
        <v>101.556</v>
      </c>
      <c r="EL33" s="14">
        <f t="shared" si="45"/>
        <v>27.332359320696909</v>
      </c>
      <c r="EM33" s="22">
        <f t="shared" si="19"/>
        <v>224.48055915021379</v>
      </c>
      <c r="EN33" s="60">
        <f t="shared" si="20"/>
        <v>463.58798408325578</v>
      </c>
      <c r="EO33" s="60">
        <f ca="1">AVERAGE(OFFSET($EN$3,0,0,'Données projet'!$E$15+1,1))-AVERAGE(OFFSET($H$3,0,0,'Données projet'!$E$15+1,1))</f>
        <v>496.33873798282525</v>
      </c>
      <c r="EP33" s="60">
        <f t="shared" si="46"/>
        <v>280.25465074992246</v>
      </c>
      <c r="EQ33" s="16">
        <f>IF(ISNA(VLOOKUP(A33,'Données projet'!$A$191:$I$211,3,0)),0,VLOOKUP(A33,'Données projet'!$A$191:$I$211,3,0))</f>
        <v>1</v>
      </c>
      <c r="ER33" s="16">
        <f>IF(ISNA(VLOOKUP(A33,'Données projet'!$A$191:$I$211,4,0)),0,VLOOKUP(A33,'Données projet'!$A$191:$I$211,4,0))</f>
        <v>29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174.5</v>
      </c>
      <c r="FC33" s="13">
        <f>VLOOKUP(A33,'Données projet'!$A$217:$I$237,9,0)</f>
        <v>12</v>
      </c>
      <c r="FD33" s="13">
        <f t="array" ref="FD33">INDEX(FC:FC,MIN(IF(ISNUMBER(FC33:FC229),ROW(FC33:FC229),"")))</f>
        <v>12</v>
      </c>
      <c r="FE33" s="13">
        <f>IF('Données projet'!$A$218&gt;35,FE32+FD33-FM32,IF(A33&lt;'Données projet'!$A$218,$FB$205^A33,IF(A33='Données projet'!$A$218,'Données projet'!$B$218,FE32+FD33-FM32)))</f>
        <v>174.5</v>
      </c>
      <c r="FF33" s="18">
        <f>FE33*VLOOKUP('Données projet'!$B$16,Paramètres!$A$1:$I$89,3,0)*VLOOKUP('Données projet'!$B$16,Paramètres!$A$1:$I$89,5,0)</f>
        <v>141.55440000000002</v>
      </c>
      <c r="FG33" s="14">
        <f t="shared" si="47"/>
        <v>36.652867551320576</v>
      </c>
      <c r="FH33" s="22">
        <f t="shared" si="22"/>
        <v>310.37765765188334</v>
      </c>
      <c r="FI33" s="60">
        <f t="shared" si="23"/>
        <v>549.48508258492529</v>
      </c>
      <c r="FJ33" s="60">
        <f ca="1">AVERAGE(OFFSET($FI$3,0,0,'Données projet'!$E$16+1,1))-AVERAGE(OFFSET($H$3,0,0,'Données projet'!$E$16+1,1))</f>
        <v>341.66430955115521</v>
      </c>
      <c r="FK33" s="60">
        <f t="shared" si="48"/>
        <v>366.15174925159192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56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174.5</v>
      </c>
      <c r="FX33" s="13">
        <f>VLOOKUP(A33,'Données projet'!$A$243:$I$263,9,0)</f>
        <v>12</v>
      </c>
      <c r="FY33" s="13">
        <f t="array" ref="FY33">INDEX(FX:FX,MIN(IF(ISNUMBER(FX33:FX229),ROW(FX33:FX229),"")))</f>
        <v>12</v>
      </c>
      <c r="FZ33" s="13">
        <f>IF('Données projet'!$A$244&gt;35,FZ32+FY33-GH32,IF(A33&lt;'Données projet'!$A$244,$FW$205^A33,IF(A33='Données projet'!$A$244,'Données projet'!$B$244,FZ32+FY33-GH32)))</f>
        <v>174.5</v>
      </c>
      <c r="GA33" s="18">
        <f>FZ33*VLOOKUP('Données projet'!$B$17,Paramètres!$A$1:$I$89,3,0)*VLOOKUP('Données projet'!$B$17,Paramètres!$A$1:$I$89,5,0)</f>
        <v>127.94340000000001</v>
      </c>
      <c r="GB33" s="14">
        <f t="shared" si="49"/>
        <v>33.520699311589198</v>
      </c>
      <c r="GC33" s="22">
        <f t="shared" si="25"/>
        <v>281.21663963435122</v>
      </c>
      <c r="GD33" s="60">
        <f t="shared" si="26"/>
        <v>520.32406456739318</v>
      </c>
      <c r="GE33" s="60">
        <f ca="1">AVERAGE(OFFSET($GD$3,0,0,'Données projet'!$E$17+1,1))-AVERAGE(OFFSET($H$3,0,0,'Données projet'!$E$17+1,1))</f>
        <v>314.58662400031631</v>
      </c>
      <c r="GF33" s="60">
        <f t="shared" si="50"/>
        <v>336.99073123405981</v>
      </c>
      <c r="GG33" s="16">
        <f>IF(ISNA(VLOOKUP(A33,'Données projet'!$A$243:$I$263,3,0)),0,VLOOKUP(A33,'Données projet'!$A$243:$I$263,3,0))</f>
        <v>2</v>
      </c>
      <c r="GH33" s="16">
        <f>IF(ISNA(VLOOKUP(A33,'Données projet'!$A$243:$I$263,4,0)),0,VLOOKUP(A33,'Données projet'!$A$243:$I$263,4,0))</f>
        <v>56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4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85.176000000000002</v>
      </c>
      <c r="P34" s="14">
        <f t="shared" si="33"/>
        <v>23.398088487656441</v>
      </c>
      <c r="Q34" s="22">
        <f t="shared" si="2"/>
        <v>189.09987078266829</v>
      </c>
      <c r="R34" s="60">
        <f t="shared" si="0"/>
        <v>429.14799399548588</v>
      </c>
      <c r="S34" s="60">
        <f ca="1">AVERAGE(OFFSET($R$3,0,0,'Données projet'!$E$9+1,1))-AVERAGE(OFFSET($H$3,0,0,'Données projet'!$E$9+1,1))</f>
        <v>516.30971934066179</v>
      </c>
      <c r="T34" s="60">
        <f t="shared" si="34"/>
        <v>290.84286505723571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6.7948717948717956</v>
      </c>
      <c r="AI34" s="14">
        <f>IF('Données projet'!$A$62&gt;35,AI33+AH34-AQ33,IF(A34&lt;'Données projet'!$A$62,$AF$205^A34,IF(A34='Données projet'!$A$62,'Données projet'!$B$62,AI33+AH34-AQ33)))</f>
        <v>104.2307692307692</v>
      </c>
      <c r="AJ34" s="14">
        <f>AI34*VLOOKUP('Données projet'!$B$10,Paramètres!$A$1:$I$89,3,0)*VLOOKUP('Données projet'!$B$10,Paramètres!$A$1:$I$89,5,0)</f>
        <v>108.94199999999996</v>
      </c>
      <c r="AK34" s="14">
        <f t="shared" si="35"/>
        <v>29.08157148085148</v>
      </c>
      <c r="AL34" s="22">
        <f t="shared" si="4"/>
        <v>240.39105366248293</v>
      </c>
      <c r="AM34" s="60">
        <f t="shared" si="5"/>
        <v>480.43917687530052</v>
      </c>
      <c r="AN34" s="60">
        <f ca="1">AVERAGE(OFFSET($AM$3,0,0,'Données projet'!$E$10+1,1))-AVERAGE(OFFSET($H$3,0,0,'Données projet'!$E$10+1,1))</f>
        <v>529.00505223594837</v>
      </c>
      <c r="AO34" s="60">
        <f t="shared" si="36"/>
        <v>321.23004033257985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10.780000000000001</v>
      </c>
      <c r="BD34" s="13">
        <f>IF('Données projet'!$A$88&gt;35,BD33+BC34-BL33,IF(A34&lt;'Données projet'!$A$88,$BA$205^A34,IF(A34='Données projet'!$A$88,'Données projet'!$B$88,BD33+BC34-BL33)))</f>
        <v>129.28</v>
      </c>
      <c r="BE34" s="14">
        <f>BD34*VLOOKUP('Données projet'!$B$11,Paramètres!$A$1:$I$89,3,0)*VLOOKUP('Données projet'!$B$11,Paramètres!$A$1:$I$89,5,0)</f>
        <v>112.93900800000003</v>
      </c>
      <c r="BF34" s="14">
        <f t="shared" si="37"/>
        <v>30.022371571514686</v>
      </c>
      <c r="BG34" s="22">
        <f t="shared" si="7"/>
        <v>248.99106942038816</v>
      </c>
      <c r="BH34" s="60">
        <f t="shared" si="8"/>
        <v>489.03919263320574</v>
      </c>
      <c r="BI34" s="60">
        <f ca="1">AVERAGE(OFFSET($BH$3,0,0,'Données projet'!$E$11+1,1))-AVERAGE(OFFSET($H$3,0,0,'Données projet'!$E$11+1,1))</f>
        <v>363.28611056308665</v>
      </c>
      <c r="BJ34" s="60">
        <f t="shared" si="38"/>
        <v>389.43647559455974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90.417599999999993</v>
      </c>
      <c r="CA34" s="14">
        <f t="shared" si="39"/>
        <v>24.665912907068826</v>
      </c>
      <c r="CB34" s="22">
        <f t="shared" si="10"/>
        <v>200.43711831314488</v>
      </c>
      <c r="CC34" s="60">
        <f t="shared" si="11"/>
        <v>440.48524152596246</v>
      </c>
      <c r="CD34" s="60">
        <f ca="1">AVERAGE(OFFSET($CC$3,0,0,'Données projet'!$E$12+1,1))-AVERAGE(OFFSET($H$3,0,0,'Données projet'!$E$12+1,1))</f>
        <v>542.90832990875208</v>
      </c>
      <c r="CE34" s="60">
        <f t="shared" si="40"/>
        <v>304.94365539329362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8.9230769230769198</v>
      </c>
      <c r="CT34" s="13">
        <f>IF('Données projet'!$A$140&gt;35,CT33+CS34-DB33,IF(A34&lt;'Données projet'!$A$140,$CQ$205^A34,IF(A34='Données projet'!$A$140,'Données projet'!$B$140,CT33+CS34-DB33)))</f>
        <v>112.19999999999999</v>
      </c>
      <c r="CU34" s="18">
        <f>CT34*VLOOKUP('Données projet'!$B$13,Paramètres!$A$1:$I$89,3,0)*VLOOKUP('Données projet'!$B$13,Paramètres!$A$1:$I$89,5,0)</f>
        <v>52.509599999999999</v>
      </c>
      <c r="CV34" s="14">
        <f t="shared" si="41"/>
        <v>15.260016001659478</v>
      </c>
      <c r="CW34" s="22">
        <f t="shared" si="13"/>
        <v>118.03208120289025</v>
      </c>
      <c r="CX34" s="60">
        <f t="shared" si="14"/>
        <v>358.08020441570784</v>
      </c>
      <c r="CY34" s="60">
        <f ca="1">AVERAGE(OFFSET($CX$3,0,0,'Données projet'!$E$13+1,1))-AVERAGE(OFFSET($H$3,0,0,'Données projet'!$E$13+1,1))</f>
        <v>277.77877239988635</v>
      </c>
      <c r="CZ34" s="60">
        <f t="shared" si="42"/>
        <v>164.65640238394164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5.1282051282051295</v>
      </c>
      <c r="DO34" s="13">
        <f>IF('Données projet'!$A$166&gt;35,DO33+DN34-DW33,IF(A34&lt;'Données projet'!$A$166,$DL$205^A34,IF(A34='Données projet'!$A$166,'Données projet'!$B$166,DO33+DN34-DW33)))</f>
        <v>73.07692307692308</v>
      </c>
      <c r="DP34" s="18">
        <f>DO34*VLOOKUP('Données projet'!$B$14,Paramètres!$A$1:$I$89,3,0)*VLOOKUP('Données projet'!$B$14,Paramètres!$A$1:$I$89,5,0)</f>
        <v>62.700000000000017</v>
      </c>
      <c r="DQ34" s="14">
        <f t="shared" si="43"/>
        <v>17.849155124304353</v>
      </c>
      <c r="DR34" s="22">
        <f t="shared" si="16"/>
        <v>140.28977850816344</v>
      </c>
      <c r="DS34" s="60">
        <f t="shared" si="17"/>
        <v>380.33790172098099</v>
      </c>
      <c r="DT34" s="60">
        <f ca="1">AVERAGE(OFFSET($DS$3,0,0,'Données projet'!$E$14+1,1))-AVERAGE(OFFSET($H$3,0,0,'Données projet'!$E$14+1,1))</f>
        <v>354.30160274624632</v>
      </c>
      <c r="DU34" s="60">
        <f t="shared" si="44"/>
        <v>218.8005329382452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</v>
      </c>
      <c r="EJ34" s="13">
        <f>IF('Données projet'!$A$192&gt;35,EJ33+EI34-ER33,IF(A34&lt;'Données projet'!$A$192,$EG$205^A34,IF(A34='Données projet'!$A$192,'Données projet'!$B$192,EJ33+EI34-ER33)))</f>
        <v>84</v>
      </c>
      <c r="EK34" s="18">
        <f>EJ34*VLOOKUP('Données projet'!$B$15,Paramètres!$A$1:$I$89,3,0)*VLOOKUP('Données projet'!$B$15,Paramètres!$A$1:$I$89,5,0)</f>
        <v>81.244799999999998</v>
      </c>
      <c r="EL34" s="14">
        <f t="shared" si="45"/>
        <v>22.441270156928962</v>
      </c>
      <c r="EM34" s="22">
        <f t="shared" si="19"/>
        <v>180.58657218998462</v>
      </c>
      <c r="EN34" s="60">
        <f t="shared" si="20"/>
        <v>420.63469540280221</v>
      </c>
      <c r="EO34" s="60">
        <f ca="1">AVERAGE(OFFSET($EN$3,0,0,'Données projet'!$E$15+1,1))-AVERAGE(OFFSET($H$3,0,0,'Données projet'!$E$15+1,1))</f>
        <v>496.33873798282525</v>
      </c>
      <c r="EP34" s="60">
        <f t="shared" si="46"/>
        <v>280.25465074992246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10.780000000000001</v>
      </c>
      <c r="FE34" s="13">
        <f>IF('Données projet'!$A$218&gt;35,FE33+FD34-FM33,IF(A34&lt;'Données projet'!$A$218,$FB$205^A34,IF(A34='Données projet'!$A$218,'Données projet'!$B$218,FE33+FD34-FM33)))</f>
        <v>129.28</v>
      </c>
      <c r="FF34" s="18">
        <f>FE34*VLOOKUP('Données projet'!$B$16,Paramètres!$A$1:$I$89,3,0)*VLOOKUP('Données projet'!$B$16,Paramètres!$A$1:$I$89,5,0)</f>
        <v>104.87193600000001</v>
      </c>
      <c r="FG34" s="14">
        <f t="shared" si="47"/>
        <v>28.119436246466876</v>
      </c>
      <c r="FH34" s="22">
        <f t="shared" si="22"/>
        <v>231.62663999592982</v>
      </c>
      <c r="FI34" s="60">
        <f t="shared" si="23"/>
        <v>471.67476320874738</v>
      </c>
      <c r="FJ34" s="60">
        <f ca="1">AVERAGE(OFFSET($FI$3,0,0,'Données projet'!$E$16+1,1))-AVERAGE(OFFSET($H$3,0,0,'Données projet'!$E$16+1,1))</f>
        <v>341.66430955115521</v>
      </c>
      <c r="FK34" s="60">
        <f t="shared" si="48"/>
        <v>366.15174925159192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10.780000000000001</v>
      </c>
      <c r="FZ34" s="13">
        <f>IF('Données projet'!$A$244&gt;35,FZ33+FY34-GH33,IF(A34&lt;'Données projet'!$A$244,$FW$205^A34,IF(A34='Données projet'!$A$244,'Données projet'!$B$244,FZ33+FY34-GH33)))</f>
        <v>129.28</v>
      </c>
      <c r="GA34" s="18">
        <f>FZ34*VLOOKUP('Données projet'!$B$17,Paramètres!$A$1:$I$89,3,0)*VLOOKUP('Données projet'!$B$17,Paramètres!$A$1:$I$89,5,0)</f>
        <v>94.788095999999996</v>
      </c>
      <c r="GB34" s="14">
        <f t="shared" si="49"/>
        <v>25.716491783608316</v>
      </c>
      <c r="GC34" s="22">
        <f t="shared" si="25"/>
        <v>209.87882372311779</v>
      </c>
      <c r="GD34" s="60">
        <f t="shared" si="26"/>
        <v>449.92694693593535</v>
      </c>
      <c r="GE34" s="60">
        <f ca="1">AVERAGE(OFFSET($GD$3,0,0,'Données projet'!$E$17+1,1))-AVERAGE(OFFSET($H$3,0,0,'Données projet'!$E$17+1,1))</f>
        <v>314.58662400031631</v>
      </c>
      <c r="GF34" s="60">
        <f t="shared" si="50"/>
        <v>336.99073123405981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4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93.288000000000011</v>
      </c>
      <c r="P35" s="14">
        <f t="shared" si="33"/>
        <v>25.356547829040977</v>
      </c>
      <c r="Q35" s="22">
        <f t="shared" ref="Q35:Q66" si="53">(O35+P35)*0.475*44/12</f>
        <v>206.63925413557971</v>
      </c>
      <c r="R35" s="60">
        <f t="shared" si="0"/>
        <v>447.61175661610503</v>
      </c>
      <c r="S35" s="60">
        <f ca="1">AVERAGE(OFFSET($R$3,0,0,'Données projet'!$E$9+1,1))-AVERAGE(OFFSET($H$3,0,0,'Données projet'!$E$9+1,1))</f>
        <v>516.30971934066179</v>
      </c>
      <c r="T35" s="60">
        <f t="shared" si="34"/>
        <v>290.84286505723571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6.7948717948717956</v>
      </c>
      <c r="AI35" s="14">
        <f>IF('Données projet'!$A$62&gt;35,AI34+AH35-AQ34,IF(A35&lt;'Données projet'!$A$62,$AF$205^A35,IF(A35='Données projet'!$A$62,'Données projet'!$B$62,AI34+AH35-AQ34)))</f>
        <v>111.02564102564099</v>
      </c>
      <c r="AJ35" s="14">
        <f>AI35*VLOOKUP('Données projet'!$B$10,Paramètres!$A$1:$I$89,3,0)*VLOOKUP('Données projet'!$B$10,Paramètres!$A$1:$I$89,5,0)</f>
        <v>116.04399999999997</v>
      </c>
      <c r="AK35" s="14">
        <f t="shared" si="35"/>
        <v>30.750534860350001</v>
      </c>
      <c r="AL35" s="22">
        <f t="shared" si="4"/>
        <v>255.66714821510956</v>
      </c>
      <c r="AM35" s="60">
        <f t="shared" si="5"/>
        <v>496.63965069563488</v>
      </c>
      <c r="AN35" s="60">
        <f ca="1">AVERAGE(OFFSET($AM$3,0,0,'Données projet'!$E$10+1,1))-AVERAGE(OFFSET($H$3,0,0,'Données projet'!$E$10+1,1))</f>
        <v>529.00505223594837</v>
      </c>
      <c r="AO35" s="60">
        <f t="shared" si="36"/>
        <v>321.23004033257985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10.780000000000001</v>
      </c>
      <c r="BD35" s="13">
        <f>IF('Données projet'!$A$88&gt;35,BD34+BC35-BL34,IF(A35&lt;'Données projet'!$A$88,$BA$205^A35,IF(A35='Données projet'!$A$88,'Données projet'!$B$88,BD34+BC35-BL34)))</f>
        <v>140.06</v>
      </c>
      <c r="BE35" s="14">
        <f>BD35*VLOOKUP('Données projet'!$B$11,Paramètres!$A$1:$I$89,3,0)*VLOOKUP('Données projet'!$B$11,Paramètres!$A$1:$I$89,5,0)</f>
        <v>122.35641600000002</v>
      </c>
      <c r="BF35" s="14">
        <f t="shared" si="37"/>
        <v>32.223971060704159</v>
      </c>
      <c r="BG35" s="22">
        <f t="shared" si="7"/>
        <v>269.22750746405978</v>
      </c>
      <c r="BH35" s="60">
        <f t="shared" si="8"/>
        <v>510.20000994458508</v>
      </c>
      <c r="BI35" s="60">
        <f ca="1">AVERAGE(OFFSET($BH$3,0,0,'Données projet'!$E$11+1,1))-AVERAGE(OFFSET($H$3,0,0,'Données projet'!$E$11+1,1))</f>
        <v>363.28611056308665</v>
      </c>
      <c r="BJ35" s="60">
        <f t="shared" si="38"/>
        <v>389.43647559455974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99.028800000000004</v>
      </c>
      <c r="CA35" s="14">
        <f t="shared" si="39"/>
        <v>26.730491283721712</v>
      </c>
      <c r="CB35" s="22">
        <f t="shared" si="10"/>
        <v>219.03076565248196</v>
      </c>
      <c r="CC35" s="60">
        <f t="shared" si="11"/>
        <v>460.00326813300728</v>
      </c>
      <c r="CD35" s="60">
        <f ca="1">AVERAGE(OFFSET($CC$3,0,0,'Données projet'!$E$12+1,1))-AVERAGE(OFFSET($H$3,0,0,'Données projet'!$E$12+1,1))</f>
        <v>542.90832990875208</v>
      </c>
      <c r="CE35" s="60">
        <f t="shared" si="40"/>
        <v>304.94365539329362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8.9230769230769198</v>
      </c>
      <c r="CT35" s="13">
        <f>IF('Données projet'!$A$140&gt;35,CT34+CS35-DB34,IF(A35&lt;'Données projet'!$A$140,$CQ$205^A35,IF(A35='Données projet'!$A$140,'Données projet'!$B$140,CT34+CS35-DB34)))</f>
        <v>121.12307692307691</v>
      </c>
      <c r="CU35" s="18">
        <f>CT35*VLOOKUP('Données projet'!$B$13,Paramètres!$A$1:$I$89,3,0)*VLOOKUP('Données projet'!$B$13,Paramètres!$A$1:$I$89,5,0)</f>
        <v>56.685599999999994</v>
      </c>
      <c r="CV35" s="14">
        <f t="shared" si="41"/>
        <v>16.327533552386551</v>
      </c>
      <c r="CW35" s="22">
        <f t="shared" si="13"/>
        <v>127.16454093707324</v>
      </c>
      <c r="CX35" s="60">
        <f t="shared" si="14"/>
        <v>368.13704341759853</v>
      </c>
      <c r="CY35" s="60">
        <f ca="1">AVERAGE(OFFSET($CX$3,0,0,'Données projet'!$E$13+1,1))-AVERAGE(OFFSET($H$3,0,0,'Données projet'!$E$13+1,1))</f>
        <v>277.77877239988635</v>
      </c>
      <c r="CZ35" s="60">
        <f t="shared" si="42"/>
        <v>164.65640238394164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5.1282051282051295</v>
      </c>
      <c r="DO35" s="13">
        <f>IF('Données projet'!$A$166&gt;35,DO34+DN35-DW34,IF(A35&lt;'Données projet'!$A$166,$DL$205^A35,IF(A35='Données projet'!$A$166,'Données projet'!$B$166,DO34+DN35-DW34)))</f>
        <v>78.205128205128204</v>
      </c>
      <c r="DP35" s="18">
        <f>DO35*VLOOKUP('Données projet'!$B$14,Paramètres!$A$1:$I$89,3,0)*VLOOKUP('Données projet'!$B$14,Paramètres!$A$1:$I$89,5,0)</f>
        <v>67.100000000000009</v>
      </c>
      <c r="DQ35" s="14">
        <f t="shared" si="43"/>
        <v>18.951521551469028</v>
      </c>
      <c r="DR35" s="22">
        <f t="shared" si="16"/>
        <v>149.87306670214187</v>
      </c>
      <c r="DS35" s="60">
        <f t="shared" si="17"/>
        <v>390.84556918266719</v>
      </c>
      <c r="DT35" s="60">
        <f ca="1">AVERAGE(OFFSET($DS$3,0,0,'Données projet'!$E$14+1,1))-AVERAGE(OFFSET($H$3,0,0,'Données projet'!$E$14+1,1))</f>
        <v>354.30160274624632</v>
      </c>
      <c r="DU35" s="60">
        <f t="shared" si="44"/>
        <v>218.8005329382452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</v>
      </c>
      <c r="EJ35" s="13">
        <f>IF('Données projet'!$A$192&gt;35,EJ34+EI35-ER34,IF(A35&lt;'Données projet'!$A$192,$EG$205^A35,IF(A35='Données projet'!$A$192,'Données projet'!$B$192,EJ34+EI35-ER34)))</f>
        <v>92</v>
      </c>
      <c r="EK35" s="18">
        <f>EJ35*VLOOKUP('Données projet'!$B$15,Paramètres!$A$1:$I$89,3,0)*VLOOKUP('Données projet'!$B$15,Paramètres!$A$1:$I$89,5,0)</f>
        <v>88.982399999999998</v>
      </c>
      <c r="EL35" s="14">
        <f t="shared" si="45"/>
        <v>24.31964219550628</v>
      </c>
      <c r="EM35" s="22">
        <f t="shared" si="19"/>
        <v>197.3343901571734</v>
      </c>
      <c r="EN35" s="60">
        <f t="shared" si="20"/>
        <v>438.30689263769875</v>
      </c>
      <c r="EO35" s="60">
        <f ca="1">AVERAGE(OFFSET($EN$3,0,0,'Données projet'!$E$15+1,1))-AVERAGE(OFFSET($H$3,0,0,'Données projet'!$E$15+1,1))</f>
        <v>496.33873798282525</v>
      </c>
      <c r="EP35" s="60">
        <f t="shared" si="46"/>
        <v>280.25465074992246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10.780000000000001</v>
      </c>
      <c r="FE35" s="13">
        <f>IF('Données projet'!$A$218&gt;35,FE34+FD35-FM34,IF(A35&lt;'Données projet'!$A$218,$FB$205^A35,IF(A35='Données projet'!$A$218,'Données projet'!$B$218,FE34+FD35-FM34)))</f>
        <v>140.06</v>
      </c>
      <c r="FF35" s="18">
        <f>FE35*VLOOKUP('Données projet'!$B$16,Paramètres!$A$1:$I$89,3,0)*VLOOKUP('Données projet'!$B$16,Paramètres!$A$1:$I$89,5,0)</f>
        <v>113.61667200000002</v>
      </c>
      <c r="FG35" s="14">
        <f t="shared" si="47"/>
        <v>30.181489749770275</v>
      </c>
      <c r="FH35" s="22">
        <f t="shared" si="22"/>
        <v>250.44846504751658</v>
      </c>
      <c r="FI35" s="60">
        <f t="shared" si="23"/>
        <v>491.4209675280419</v>
      </c>
      <c r="FJ35" s="60">
        <f ca="1">AVERAGE(OFFSET($FI$3,0,0,'Données projet'!$E$16+1,1))-AVERAGE(OFFSET($H$3,0,0,'Données projet'!$E$16+1,1))</f>
        <v>341.66430955115521</v>
      </c>
      <c r="FK35" s="60">
        <f t="shared" si="48"/>
        <v>366.15174925159192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10.780000000000001</v>
      </c>
      <c r="FZ35" s="13">
        <f>IF('Données projet'!$A$244&gt;35,FZ34+FY35-GH34,IF(A35&lt;'Données projet'!$A$244,$FW$205^A35,IF(A35='Données projet'!$A$244,'Données projet'!$B$244,FZ34+FY35-GH34)))</f>
        <v>140.06</v>
      </c>
      <c r="GA35" s="18">
        <f>FZ35*VLOOKUP('Données projet'!$B$17,Paramètres!$A$1:$I$89,3,0)*VLOOKUP('Données projet'!$B$17,Paramètres!$A$1:$I$89,5,0)</f>
        <v>102.691992</v>
      </c>
      <c r="GB35" s="14">
        <f t="shared" si="49"/>
        <v>27.602332648633649</v>
      </c>
      <c r="GC35" s="22">
        <f t="shared" si="25"/>
        <v>226.92928209637023</v>
      </c>
      <c r="GD35" s="60">
        <f t="shared" si="26"/>
        <v>467.90178457689558</v>
      </c>
      <c r="GE35" s="60">
        <f ca="1">AVERAGE(OFFSET($GD$3,0,0,'Données projet'!$E$17+1,1))-AVERAGE(OFFSET($H$3,0,0,'Données projet'!$E$17+1,1))</f>
        <v>314.58662400031631</v>
      </c>
      <c r="GF35" s="60">
        <f t="shared" si="50"/>
        <v>336.99073123405981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4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101.4</v>
      </c>
      <c r="P36" s="14">
        <f t="shared" si="33"/>
        <v>27.295257887453797</v>
      </c>
      <c r="Q36" s="22">
        <f t="shared" si="53"/>
        <v>224.14424082064872</v>
      </c>
      <c r="R36" s="60">
        <f t="shared" si="0"/>
        <v>466.02508665518945</v>
      </c>
      <c r="S36" s="60">
        <f ca="1">AVERAGE(OFFSET($R$3,0,0,'Données projet'!$E$9+1,1))-AVERAGE(OFFSET($H$3,0,0,'Données projet'!$E$9+1,1))</f>
        <v>516.30971934066179</v>
      </c>
      <c r="T36" s="60">
        <f t="shared" si="34"/>
        <v>290.84286505723571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6.7948717948717956</v>
      </c>
      <c r="AI36" s="14">
        <f>IF('Données projet'!$A$62&gt;35,AI35+AH36-AQ35,IF(A36&lt;'Données projet'!$A$62,$AF$205^A36,IF(A36='Données projet'!$A$62,'Données projet'!$B$62,AI35+AH36-AQ35)))</f>
        <v>117.82051282051279</v>
      </c>
      <c r="AJ36" s="14">
        <f>AI36*VLOOKUP('Données projet'!$B$10,Paramètres!$A$1:$I$89,3,0)*VLOOKUP('Données projet'!$B$10,Paramètres!$A$1:$I$89,5,0)</f>
        <v>123.14599999999997</v>
      </c>
      <c r="AK36" s="14">
        <f t="shared" si="35"/>
        <v>32.407643337050729</v>
      </c>
      <c r="AL36" s="22">
        <f t="shared" si="4"/>
        <v>270.92259547869656</v>
      </c>
      <c r="AM36" s="60">
        <f t="shared" si="5"/>
        <v>512.80344131323727</v>
      </c>
      <c r="AN36" s="60">
        <f ca="1">AVERAGE(OFFSET($AM$3,0,0,'Données projet'!$E$10+1,1))-AVERAGE(OFFSET($H$3,0,0,'Données projet'!$E$10+1,1))</f>
        <v>529.00505223594837</v>
      </c>
      <c r="AO36" s="60">
        <f t="shared" si="36"/>
        <v>321.23004033257985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10.780000000000001</v>
      </c>
      <c r="BD36" s="13">
        <f>IF('Données projet'!$A$88&gt;35,BD35+BC36-BL35,IF(A36&lt;'Données projet'!$A$88,$BA$205^A36,IF(A36='Données projet'!$A$88,'Données projet'!$B$88,BD35+BC36-BL35)))</f>
        <v>150.84</v>
      </c>
      <c r="BE36" s="14">
        <f>BD36*VLOOKUP('Données projet'!$B$11,Paramètres!$A$1:$I$89,3,0)*VLOOKUP('Données projet'!$B$11,Paramètres!$A$1:$I$89,5,0)</f>
        <v>131.77382400000002</v>
      </c>
      <c r="BF36" s="14">
        <f t="shared" si="37"/>
        <v>34.405914123082425</v>
      </c>
      <c r="BG36" s="22">
        <f t="shared" si="7"/>
        <v>289.42971056436858</v>
      </c>
      <c r="BH36" s="60">
        <f t="shared" si="8"/>
        <v>531.31055639890928</v>
      </c>
      <c r="BI36" s="60">
        <f ca="1">AVERAGE(OFFSET($BH$3,0,0,'Données projet'!$E$11+1,1))-AVERAGE(OFFSET($H$3,0,0,'Données projet'!$E$11+1,1))</f>
        <v>363.28611056308665</v>
      </c>
      <c r="BJ36" s="60">
        <f t="shared" si="38"/>
        <v>389.43647559455974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107.64</v>
      </c>
      <c r="CA36" s="14">
        <f t="shared" si="39"/>
        <v>28.774250263353583</v>
      </c>
      <c r="CB36" s="22">
        <f t="shared" si="10"/>
        <v>237.58815254200749</v>
      </c>
      <c r="CC36" s="60">
        <f t="shared" si="11"/>
        <v>479.46899837654826</v>
      </c>
      <c r="CD36" s="60">
        <f ca="1">AVERAGE(OFFSET($CC$3,0,0,'Données projet'!$E$12+1,1))-AVERAGE(OFFSET($H$3,0,0,'Données projet'!$E$12+1,1))</f>
        <v>542.90832990875208</v>
      </c>
      <c r="CE36" s="60">
        <f t="shared" si="40"/>
        <v>304.94365539329362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8.9230769230769198</v>
      </c>
      <c r="CT36" s="13">
        <f>IF('Données projet'!$A$140&gt;35,CT35+CS36-DB35,IF(A36&lt;'Données projet'!$A$140,$CQ$205^A36,IF(A36='Données projet'!$A$140,'Données projet'!$B$140,CT35+CS36-DB35)))</f>
        <v>130.04615384615383</v>
      </c>
      <c r="CU36" s="18">
        <f>CT36*VLOOKUP('Données projet'!$B$13,Paramètres!$A$1:$I$89,3,0)*VLOOKUP('Données projet'!$B$13,Paramètres!$A$1:$I$89,5,0)</f>
        <v>60.861599999999989</v>
      </c>
      <c r="CV36" s="14">
        <f t="shared" si="41"/>
        <v>17.385927430951966</v>
      </c>
      <c r="CW36" s="22">
        <f t="shared" si="13"/>
        <v>136.28111027557466</v>
      </c>
      <c r="CX36" s="60">
        <f t="shared" si="14"/>
        <v>378.1619561101154</v>
      </c>
      <c r="CY36" s="60">
        <f ca="1">AVERAGE(OFFSET($CX$3,0,0,'Données projet'!$E$13+1,1))-AVERAGE(OFFSET($H$3,0,0,'Données projet'!$E$13+1,1))</f>
        <v>277.77877239988635</v>
      </c>
      <c r="CZ36" s="60">
        <f t="shared" si="42"/>
        <v>164.65640238394164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5.1282051282051295</v>
      </c>
      <c r="DO36" s="13">
        <f>IF('Données projet'!$A$166&gt;35,DO35+DN36-DW35,IF(A36&lt;'Données projet'!$A$166,$DL$205^A36,IF(A36='Données projet'!$A$166,'Données projet'!$B$166,DO35+DN36-DW35)))</f>
        <v>83.333333333333329</v>
      </c>
      <c r="DP36" s="18">
        <f>DO36*VLOOKUP('Données projet'!$B$14,Paramètres!$A$1:$I$89,3,0)*VLOOKUP('Données projet'!$B$14,Paramètres!$A$1:$I$89,5,0)</f>
        <v>71.5</v>
      </c>
      <c r="DQ36" s="14">
        <f t="shared" si="43"/>
        <v>20.045499536853356</v>
      </c>
      <c r="DR36" s="22">
        <f t="shared" si="16"/>
        <v>159.44174502668625</v>
      </c>
      <c r="DS36" s="60">
        <f t="shared" si="17"/>
        <v>401.32259086122701</v>
      </c>
      <c r="DT36" s="60">
        <f ca="1">AVERAGE(OFFSET($DS$3,0,0,'Données projet'!$E$14+1,1))-AVERAGE(OFFSET($H$3,0,0,'Données projet'!$E$14+1,1))</f>
        <v>354.30160274624632</v>
      </c>
      <c r="DU36" s="60">
        <f t="shared" si="44"/>
        <v>218.8005329382452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</v>
      </c>
      <c r="EJ36" s="13">
        <f>IF('Données projet'!$A$192&gt;35,EJ35+EI36-ER35,IF(A36&lt;'Données projet'!$A$192,$EG$205^A36,IF(A36='Données projet'!$A$192,'Données projet'!$B$192,EJ35+EI36-ER35)))</f>
        <v>100</v>
      </c>
      <c r="EK36" s="18">
        <f>EJ36*VLOOKUP('Données projet'!$B$15,Paramètres!$A$1:$I$89,3,0)*VLOOKUP('Données projet'!$B$15,Paramètres!$A$1:$I$89,5,0)</f>
        <v>96.72</v>
      </c>
      <c r="EL36" s="14">
        <f t="shared" si="45"/>
        <v>26.179072558792139</v>
      </c>
      <c r="EM36" s="22">
        <f t="shared" si="19"/>
        <v>214.04921803989632</v>
      </c>
      <c r="EN36" s="60">
        <f t="shared" si="20"/>
        <v>455.93006387443705</v>
      </c>
      <c r="EO36" s="60">
        <f ca="1">AVERAGE(OFFSET($EN$3,0,0,'Données projet'!$E$15+1,1))-AVERAGE(OFFSET($H$3,0,0,'Données projet'!$E$15+1,1))</f>
        <v>496.33873798282525</v>
      </c>
      <c r="EP36" s="60">
        <f t="shared" si="46"/>
        <v>280.25465074992246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10.780000000000001</v>
      </c>
      <c r="FE36" s="13">
        <f>IF('Données projet'!$A$218&gt;35,FE35+FD36-FM35,IF(A36&lt;'Données projet'!$A$218,$FB$205^A36,IF(A36='Données projet'!$A$218,'Données projet'!$B$218,FE35+FD36-FM35)))</f>
        <v>150.84</v>
      </c>
      <c r="FF36" s="18">
        <f>FE36*VLOOKUP('Données projet'!$B$16,Paramètres!$A$1:$I$89,3,0)*VLOOKUP('Données projet'!$B$16,Paramètres!$A$1:$I$89,5,0)</f>
        <v>122.36140800000001</v>
      </c>
      <c r="FG36" s="14">
        <f t="shared" si="47"/>
        <v>32.225132727468257</v>
      </c>
      <c r="FH36" s="22">
        <f t="shared" si="22"/>
        <v>269.23822510034057</v>
      </c>
      <c r="FI36" s="60">
        <f t="shared" si="23"/>
        <v>511.11907093488128</v>
      </c>
      <c r="FJ36" s="60">
        <f ca="1">AVERAGE(OFFSET($FI$3,0,0,'Données projet'!$E$16+1,1))-AVERAGE(OFFSET($H$3,0,0,'Données projet'!$E$16+1,1))</f>
        <v>341.66430955115521</v>
      </c>
      <c r="FK36" s="60">
        <f t="shared" si="48"/>
        <v>366.15174925159192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10.780000000000001</v>
      </c>
      <c r="FZ36" s="13">
        <f>IF('Données projet'!$A$244&gt;35,FZ35+FY36-GH35,IF(A36&lt;'Données projet'!$A$244,$FW$205^A36,IF(A36='Données projet'!$A$244,'Données projet'!$B$244,FZ35+FY36-GH35)))</f>
        <v>150.84</v>
      </c>
      <c r="GA36" s="18">
        <f>FZ36*VLOOKUP('Données projet'!$B$17,Paramètres!$A$1:$I$89,3,0)*VLOOKUP('Données projet'!$B$17,Paramètres!$A$1:$I$89,5,0)</f>
        <v>110.59588800000002</v>
      </c>
      <c r="GB36" s="14">
        <f t="shared" si="49"/>
        <v>29.471336258234906</v>
      </c>
      <c r="GC36" s="22">
        <f t="shared" si="25"/>
        <v>243.95041558309245</v>
      </c>
      <c r="GD36" s="60">
        <f t="shared" si="26"/>
        <v>485.83126141763319</v>
      </c>
      <c r="GE36" s="60">
        <f ca="1">AVERAGE(OFFSET($GD$3,0,0,'Données projet'!$E$17+1,1))-AVERAGE(OFFSET($H$3,0,0,'Données projet'!$E$17+1,1))</f>
        <v>314.58662400031631</v>
      </c>
      <c r="GF36" s="60">
        <f t="shared" si="50"/>
        <v>336.99073123405981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4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109.51200000000001</v>
      </c>
      <c r="P37" s="14">
        <f t="shared" si="33"/>
        <v>29.215978230632555</v>
      </c>
      <c r="Q37" s="22">
        <f t="shared" si="53"/>
        <v>241.61789541835174</v>
      </c>
      <c r="R37" s="60">
        <f t="shared" si="0"/>
        <v>484.39132688046732</v>
      </c>
      <c r="S37" s="60">
        <f ca="1">AVERAGE(OFFSET($R$3,0,0,'Données projet'!$E$9+1,1))-AVERAGE(OFFSET($H$3,0,0,'Données projet'!$E$9+1,1))</f>
        <v>516.30971934066179</v>
      </c>
      <c r="T37" s="60">
        <f t="shared" si="34"/>
        <v>290.84286505723571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6.7948717948717956</v>
      </c>
      <c r="AI37" s="14">
        <f>IF('Données projet'!$A$62&gt;35,AI36+AH37-AQ36,IF(A37&lt;'Données projet'!$A$62,$AF$205^A37,IF(A37='Données projet'!$A$62,'Données projet'!$B$62,AI36+AH37-AQ36)))</f>
        <v>124.61538461538458</v>
      </c>
      <c r="AJ37" s="14">
        <f>AI37*VLOOKUP('Données projet'!$B$10,Paramètres!$A$1:$I$89,3,0)*VLOOKUP('Données projet'!$B$10,Paramètres!$A$1:$I$89,5,0)</f>
        <v>130.24799999999999</v>
      </c>
      <c r="AK37" s="14">
        <f t="shared" si="35"/>
        <v>34.053658492903352</v>
      </c>
      <c r="AL37" s="22">
        <f t="shared" si="4"/>
        <v>286.15872187513997</v>
      </c>
      <c r="AM37" s="60">
        <f t="shared" si="5"/>
        <v>528.93215333725561</v>
      </c>
      <c r="AN37" s="60">
        <f ca="1">AVERAGE(OFFSET($AM$3,0,0,'Données projet'!$E$10+1,1))-AVERAGE(OFFSET($H$3,0,0,'Données projet'!$E$10+1,1))</f>
        <v>529.00505223594837</v>
      </c>
      <c r="AO37" s="60">
        <f t="shared" si="36"/>
        <v>321.23004033257985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10.780000000000001</v>
      </c>
      <c r="BD37" s="13">
        <f>IF('Données projet'!$A$88&gt;35,BD36+BC37-BL36,IF(A37&lt;'Données projet'!$A$88,$BA$205^A37,IF(A37='Données projet'!$A$88,'Données projet'!$B$88,BD36+BC37-BL36)))</f>
        <v>161.62</v>
      </c>
      <c r="BE37" s="14">
        <f>BD37*VLOOKUP('Données projet'!$B$11,Paramètres!$A$1:$I$89,3,0)*VLOOKUP('Données projet'!$B$11,Paramètres!$A$1:$I$89,5,0)</f>
        <v>141.19123200000001</v>
      </c>
      <c r="BF37" s="14">
        <f t="shared" si="37"/>
        <v>36.569765303686403</v>
      </c>
      <c r="BG37" s="22">
        <f t="shared" si="7"/>
        <v>309.60040363725381</v>
      </c>
      <c r="BH37" s="60">
        <f t="shared" si="8"/>
        <v>552.37383509936944</v>
      </c>
      <c r="BI37" s="60">
        <f ca="1">AVERAGE(OFFSET($BH$3,0,0,'Données projet'!$E$11+1,1))-AVERAGE(OFFSET($H$3,0,0,'Données projet'!$E$11+1,1))</f>
        <v>363.28611056308665</v>
      </c>
      <c r="BJ37" s="60">
        <f t="shared" si="38"/>
        <v>389.43647559455974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116.2512</v>
      </c>
      <c r="CA37" s="14">
        <f t="shared" si="39"/>
        <v>30.799044755804328</v>
      </c>
      <c r="CB37" s="22">
        <f t="shared" si="10"/>
        <v>256.1125096163592</v>
      </c>
      <c r="CC37" s="60">
        <f t="shared" si="11"/>
        <v>498.88594107847479</v>
      </c>
      <c r="CD37" s="60">
        <f ca="1">AVERAGE(OFFSET($CC$3,0,0,'Données projet'!$E$12+1,1))-AVERAGE(OFFSET($H$3,0,0,'Données projet'!$E$12+1,1))</f>
        <v>542.90832990875208</v>
      </c>
      <c r="CE37" s="60">
        <f t="shared" si="40"/>
        <v>304.94365539329362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8.9230769230769198</v>
      </c>
      <c r="CT37" s="13">
        <f>IF('Données projet'!$A$140&gt;35,CT36+CS37-DB36,IF(A37&lt;'Données projet'!$A$140,$CQ$205^A37,IF(A37='Données projet'!$A$140,'Données projet'!$B$140,CT36+CS37-DB36)))</f>
        <v>138.96923076923076</v>
      </c>
      <c r="CU37" s="18">
        <f>CT37*VLOOKUP('Données projet'!$B$13,Paramètres!$A$1:$I$89,3,0)*VLOOKUP('Données projet'!$B$13,Paramètres!$A$1:$I$89,5,0)</f>
        <v>65.037599999999998</v>
      </c>
      <c r="CV37" s="14">
        <f t="shared" si="41"/>
        <v>18.435894871955274</v>
      </c>
      <c r="CW37" s="22">
        <f t="shared" si="13"/>
        <v>145.38300356865543</v>
      </c>
      <c r="CX37" s="60">
        <f t="shared" si="14"/>
        <v>388.15643503077104</v>
      </c>
      <c r="CY37" s="60">
        <f ca="1">AVERAGE(OFFSET($CX$3,0,0,'Données projet'!$E$13+1,1))-AVERAGE(OFFSET($H$3,0,0,'Données projet'!$E$13+1,1))</f>
        <v>277.77877239988635</v>
      </c>
      <c r="CZ37" s="60">
        <f t="shared" si="42"/>
        <v>164.65640238394164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5.1282051282051295</v>
      </c>
      <c r="DO37" s="13">
        <f>IF('Données projet'!$A$166&gt;35,DO36+DN37-DW36,IF(A37&lt;'Données projet'!$A$166,$DL$205^A37,IF(A37='Données projet'!$A$166,'Données projet'!$B$166,DO36+DN37-DW36)))</f>
        <v>88.461538461538453</v>
      </c>
      <c r="DP37" s="18">
        <f>DO37*VLOOKUP('Données projet'!$B$14,Paramètres!$A$1:$I$89,3,0)*VLOOKUP('Données projet'!$B$14,Paramètres!$A$1:$I$89,5,0)</f>
        <v>75.900000000000006</v>
      </c>
      <c r="DQ37" s="14">
        <f t="shared" si="43"/>
        <v>21.131664068009382</v>
      </c>
      <c r="DR37" s="22">
        <f t="shared" si="16"/>
        <v>168.99681491844967</v>
      </c>
      <c r="DS37" s="60">
        <f t="shared" si="17"/>
        <v>411.77024638056525</v>
      </c>
      <c r="DT37" s="60">
        <f ca="1">AVERAGE(OFFSET($DS$3,0,0,'Données projet'!$E$14+1,1))-AVERAGE(OFFSET($H$3,0,0,'Données projet'!$E$14+1,1))</f>
        <v>354.30160274624632</v>
      </c>
      <c r="DU37" s="60">
        <f t="shared" si="44"/>
        <v>218.8005329382452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</v>
      </c>
      <c r="EJ37" s="13">
        <f>IF('Données projet'!$A$192&gt;35,EJ36+EI37-ER36,IF(A37&lt;'Données projet'!$A$192,$EG$205^A37,IF(A37='Données projet'!$A$192,'Données projet'!$B$192,EJ36+EI37-ER36)))</f>
        <v>108</v>
      </c>
      <c r="EK37" s="18">
        <f>EJ37*VLOOKUP('Données projet'!$B$15,Paramètres!$A$1:$I$89,3,0)*VLOOKUP('Données projet'!$B$15,Paramètres!$A$1:$I$89,5,0)</f>
        <v>104.4576</v>
      </c>
      <c r="EL37" s="14">
        <f t="shared" si="45"/>
        <v>28.021248860498272</v>
      </c>
      <c r="EM37" s="22">
        <f t="shared" si="19"/>
        <v>230.73399509870114</v>
      </c>
      <c r="EN37" s="60">
        <f t="shared" si="20"/>
        <v>473.50742656081673</v>
      </c>
      <c r="EO37" s="60">
        <f ca="1">AVERAGE(OFFSET($EN$3,0,0,'Données projet'!$E$15+1,1))-AVERAGE(OFFSET($H$3,0,0,'Données projet'!$E$15+1,1))</f>
        <v>496.33873798282525</v>
      </c>
      <c r="EP37" s="60">
        <f t="shared" si="46"/>
        <v>280.25465074992246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10.780000000000001</v>
      </c>
      <c r="FE37" s="13">
        <f>IF('Données projet'!$A$218&gt;35,FE36+FD37-FM36,IF(A37&lt;'Données projet'!$A$218,$FB$205^A37,IF(A37='Données projet'!$A$218,'Données projet'!$B$218,FE36+FD37-FM36)))</f>
        <v>161.62</v>
      </c>
      <c r="FF37" s="18">
        <f>FE37*VLOOKUP('Données projet'!$B$16,Paramètres!$A$1:$I$89,3,0)*VLOOKUP('Données projet'!$B$16,Paramètres!$A$1:$I$89,5,0)</f>
        <v>131.106144</v>
      </c>
      <c r="FG37" s="14">
        <f t="shared" si="47"/>
        <v>34.251830557614582</v>
      </c>
      <c r="FH37" s="22">
        <f t="shared" si="22"/>
        <v>287.99847235451199</v>
      </c>
      <c r="FI37" s="60">
        <f t="shared" si="23"/>
        <v>530.77190381662763</v>
      </c>
      <c r="FJ37" s="60">
        <f ca="1">AVERAGE(OFFSET($FI$3,0,0,'Données projet'!$E$16+1,1))-AVERAGE(OFFSET($H$3,0,0,'Données projet'!$E$16+1,1))</f>
        <v>341.66430955115521</v>
      </c>
      <c r="FK37" s="60">
        <f t="shared" si="48"/>
        <v>366.15174925159192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10.780000000000001</v>
      </c>
      <c r="FZ37" s="13">
        <f>IF('Données projet'!$A$244&gt;35,FZ36+FY37-GH36,IF(A37&lt;'Données projet'!$A$244,$FW$205^A37,IF(A37='Données projet'!$A$244,'Données projet'!$B$244,FZ36+FY37-GH36)))</f>
        <v>161.62</v>
      </c>
      <c r="GA37" s="18">
        <f>FZ37*VLOOKUP('Données projet'!$B$17,Paramètres!$A$1:$I$89,3,0)*VLOOKUP('Données projet'!$B$17,Paramètres!$A$1:$I$89,5,0)</f>
        <v>118.49978400000001</v>
      </c>
      <c r="GB37" s="14">
        <f t="shared" si="49"/>
        <v>31.324842766686455</v>
      </c>
      <c r="GC37" s="22">
        <f t="shared" si="25"/>
        <v>260.94455828531221</v>
      </c>
      <c r="GD37" s="60">
        <f t="shared" si="26"/>
        <v>503.71798974742779</v>
      </c>
      <c r="GE37" s="60">
        <f ca="1">AVERAGE(OFFSET($GD$3,0,0,'Données projet'!$E$17+1,1))-AVERAGE(OFFSET($H$3,0,0,'Données projet'!$E$17+1,1))</f>
        <v>314.58662400031631</v>
      </c>
      <c r="GF37" s="60">
        <f t="shared" si="50"/>
        <v>336.99073123405981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4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117.62400000000001</v>
      </c>
      <c r="P38" s="14">
        <f t="shared" si="33"/>
        <v>31.120192961985413</v>
      </c>
      <c r="Q38" s="22">
        <f t="shared" si="53"/>
        <v>259.06280274212457</v>
      </c>
      <c r="R38" s="60">
        <f t="shared" si="0"/>
        <v>502.71333546669905</v>
      </c>
      <c r="S38" s="60">
        <f ca="1">AVERAGE(OFFSET($R$3,0,0,'Données projet'!$E$9+1,1))-AVERAGE(OFFSET($H$3,0,0,'Données projet'!$E$9+1,1))</f>
        <v>516.30971934066179</v>
      </c>
      <c r="T38" s="60">
        <f t="shared" si="34"/>
        <v>290.84286505723571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131.41025641025641</v>
      </c>
      <c r="AG38" s="13">
        <f>VLOOKUP(A38,'Données projet'!$A$61:$I$81,9,0)</f>
        <v>6.7948717948717956</v>
      </c>
      <c r="AH38" s="13">
        <f t="array" ref="AH38">INDEX(AG:AG,MIN(IF(ISNUMBER(AG38:AG234),ROW(AG38:AG234),"")))</f>
        <v>6.7948717948717956</v>
      </c>
      <c r="AI38" s="14">
        <f>IF('Données projet'!$A$62&gt;35,AI37+AH38-AQ37,IF(A38&lt;'Données projet'!$A$62,$AF$205^A38,IF(A38='Données projet'!$A$62,'Données projet'!$B$62,AI37+AH38-AQ37)))</f>
        <v>131.41025641025638</v>
      </c>
      <c r="AJ38" s="14">
        <f>AI38*VLOOKUP('Données projet'!$B$10,Paramètres!$A$1:$I$89,3,0)*VLOOKUP('Données projet'!$B$10,Paramètres!$A$1:$I$89,5,0)</f>
        <v>137.35</v>
      </c>
      <c r="AK38" s="14">
        <f t="shared" si="35"/>
        <v>35.68925416600387</v>
      </c>
      <c r="AL38" s="22">
        <f t="shared" si="4"/>
        <v>301.37670100579004</v>
      </c>
      <c r="AM38" s="60">
        <f t="shared" si="5"/>
        <v>545.02723373036451</v>
      </c>
      <c r="AN38" s="60">
        <f ca="1">AVERAGE(OFFSET($AM$3,0,0,'Données projet'!$E$10+1,1))-AVERAGE(OFFSET($H$3,0,0,'Données projet'!$E$10+1,1))</f>
        <v>529.00505223594837</v>
      </c>
      <c r="AO38" s="60">
        <f t="shared" si="36"/>
        <v>321.23004033257985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172.4</v>
      </c>
      <c r="BB38" s="13">
        <f>VLOOKUP(A38,'Données projet'!$A$87:$I$107,9,0)</f>
        <v>10.780000000000001</v>
      </c>
      <c r="BC38" s="13">
        <f t="array" ref="BC38">INDEX(BB:BB,MIN(IF(ISNUMBER(BB38:BB234),ROW(BB38:BB234),"")))</f>
        <v>10.780000000000001</v>
      </c>
      <c r="BD38" s="13">
        <f>IF('Données projet'!$A$88&gt;35,BD37+BC38-BL37,IF(A38&lt;'Données projet'!$A$88,$BA$205^A38,IF(A38='Données projet'!$A$88,'Données projet'!$B$88,BD37+BC38-BL37)))</f>
        <v>172.4</v>
      </c>
      <c r="BE38" s="14">
        <f>BD38*VLOOKUP('Données projet'!$B$11,Paramètres!$A$1:$I$89,3,0)*VLOOKUP('Données projet'!$B$11,Paramètres!$A$1:$I$89,5,0)</f>
        <v>150.60864000000004</v>
      </c>
      <c r="BF38" s="14">
        <f t="shared" si="37"/>
        <v>38.716868630535288</v>
      </c>
      <c r="BG38" s="22">
        <f t="shared" si="7"/>
        <v>329.74192753151567</v>
      </c>
      <c r="BH38" s="60">
        <f t="shared" si="8"/>
        <v>573.3924602560902</v>
      </c>
      <c r="BI38" s="60">
        <f ca="1">AVERAGE(OFFSET($BH$3,0,0,'Données projet'!$E$11+1,1))-AVERAGE(OFFSET($H$3,0,0,'Données projet'!$E$11+1,1))</f>
        <v>363.28611056308665</v>
      </c>
      <c r="BJ38" s="60">
        <f t="shared" si="38"/>
        <v>389.43647559455974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124.86239999999999</v>
      </c>
      <c r="CA38" s="14">
        <f t="shared" si="39"/>
        <v>32.806439280561598</v>
      </c>
      <c r="CB38" s="22">
        <f t="shared" si="10"/>
        <v>274.60656174697812</v>
      </c>
      <c r="CC38" s="60">
        <f t="shared" si="11"/>
        <v>518.25709447155259</v>
      </c>
      <c r="CD38" s="60">
        <f ca="1">AVERAGE(OFFSET($CC$3,0,0,'Données projet'!$E$12+1,1))-AVERAGE(OFFSET($H$3,0,0,'Données projet'!$E$12+1,1))</f>
        <v>542.90832990875208</v>
      </c>
      <c r="CE38" s="60">
        <f t="shared" si="40"/>
        <v>304.94365539329362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147.89230769230767</v>
      </c>
      <c r="CR38" s="13">
        <f>VLOOKUP(A38,'Données projet'!$A$139:$I$159,9,0)</f>
        <v>8.9230769230769198</v>
      </c>
      <c r="CS38" s="13">
        <f t="array" ref="CS38">INDEX(CR:CR,MIN(IF(ISNUMBER(CR38:CR234),ROW(CR38:CR234),"")))</f>
        <v>8.9230769230769198</v>
      </c>
      <c r="CT38" s="13">
        <f>IF('Données projet'!$A$140&gt;35,CT37+CS38-DB37,IF(A38&lt;'Données projet'!$A$140,$CQ$205^A38,IF(A38='Données projet'!$A$140,'Données projet'!$B$140,CT37+CS38-DB37)))</f>
        <v>147.89230769230767</v>
      </c>
      <c r="CU38" s="18">
        <f>CT38*VLOOKUP('Données projet'!$B$13,Paramètres!$A$1:$I$89,3,0)*VLOOKUP('Données projet'!$B$13,Paramètres!$A$1:$I$89,5,0)</f>
        <v>69.213599999999985</v>
      </c>
      <c r="CV38" s="14">
        <f t="shared" si="41"/>
        <v>19.478038510077166</v>
      </c>
      <c r="CW38" s="22">
        <f t="shared" si="13"/>
        <v>154.47127040505103</v>
      </c>
      <c r="CX38" s="60">
        <f t="shared" si="14"/>
        <v>398.1218031296255</v>
      </c>
      <c r="CY38" s="60">
        <f ca="1">AVERAGE(OFFSET($CX$3,0,0,'Données projet'!$E$13+1,1))-AVERAGE(OFFSET($H$3,0,0,'Données projet'!$E$13+1,1))</f>
        <v>277.77877239988635</v>
      </c>
      <c r="CZ38" s="60">
        <f t="shared" si="42"/>
        <v>164.65640238394164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93.589743589743591</v>
      </c>
      <c r="DM38" s="13">
        <f>VLOOKUP(A38,'Données projet'!$A$165:$I$185,9,0)</f>
        <v>5.1282051282051295</v>
      </c>
      <c r="DN38" s="13">
        <f t="array" ref="DN38">INDEX(DM:DM,MIN(IF(ISNUMBER(DM38:DM234),ROW(DM38:DM234),"")))</f>
        <v>5.1282051282051295</v>
      </c>
      <c r="DO38" s="13">
        <f>IF('Données projet'!$A$166&gt;35,DO37+DN38-DW37,IF(A38&lt;'Données projet'!$A$166,$DL$205^A38,IF(A38='Données projet'!$A$166,'Données projet'!$B$166,DO37+DN38-DW37)))</f>
        <v>93.589743589743577</v>
      </c>
      <c r="DP38" s="18">
        <f>DO38*VLOOKUP('Données projet'!$B$14,Paramètres!$A$1:$I$89,3,0)*VLOOKUP('Données projet'!$B$14,Paramètres!$A$1:$I$89,5,0)</f>
        <v>80.3</v>
      </c>
      <c r="DQ38" s="14">
        <f t="shared" si="43"/>
        <v>22.21051970159008</v>
      </c>
      <c r="DR38" s="22">
        <f t="shared" si="16"/>
        <v>178.53915514693605</v>
      </c>
      <c r="DS38" s="60">
        <f t="shared" si="17"/>
        <v>422.18968787151056</v>
      </c>
      <c r="DT38" s="60">
        <f ca="1">AVERAGE(OFFSET($DS$3,0,0,'Données projet'!$E$14+1,1))-AVERAGE(OFFSET($H$3,0,0,'Données projet'!$E$14+1,1))</f>
        <v>354.30160274624632</v>
      </c>
      <c r="DU38" s="60">
        <f t="shared" si="44"/>
        <v>218.8005329382452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116</v>
      </c>
      <c r="EH38" s="13">
        <f>VLOOKUP(A38,'Données projet'!$A$191:$I$211,9,0)</f>
        <v>8</v>
      </c>
      <c r="EI38" s="13">
        <f t="array" ref="EI38">INDEX(EH:EH,MIN(IF(ISNUMBER(EH38:EH234),ROW(EH38:EH234),"")))</f>
        <v>8</v>
      </c>
      <c r="EJ38" s="13">
        <f>IF('Données projet'!$A$192&gt;35,EJ37+EI38-ER37,IF(A38&lt;'Données projet'!$A$192,$EG$205^A38,IF(A38='Données projet'!$A$192,'Données projet'!$B$192,EJ37+EI38-ER37)))</f>
        <v>116</v>
      </c>
      <c r="EK38" s="18">
        <f>EJ38*VLOOKUP('Données projet'!$B$15,Paramètres!$A$1:$I$89,3,0)*VLOOKUP('Données projet'!$B$15,Paramètres!$A$1:$I$89,5,0)</f>
        <v>112.1952</v>
      </c>
      <c r="EL38" s="14">
        <f t="shared" si="45"/>
        <v>29.847594514573263</v>
      </c>
      <c r="EM38" s="22">
        <f t="shared" si="19"/>
        <v>247.39120044621509</v>
      </c>
      <c r="EN38" s="60">
        <f t="shared" si="20"/>
        <v>491.0417331707896</v>
      </c>
      <c r="EO38" s="60">
        <f ca="1">AVERAGE(OFFSET($EN$3,0,0,'Données projet'!$E$15+1,1))-AVERAGE(OFFSET($H$3,0,0,'Données projet'!$E$15+1,1))</f>
        <v>496.33873798282525</v>
      </c>
      <c r="EP38" s="60">
        <f t="shared" si="46"/>
        <v>280.25465074992246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172.4</v>
      </c>
      <c r="FC38" s="13">
        <f>VLOOKUP(A38,'Données projet'!$A$217:$I$237,9,0)</f>
        <v>10.780000000000001</v>
      </c>
      <c r="FD38" s="13">
        <f t="array" ref="FD38">INDEX(FC:FC,MIN(IF(ISNUMBER(FC38:FC234),ROW(FC38:FC234),"")))</f>
        <v>10.780000000000001</v>
      </c>
      <c r="FE38" s="13">
        <f>IF('Données projet'!$A$218&gt;35,FE37+FD38-FM37,IF(A38&lt;'Données projet'!$A$218,$FB$205^A38,IF(A38='Données projet'!$A$218,'Données projet'!$B$218,FE37+FD38-FM37)))</f>
        <v>172.4</v>
      </c>
      <c r="FF38" s="18">
        <f>FE38*VLOOKUP('Données projet'!$B$16,Paramètres!$A$1:$I$89,3,0)*VLOOKUP('Données projet'!$B$16,Paramètres!$A$1:$I$89,5,0)</f>
        <v>139.85088000000002</v>
      </c>
      <c r="FG38" s="14">
        <f t="shared" si="47"/>
        <v>36.262842078476233</v>
      </c>
      <c r="FH38" s="22">
        <f t="shared" si="22"/>
        <v>306.7313992866795</v>
      </c>
      <c r="FI38" s="60">
        <f t="shared" si="23"/>
        <v>550.38193201125398</v>
      </c>
      <c r="FJ38" s="60">
        <f ca="1">AVERAGE(OFFSET($FI$3,0,0,'Données projet'!$E$16+1,1))-AVERAGE(OFFSET($H$3,0,0,'Données projet'!$E$16+1,1))</f>
        <v>341.66430955115521</v>
      </c>
      <c r="FK38" s="60">
        <f t="shared" si="48"/>
        <v>366.15174925159192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172.4</v>
      </c>
      <c r="FX38" s="13">
        <f>VLOOKUP(A38,'Données projet'!$A$243:$I$263,9,0)</f>
        <v>10.780000000000001</v>
      </c>
      <c r="FY38" s="13">
        <f t="array" ref="FY38">INDEX(FX:FX,MIN(IF(ISNUMBER(FX38:FX234),ROW(FX38:FX234),"")))</f>
        <v>10.780000000000001</v>
      </c>
      <c r="FZ38" s="13">
        <f>IF('Données projet'!$A$244&gt;35,FZ37+FY38-GH37,IF(A38&lt;'Données projet'!$A$244,$FW$205^A38,IF(A38='Données projet'!$A$244,'Données projet'!$B$244,FZ37+FY38-GH37)))</f>
        <v>172.4</v>
      </c>
      <c r="GA38" s="18">
        <f>FZ38*VLOOKUP('Données projet'!$B$17,Paramètres!$A$1:$I$89,3,0)*VLOOKUP('Données projet'!$B$17,Paramètres!$A$1:$I$89,5,0)</f>
        <v>126.40367999999999</v>
      </c>
      <c r="GB38" s="14">
        <f t="shared" si="49"/>
        <v>33.164003438318993</v>
      </c>
      <c r="GC38" s="22">
        <f t="shared" si="25"/>
        <v>277.91371532173889</v>
      </c>
      <c r="GD38" s="60">
        <f t="shared" si="26"/>
        <v>521.56424804631342</v>
      </c>
      <c r="GE38" s="60">
        <f ca="1">AVERAGE(OFFSET($GD$3,0,0,'Données projet'!$E$17+1,1))-AVERAGE(OFFSET($H$3,0,0,'Données projet'!$E$17+1,1))</f>
        <v>314.58662400031631</v>
      </c>
      <c r="GF38" s="60">
        <f t="shared" si="50"/>
        <v>336.99073123405981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4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126.1416</v>
      </c>
      <c r="P39" s="14">
        <f t="shared" si="33"/>
        <v>33.10323903126482</v>
      </c>
      <c r="Q39" s="22">
        <f t="shared" si="53"/>
        <v>277.35142797945286</v>
      </c>
      <c r="R39" s="60">
        <f t="shared" si="0"/>
        <v>521.86384622048729</v>
      </c>
      <c r="S39" s="60">
        <f ca="1">AVERAGE(OFFSET($R$3,0,0,'Données projet'!$E$9+1,1))-AVERAGE(OFFSET($H$3,0,0,'Données projet'!$E$9+1,1))</f>
        <v>516.30971934066179</v>
      </c>
      <c r="T39" s="60">
        <f t="shared" si="34"/>
        <v>290.84286505723571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6.5384615384615357</v>
      </c>
      <c r="AI39" s="14">
        <f>IF('Données projet'!$A$62&gt;35,AI38+AH39-AQ38,IF(A39&lt;'Données projet'!$A$62,$AF$205^A39,IF(A39='Données projet'!$A$62,'Données projet'!$B$62,AI38+AH39-AQ38)))</f>
        <v>137.94871794871793</v>
      </c>
      <c r="AJ39" s="14">
        <f>AI39*VLOOKUP('Données projet'!$B$10,Paramètres!$A$1:$I$89,3,0)*VLOOKUP('Données projet'!$B$10,Paramètres!$A$1:$I$89,5,0)</f>
        <v>144.184</v>
      </c>
      <c r="AK39" s="14">
        <f t="shared" si="35"/>
        <v>37.253852236732257</v>
      </c>
      <c r="AL39" s="22">
        <f t="shared" si="4"/>
        <v>316.00425931230865</v>
      </c>
      <c r="AM39" s="60">
        <f t="shared" si="5"/>
        <v>560.51667755334302</v>
      </c>
      <c r="AN39" s="60">
        <f ca="1">AVERAGE(OFFSET($AM$3,0,0,'Données projet'!$E$10+1,1))-AVERAGE(OFFSET($H$3,0,0,'Données projet'!$E$10+1,1))</f>
        <v>529.00505223594837</v>
      </c>
      <c r="AO39" s="60">
        <f t="shared" si="36"/>
        <v>321.23004033257985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9.4399999999999977</v>
      </c>
      <c r="BD39" s="13">
        <f>IF('Données projet'!$A$88&gt;35,BD38+BC39-BL38,IF(A39&lt;'Données projet'!$A$88,$BA$205^A39,IF(A39='Données projet'!$A$88,'Données projet'!$B$88,BD38+BC39-BL38)))</f>
        <v>181.84</v>
      </c>
      <c r="BE39" s="14">
        <f>BD39*VLOOKUP('Données projet'!$B$11,Paramètres!$A$1:$I$89,3,0)*VLOOKUP('Données projet'!$B$11,Paramètres!$A$1:$I$89,5,0)</f>
        <v>158.85542400000003</v>
      </c>
      <c r="BF39" s="14">
        <f t="shared" si="37"/>
        <v>40.584245324611537</v>
      </c>
      <c r="BG39" s="22">
        <f t="shared" si="7"/>
        <v>347.35742407369844</v>
      </c>
      <c r="BH39" s="60">
        <f t="shared" si="8"/>
        <v>591.86984231473286</v>
      </c>
      <c r="BI39" s="60">
        <f ca="1">AVERAGE(OFFSET($BH$3,0,0,'Données projet'!$E$11+1,1))-AVERAGE(OFFSET($H$3,0,0,'Données projet'!$E$11+1,1))</f>
        <v>363.28611056308665</v>
      </c>
      <c r="BJ39" s="60">
        <f t="shared" si="38"/>
        <v>389.43647559455974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124.4</v>
      </c>
      <c r="BZ39" s="14">
        <f>BY39*VLOOKUP('Données projet'!$B$12,Paramètres!$A$1:$I$89,3,0)*VLOOKUP('Données projet'!$B$12,Paramètres!$A$1:$I$89,5,0)</f>
        <v>133.90415999999999</v>
      </c>
      <c r="CA39" s="14">
        <f t="shared" si="39"/>
        <v>34.896936615903982</v>
      </c>
      <c r="CB39" s="22">
        <f t="shared" si="10"/>
        <v>293.99524327269938</v>
      </c>
      <c r="CC39" s="60">
        <f t="shared" si="11"/>
        <v>538.50766151373386</v>
      </c>
      <c r="CD39" s="60">
        <f ca="1">AVERAGE(OFFSET($CC$3,0,0,'Données projet'!$E$12+1,1))-AVERAGE(OFFSET($H$3,0,0,'Données projet'!$E$12+1,1))</f>
        <v>542.90832990875208</v>
      </c>
      <c r="CE39" s="60">
        <f t="shared" si="40"/>
        <v>304.94365539329362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9.981538461538463</v>
      </c>
      <c r="CT39" s="13">
        <f>IF('Données projet'!$A$140&gt;35,CT38+CS39-DB38,IF(A39&lt;'Données projet'!$A$140,$CQ$205^A39,IF(A39='Données projet'!$A$140,'Données projet'!$B$140,CT38+CS39-DB38)))</f>
        <v>157.87384615384613</v>
      </c>
      <c r="CU39" s="18">
        <f>CT39*VLOOKUP('Données projet'!$B$13,Paramètres!$A$1:$I$89,3,0)*VLOOKUP('Données projet'!$B$13,Paramètres!$A$1:$I$89,5,0)</f>
        <v>73.884959999999992</v>
      </c>
      <c r="CV39" s="14">
        <f t="shared" si="41"/>
        <v>20.635176317181511</v>
      </c>
      <c r="CW39" s="22">
        <f t="shared" si="13"/>
        <v>164.62257075242445</v>
      </c>
      <c r="CX39" s="60">
        <f t="shared" si="14"/>
        <v>409.13498899345888</v>
      </c>
      <c r="CY39" s="60">
        <f ca="1">AVERAGE(OFFSET($CX$3,0,0,'Données projet'!$E$13+1,1))-AVERAGE(OFFSET($H$3,0,0,'Données projet'!$E$13+1,1))</f>
        <v>277.77877239988635</v>
      </c>
      <c r="CZ39" s="60">
        <f t="shared" si="42"/>
        <v>164.65640238394164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5.1282051282051269</v>
      </c>
      <c r="DO39" s="13">
        <f>IF('Données projet'!$A$166&gt;35,DO38+DN39-DW38,IF(A39&lt;'Données projet'!$A$166,$DL$205^A39,IF(A39='Données projet'!$A$166,'Données projet'!$B$166,DO38+DN39-DW38)))</f>
        <v>98.717948717948701</v>
      </c>
      <c r="DP39" s="18">
        <f>DO39*VLOOKUP('Données projet'!$B$14,Paramètres!$A$1:$I$89,3,0)*VLOOKUP('Données projet'!$B$14,Paramètres!$A$1:$I$89,5,0)</f>
        <v>84.699999999999989</v>
      </c>
      <c r="DQ39" s="14">
        <f t="shared" si="43"/>
        <v>23.282512577473938</v>
      </c>
      <c r="DR39" s="22">
        <f t="shared" si="16"/>
        <v>188.0695427391004</v>
      </c>
      <c r="DS39" s="60">
        <f t="shared" si="17"/>
        <v>432.5819609801348</v>
      </c>
      <c r="DT39" s="60">
        <f ca="1">AVERAGE(OFFSET($DS$3,0,0,'Données projet'!$E$14+1,1))-AVERAGE(OFFSET($H$3,0,0,'Données projet'!$E$14+1,1))</f>
        <v>354.30160274624632</v>
      </c>
      <c r="DU39" s="60">
        <f t="shared" si="44"/>
        <v>218.8005329382452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8.4</v>
      </c>
      <c r="EJ39" s="13">
        <f>IF('Données projet'!$A$192&gt;35,EJ38+EI39-ER38,IF(A39&lt;'Données projet'!$A$192,$EG$205^A39,IF(A39='Données projet'!$A$192,'Données projet'!$B$192,EJ38+EI39-ER38)))</f>
        <v>124.4</v>
      </c>
      <c r="EK39" s="18">
        <f>EJ39*VLOOKUP('Données projet'!$B$15,Paramètres!$A$1:$I$89,3,0)*VLOOKUP('Données projet'!$B$15,Paramètres!$A$1:$I$89,5,0)</f>
        <v>120.31968000000001</v>
      </c>
      <c r="EL39" s="14">
        <f t="shared" si="45"/>
        <v>31.74954785566829</v>
      </c>
      <c r="EM39" s="22">
        <f t="shared" si="19"/>
        <v>264.85390518195555</v>
      </c>
      <c r="EN39" s="60">
        <f t="shared" si="20"/>
        <v>509.36632342298998</v>
      </c>
      <c r="EO39" s="60">
        <f ca="1">AVERAGE(OFFSET($EN$3,0,0,'Données projet'!$E$15+1,1))-AVERAGE(OFFSET($H$3,0,0,'Données projet'!$E$15+1,1))</f>
        <v>496.33873798282525</v>
      </c>
      <c r="EP39" s="60">
        <f t="shared" si="46"/>
        <v>280.25465074992246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9.4399999999999977</v>
      </c>
      <c r="FE39" s="13">
        <f>IF('Données projet'!$A$218&gt;35,FE38+FD39-FM38,IF(A39&lt;'Données projet'!$A$218,$FB$205^A39,IF(A39='Données projet'!$A$218,'Données projet'!$B$218,FE38+FD39-FM38)))</f>
        <v>181.84</v>
      </c>
      <c r="FF39" s="18">
        <f>FE39*VLOOKUP('Données projet'!$B$16,Paramètres!$A$1:$I$89,3,0)*VLOOKUP('Données projet'!$B$16,Paramètres!$A$1:$I$89,5,0)</f>
        <v>147.50860800000001</v>
      </c>
      <c r="FG39" s="14">
        <f t="shared" si="47"/>
        <v>38.011857134536505</v>
      </c>
      <c r="FH39" s="22">
        <f t="shared" si="22"/>
        <v>323.11481010931777</v>
      </c>
      <c r="FI39" s="60">
        <f t="shared" si="23"/>
        <v>567.6272283503522</v>
      </c>
      <c r="FJ39" s="60">
        <f ca="1">AVERAGE(OFFSET($FI$3,0,0,'Données projet'!$E$16+1,1))-AVERAGE(OFFSET($H$3,0,0,'Données projet'!$E$16+1,1))</f>
        <v>341.66430955115521</v>
      </c>
      <c r="FK39" s="60">
        <f t="shared" si="48"/>
        <v>366.15174925159192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9.4399999999999977</v>
      </c>
      <c r="FZ39" s="13">
        <f>IF('Données projet'!$A$244&gt;35,FZ38+FY39-GH38,IF(A39&lt;'Données projet'!$A$244,$FW$205^A39,IF(A39='Données projet'!$A$244,'Données projet'!$B$244,FZ38+FY39-GH38)))</f>
        <v>181.84</v>
      </c>
      <c r="GA39" s="18">
        <f>FZ39*VLOOKUP('Données projet'!$B$17,Paramètres!$A$1:$I$89,3,0)*VLOOKUP('Données projet'!$B$17,Paramètres!$A$1:$I$89,5,0)</f>
        <v>133.32508799999999</v>
      </c>
      <c r="GB39" s="14">
        <f t="shared" si="49"/>
        <v>34.763556534773144</v>
      </c>
      <c r="GC39" s="22">
        <f t="shared" si="25"/>
        <v>292.75438923139654</v>
      </c>
      <c r="GD39" s="60">
        <f t="shared" si="26"/>
        <v>537.26680747243097</v>
      </c>
      <c r="GE39" s="60">
        <f ca="1">AVERAGE(OFFSET($GD$3,0,0,'Données projet'!$E$17+1,1))-AVERAGE(OFFSET($H$3,0,0,'Données projet'!$E$17+1,1))</f>
        <v>314.58662400031631</v>
      </c>
      <c r="GF39" s="60">
        <f t="shared" si="50"/>
        <v>336.99073123405981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4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134.65920000000003</v>
      </c>
      <c r="P40" s="14">
        <f t="shared" si="33"/>
        <v>35.07074737441733</v>
      </c>
      <c r="Q40" s="22">
        <f t="shared" si="53"/>
        <v>295.61299167711019</v>
      </c>
      <c r="R40" s="60">
        <f t="shared" si="0"/>
        <v>540.97234364778126</v>
      </c>
      <c r="S40" s="60">
        <f ca="1">AVERAGE(OFFSET($R$3,0,0,'Données projet'!$E$9+1,1))-AVERAGE(OFFSET($H$3,0,0,'Données projet'!$E$9+1,1))</f>
        <v>516.30971934066179</v>
      </c>
      <c r="T40" s="60">
        <f t="shared" si="34"/>
        <v>290.84286505723571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6.5384615384615357</v>
      </c>
      <c r="AI40" s="14">
        <f>IF('Données projet'!$A$62&gt;35,AI39+AH40-AQ39,IF(A40&lt;'Données projet'!$A$62,$AF$205^A40,IF(A40='Données projet'!$A$62,'Données projet'!$B$62,AI39+AH40-AQ39)))</f>
        <v>144.48717948717947</v>
      </c>
      <c r="AJ40" s="14">
        <f>AI40*VLOOKUP('Données projet'!$B$10,Paramètres!$A$1:$I$89,3,0)*VLOOKUP('Données projet'!$B$10,Paramètres!$A$1:$I$89,5,0)</f>
        <v>151.018</v>
      </c>
      <c r="AK40" s="14">
        <f t="shared" si="35"/>
        <v>38.809838626521376</v>
      </c>
      <c r="AL40" s="22">
        <f t="shared" si="4"/>
        <v>330.61681894119141</v>
      </c>
      <c r="AM40" s="60">
        <f t="shared" si="5"/>
        <v>575.97617091186248</v>
      </c>
      <c r="AN40" s="60">
        <f ca="1">AVERAGE(OFFSET($AM$3,0,0,'Données projet'!$E$10+1,1))-AVERAGE(OFFSET($H$3,0,0,'Données projet'!$E$10+1,1))</f>
        <v>529.00505223594837</v>
      </c>
      <c r="AO40" s="60">
        <f t="shared" si="36"/>
        <v>321.23004033257985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9.4399999999999977</v>
      </c>
      <c r="BD40" s="13">
        <f>IF('Données projet'!$A$88&gt;35,BD39+BC40-BL39,IF(A40&lt;'Données projet'!$A$88,$BA$205^A40,IF(A40='Données projet'!$A$88,'Données projet'!$B$88,BD39+BC40-BL39)))</f>
        <v>191.28</v>
      </c>
      <c r="BE40" s="14">
        <f>BD40*VLOOKUP('Données projet'!$B$11,Paramètres!$A$1:$I$89,3,0)*VLOOKUP('Données projet'!$B$11,Paramètres!$A$1:$I$89,5,0)</f>
        <v>167.10220800000002</v>
      </c>
      <c r="BF40" s="14">
        <f t="shared" si="37"/>
        <v>42.440366591968385</v>
      </c>
      <c r="BG40" s="22">
        <f t="shared" si="7"/>
        <v>364.95331741434489</v>
      </c>
      <c r="BH40" s="60">
        <f t="shared" si="8"/>
        <v>610.31266938501597</v>
      </c>
      <c r="BI40" s="60">
        <f ca="1">AVERAGE(OFFSET($BH$3,0,0,'Données projet'!$E$11+1,1))-AVERAGE(OFFSET($H$3,0,0,'Données projet'!$E$11+1,1))</f>
        <v>363.28611056308665</v>
      </c>
      <c r="BJ40" s="60">
        <f t="shared" si="38"/>
        <v>389.43647559455974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132.80000000000001</v>
      </c>
      <c r="BZ40" s="14">
        <f>BY40*VLOOKUP('Données projet'!$B$12,Paramètres!$A$1:$I$89,3,0)*VLOOKUP('Données projet'!$B$12,Paramètres!$A$1:$I$89,5,0)</f>
        <v>142.94592</v>
      </c>
      <c r="CA40" s="14">
        <f t="shared" si="39"/>
        <v>36.971054314096854</v>
      </c>
      <c r="CB40" s="22">
        <f t="shared" si="10"/>
        <v>313.35539693038533</v>
      </c>
      <c r="CC40" s="60">
        <f t="shared" si="11"/>
        <v>558.7147489010564</v>
      </c>
      <c r="CD40" s="60">
        <f ca="1">AVERAGE(OFFSET($CC$3,0,0,'Données projet'!$E$12+1,1))-AVERAGE(OFFSET($H$3,0,0,'Données projet'!$E$12+1,1))</f>
        <v>542.90832990875208</v>
      </c>
      <c r="CE40" s="60">
        <f t="shared" si="40"/>
        <v>304.94365539329362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9.981538461538463</v>
      </c>
      <c r="CT40" s="13">
        <f>IF('Données projet'!$A$140&gt;35,CT39+CS40-DB39,IF(A40&lt;'Données projet'!$A$140,$CQ$205^A40,IF(A40='Données projet'!$A$140,'Données projet'!$B$140,CT39+CS40-DB39)))</f>
        <v>167.85538461538459</v>
      </c>
      <c r="CU40" s="18">
        <f>CT40*VLOOKUP('Données projet'!$B$13,Paramètres!$A$1:$I$89,3,0)*VLOOKUP('Données projet'!$B$13,Paramètres!$A$1:$I$89,5,0)</f>
        <v>78.556319999999985</v>
      </c>
      <c r="CV40" s="14">
        <f t="shared" si="41"/>
        <v>21.783823615207403</v>
      </c>
      <c r="CW40" s="22">
        <f t="shared" si="13"/>
        <v>174.75908346315285</v>
      </c>
      <c r="CX40" s="60">
        <f t="shared" si="14"/>
        <v>420.11843543382395</v>
      </c>
      <c r="CY40" s="60">
        <f ca="1">AVERAGE(OFFSET($CX$3,0,0,'Données projet'!$E$13+1,1))-AVERAGE(OFFSET($H$3,0,0,'Données projet'!$E$13+1,1))</f>
        <v>277.77877239988635</v>
      </c>
      <c r="CZ40" s="60">
        <f t="shared" si="42"/>
        <v>164.65640238394164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5.1282051282051269</v>
      </c>
      <c r="DO40" s="13">
        <f>IF('Données projet'!$A$166&gt;35,DO39+DN40-DW39,IF(A40&lt;'Données projet'!$A$166,$DL$205^A40,IF(A40='Données projet'!$A$166,'Données projet'!$B$166,DO39+DN40-DW39)))</f>
        <v>103.84615384615383</v>
      </c>
      <c r="DP40" s="18">
        <f>DO40*VLOOKUP('Données projet'!$B$14,Paramètres!$A$1:$I$89,3,0)*VLOOKUP('Données projet'!$B$14,Paramètres!$A$1:$I$89,5,0)</f>
        <v>89.1</v>
      </c>
      <c r="DQ40" s="14">
        <f t="shared" si="43"/>
        <v>24.348039865304987</v>
      </c>
      <c r="DR40" s="22">
        <f t="shared" si="16"/>
        <v>197.58866943207283</v>
      </c>
      <c r="DS40" s="60">
        <f t="shared" si="17"/>
        <v>442.94802140274396</v>
      </c>
      <c r="DT40" s="60">
        <f ca="1">AVERAGE(OFFSET($DS$3,0,0,'Données projet'!$E$14+1,1))-AVERAGE(OFFSET($H$3,0,0,'Données projet'!$E$14+1,1))</f>
        <v>354.30160274624632</v>
      </c>
      <c r="DU40" s="60">
        <f t="shared" si="44"/>
        <v>218.8005329382452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8.4</v>
      </c>
      <c r="EJ40" s="13">
        <f>IF('Données projet'!$A$192&gt;35,EJ39+EI40-ER39,IF(A40&lt;'Données projet'!$A$192,$EG$205^A40,IF(A40='Données projet'!$A$192,'Données projet'!$B$192,EJ39+EI40-ER39)))</f>
        <v>132.80000000000001</v>
      </c>
      <c r="EK40" s="18">
        <f>EJ40*VLOOKUP('Données projet'!$B$15,Paramètres!$A$1:$I$89,3,0)*VLOOKUP('Données projet'!$B$15,Paramètres!$A$1:$I$89,5,0)</f>
        <v>128.44416000000001</v>
      </c>
      <c r="EL40" s="14">
        <f t="shared" si="45"/>
        <v>33.636598855068925</v>
      </c>
      <c r="EM40" s="22">
        <f t="shared" si="19"/>
        <v>282.29065500591173</v>
      </c>
      <c r="EN40" s="60">
        <f t="shared" si="20"/>
        <v>527.65000697658286</v>
      </c>
      <c r="EO40" s="60">
        <f ca="1">AVERAGE(OFFSET($EN$3,0,0,'Données projet'!$E$15+1,1))-AVERAGE(OFFSET($H$3,0,0,'Données projet'!$E$15+1,1))</f>
        <v>496.33873798282525</v>
      </c>
      <c r="EP40" s="60">
        <f t="shared" si="46"/>
        <v>280.25465074992246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9.4399999999999977</v>
      </c>
      <c r="FE40" s="13">
        <f>IF('Données projet'!$A$218&gt;35,FE39+FD40-FM39,IF(A40&lt;'Données projet'!$A$218,$FB$205^A40,IF(A40='Données projet'!$A$218,'Données projet'!$B$218,FE39+FD40-FM39)))</f>
        <v>191.28</v>
      </c>
      <c r="FF40" s="18">
        <f>FE40*VLOOKUP('Données projet'!$B$16,Paramètres!$A$1:$I$89,3,0)*VLOOKUP('Données projet'!$B$16,Paramètres!$A$1:$I$89,5,0)</f>
        <v>155.16633600000003</v>
      </c>
      <c r="FG40" s="14">
        <f t="shared" si="47"/>
        <v>39.7503301768418</v>
      </c>
      <c r="FH40" s="22">
        <f t="shared" si="22"/>
        <v>339.47986025799952</v>
      </c>
      <c r="FI40" s="60">
        <f t="shared" si="23"/>
        <v>584.83921222867059</v>
      </c>
      <c r="FJ40" s="60">
        <f ca="1">AVERAGE(OFFSET($FI$3,0,0,'Données projet'!$E$16+1,1))-AVERAGE(OFFSET($H$3,0,0,'Données projet'!$E$16+1,1))</f>
        <v>341.66430955115521</v>
      </c>
      <c r="FK40" s="60">
        <f t="shared" si="48"/>
        <v>366.15174925159192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9.4399999999999977</v>
      </c>
      <c r="FZ40" s="13">
        <f>IF('Données projet'!$A$244&gt;35,FZ39+FY40-GH39,IF(A40&lt;'Données projet'!$A$244,$FW$205^A40,IF(A40='Données projet'!$A$244,'Données projet'!$B$244,FZ39+FY40-GH39)))</f>
        <v>191.28</v>
      </c>
      <c r="GA40" s="18">
        <f>FZ40*VLOOKUP('Données projet'!$B$17,Paramètres!$A$1:$I$89,3,0)*VLOOKUP('Données projet'!$B$17,Paramètres!$A$1:$I$89,5,0)</f>
        <v>140.24649600000001</v>
      </c>
      <c r="GB40" s="14">
        <f t="shared" si="49"/>
        <v>36.353468484522381</v>
      </c>
      <c r="GC40" s="22">
        <f t="shared" si="25"/>
        <v>307.5782714772098</v>
      </c>
      <c r="GD40" s="60">
        <f t="shared" si="26"/>
        <v>552.93762344788092</v>
      </c>
      <c r="GE40" s="60">
        <f ca="1">AVERAGE(OFFSET($GD$3,0,0,'Données projet'!$E$17+1,1))-AVERAGE(OFFSET($H$3,0,0,'Données projet'!$E$17+1,1))</f>
        <v>314.58662400031631</v>
      </c>
      <c r="GF40" s="60">
        <f t="shared" si="50"/>
        <v>336.99073123405981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4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143.17680000000004</v>
      </c>
      <c r="P41" s="14">
        <f t="shared" si="33"/>
        <v>37.023812674521515</v>
      </c>
      <c r="Q41" s="22">
        <f t="shared" si="53"/>
        <v>313.84940040812506</v>
      </c>
      <c r="R41" s="60">
        <f t="shared" si="0"/>
        <v>560.04099370168376</v>
      </c>
      <c r="S41" s="60">
        <f ca="1">AVERAGE(OFFSET($R$3,0,0,'Données projet'!$E$9+1,1))-AVERAGE(OFFSET($H$3,0,0,'Données projet'!$E$9+1,1))</f>
        <v>516.30971934066179</v>
      </c>
      <c r="T41" s="60">
        <f t="shared" si="34"/>
        <v>290.84286505723571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6.5384615384615357</v>
      </c>
      <c r="AI41" s="14">
        <f>IF('Données projet'!$A$62&gt;35,AI40+AH41-AQ40,IF(A41&lt;'Données projet'!$A$62,$AF$205^A41,IF(A41='Données projet'!$A$62,'Données projet'!$B$62,AI40+AH41-AQ40)))</f>
        <v>151.02564102564102</v>
      </c>
      <c r="AJ41" s="14">
        <f>AI41*VLOOKUP('Données projet'!$B$10,Paramètres!$A$1:$I$89,3,0)*VLOOKUP('Données projet'!$B$10,Paramètres!$A$1:$I$89,5,0)</f>
        <v>157.852</v>
      </c>
      <c r="AK41" s="14">
        <f t="shared" si="35"/>
        <v>40.357647559226351</v>
      </c>
      <c r="AL41" s="22">
        <f t="shared" si="4"/>
        <v>345.21513616565261</v>
      </c>
      <c r="AM41" s="60">
        <f t="shared" si="5"/>
        <v>591.40672945921131</v>
      </c>
      <c r="AN41" s="60">
        <f ca="1">AVERAGE(OFFSET($AM$3,0,0,'Données projet'!$E$10+1,1))-AVERAGE(OFFSET($H$3,0,0,'Données projet'!$E$10+1,1))</f>
        <v>529.00505223594837</v>
      </c>
      <c r="AO41" s="60">
        <f t="shared" si="36"/>
        <v>321.23004033257985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9.4399999999999977</v>
      </c>
      <c r="BD41" s="13">
        <f>IF('Données projet'!$A$88&gt;35,BD40+BC41-BL40,IF(A41&lt;'Données projet'!$A$88,$BA$205^A41,IF(A41='Données projet'!$A$88,'Données projet'!$B$88,BD40+BC41-BL40)))</f>
        <v>200.72</v>
      </c>
      <c r="BE41" s="14">
        <f>BD41*VLOOKUP('Données projet'!$B$11,Paramètres!$A$1:$I$89,3,0)*VLOOKUP('Données projet'!$B$11,Paramètres!$A$1:$I$89,5,0)</f>
        <v>175.34899200000004</v>
      </c>
      <c r="BF41" s="14">
        <f t="shared" si="37"/>
        <v>44.285851301313052</v>
      </c>
      <c r="BG41" s="22">
        <f t="shared" si="7"/>
        <v>382.53068541645354</v>
      </c>
      <c r="BH41" s="60">
        <f t="shared" si="8"/>
        <v>628.72227871001223</v>
      </c>
      <c r="BI41" s="60">
        <f ca="1">AVERAGE(OFFSET($BH$3,0,0,'Données projet'!$E$11+1,1))-AVERAGE(OFFSET($H$3,0,0,'Données projet'!$E$11+1,1))</f>
        <v>363.28611056308665</v>
      </c>
      <c r="BJ41" s="60">
        <f t="shared" si="38"/>
        <v>389.43647559455974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141.20000000000002</v>
      </c>
      <c r="BZ41" s="14">
        <f>BY41*VLOOKUP('Données projet'!$B$12,Paramètres!$A$1:$I$89,3,0)*VLOOKUP('Données projet'!$B$12,Paramètres!$A$1:$I$89,5,0)</f>
        <v>151.98768000000001</v>
      </c>
      <c r="CA41" s="14">
        <f t="shared" si="39"/>
        <v>39.029946373574369</v>
      </c>
      <c r="CB41" s="22">
        <f t="shared" si="10"/>
        <v>332.68903260064207</v>
      </c>
      <c r="CC41" s="60">
        <f t="shared" si="11"/>
        <v>578.88062589420076</v>
      </c>
      <c r="CD41" s="60">
        <f ca="1">AVERAGE(OFFSET($CC$3,0,0,'Données projet'!$E$12+1,1))-AVERAGE(OFFSET($H$3,0,0,'Données projet'!$E$12+1,1))</f>
        <v>542.90832990875208</v>
      </c>
      <c r="CE41" s="60">
        <f t="shared" si="40"/>
        <v>304.94365539329362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9.981538461538463</v>
      </c>
      <c r="CT41" s="13">
        <f>IF('Données projet'!$A$140&gt;35,CT40+CS41-DB40,IF(A41&lt;'Données projet'!$A$140,$CQ$205^A41,IF(A41='Données projet'!$A$140,'Données projet'!$B$140,CT40+CS41-DB40)))</f>
        <v>177.83692307692306</v>
      </c>
      <c r="CU41" s="18">
        <f>CT41*VLOOKUP('Données projet'!$B$13,Paramètres!$A$1:$I$89,3,0)*VLOOKUP('Données projet'!$B$13,Paramètres!$A$1:$I$89,5,0)</f>
        <v>83.227679999999978</v>
      </c>
      <c r="CV41" s="14">
        <f t="shared" si="41"/>
        <v>22.924542798244513</v>
      </c>
      <c r="CW41" s="22">
        <f t="shared" si="13"/>
        <v>184.88178804027584</v>
      </c>
      <c r="CX41" s="60">
        <f t="shared" si="14"/>
        <v>431.07338133383456</v>
      </c>
      <c r="CY41" s="60">
        <f ca="1">AVERAGE(OFFSET($CX$3,0,0,'Données projet'!$E$13+1,1))-AVERAGE(OFFSET($H$3,0,0,'Données projet'!$E$13+1,1))</f>
        <v>277.77877239988635</v>
      </c>
      <c r="CZ41" s="60">
        <f t="shared" si="42"/>
        <v>164.65640238394164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5.1282051282051269</v>
      </c>
      <c r="DO41" s="13">
        <f>IF('Données projet'!$A$166&gt;35,DO40+DN41-DW40,IF(A41&lt;'Données projet'!$A$166,$DL$205^A41,IF(A41='Données projet'!$A$166,'Données projet'!$B$166,DO40+DN41-DW40)))</f>
        <v>108.97435897435895</v>
      </c>
      <c r="DP41" s="18">
        <f>DO41*VLOOKUP('Données projet'!$B$14,Paramètres!$A$1:$I$89,3,0)*VLOOKUP('Données projet'!$B$14,Paramètres!$A$1:$I$89,5,0)</f>
        <v>93.499999999999986</v>
      </c>
      <c r="DQ41" s="14">
        <f t="shared" si="43"/>
        <v>25.407457292065082</v>
      </c>
      <c r="DR41" s="22">
        <f t="shared" si="16"/>
        <v>207.09715478368</v>
      </c>
      <c r="DS41" s="60">
        <f t="shared" si="17"/>
        <v>453.28874807723872</v>
      </c>
      <c r="DT41" s="60">
        <f ca="1">AVERAGE(OFFSET($DS$3,0,0,'Données projet'!$E$14+1,1))-AVERAGE(OFFSET($H$3,0,0,'Données projet'!$E$14+1,1))</f>
        <v>354.30160274624632</v>
      </c>
      <c r="DU41" s="60">
        <f t="shared" si="44"/>
        <v>218.8005329382452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8.4</v>
      </c>
      <c r="EJ41" s="13">
        <f>IF('Données projet'!$A$192&gt;35,EJ40+EI41-ER40,IF(A41&lt;'Données projet'!$A$192,$EG$205^A41,IF(A41='Données projet'!$A$192,'Données projet'!$B$192,EJ40+EI41-ER40)))</f>
        <v>141.20000000000002</v>
      </c>
      <c r="EK41" s="18">
        <f>EJ41*VLOOKUP('Données projet'!$B$15,Paramètres!$A$1:$I$89,3,0)*VLOOKUP('Données projet'!$B$15,Paramètres!$A$1:$I$89,5,0)</f>
        <v>136.56864000000002</v>
      </c>
      <c r="EL41" s="14">
        <f t="shared" si="45"/>
        <v>35.509797430964703</v>
      </c>
      <c r="EM41" s="22">
        <f t="shared" si="19"/>
        <v>299.70327852559689</v>
      </c>
      <c r="EN41" s="60">
        <f t="shared" si="20"/>
        <v>545.89487181915558</v>
      </c>
      <c r="EO41" s="60">
        <f ca="1">AVERAGE(OFFSET($EN$3,0,0,'Données projet'!$E$15+1,1))-AVERAGE(OFFSET($H$3,0,0,'Données projet'!$E$15+1,1))</f>
        <v>496.33873798282525</v>
      </c>
      <c r="EP41" s="60">
        <f t="shared" si="46"/>
        <v>280.25465074992246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9.4399999999999977</v>
      </c>
      <c r="FE41" s="13">
        <f>IF('Données projet'!$A$218&gt;35,FE40+FD41-FM40,IF(A41&lt;'Données projet'!$A$218,$FB$205^A41,IF(A41='Données projet'!$A$218,'Données projet'!$B$218,FE40+FD41-FM40)))</f>
        <v>200.72</v>
      </c>
      <c r="FF41" s="18">
        <f>FE41*VLOOKUP('Données projet'!$B$16,Paramètres!$A$1:$I$89,3,0)*VLOOKUP('Données projet'!$B$16,Paramètres!$A$1:$I$89,5,0)</f>
        <v>162.82406400000002</v>
      </c>
      <c r="FG41" s="14">
        <f t="shared" si="47"/>
        <v>41.47884084778044</v>
      </c>
      <c r="FH41" s="22">
        <f t="shared" si="22"/>
        <v>355.82755927655097</v>
      </c>
      <c r="FI41" s="60">
        <f t="shared" si="23"/>
        <v>602.01915257010967</v>
      </c>
      <c r="FJ41" s="60">
        <f ca="1">AVERAGE(OFFSET($FI$3,0,0,'Données projet'!$E$16+1,1))-AVERAGE(OFFSET($H$3,0,0,'Données projet'!$E$16+1,1))</f>
        <v>341.66430955115521</v>
      </c>
      <c r="FK41" s="60">
        <f t="shared" si="48"/>
        <v>366.15174925159192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9.4399999999999977</v>
      </c>
      <c r="FZ41" s="13">
        <f>IF('Données projet'!$A$244&gt;35,FZ40+FY41-GH40,IF(A41&lt;'Données projet'!$A$244,$FW$205^A41,IF(A41='Données projet'!$A$244,'Données projet'!$B$244,FZ40+FY41-GH40)))</f>
        <v>200.72</v>
      </c>
      <c r="GA41" s="18">
        <f>FZ41*VLOOKUP('Données projet'!$B$17,Paramètres!$A$1:$I$89,3,0)*VLOOKUP('Données projet'!$B$17,Paramètres!$A$1:$I$89,5,0)</f>
        <v>147.16790399999999</v>
      </c>
      <c r="GB41" s="14">
        <f t="shared" si="49"/>
        <v>37.934269396655068</v>
      </c>
      <c r="GC41" s="22">
        <f t="shared" si="25"/>
        <v>322.38628533250755</v>
      </c>
      <c r="GD41" s="60">
        <f t="shared" si="26"/>
        <v>568.57787862606631</v>
      </c>
      <c r="GE41" s="60">
        <f ca="1">AVERAGE(OFFSET($GD$3,0,0,'Données projet'!$E$17+1,1))-AVERAGE(OFFSET($H$3,0,0,'Données projet'!$E$17+1,1))</f>
        <v>314.58662400031631</v>
      </c>
      <c r="GF41" s="60">
        <f t="shared" si="50"/>
        <v>336.99073123405981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4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151.69440000000003</v>
      </c>
      <c r="P42" s="14">
        <f t="shared" si="33"/>
        <v>38.963392010880654</v>
      </c>
      <c r="Q42" s="22">
        <f t="shared" si="53"/>
        <v>332.06232108561716</v>
      </c>
      <c r="R42" s="60">
        <f t="shared" si="0"/>
        <v>579.0717181757243</v>
      </c>
      <c r="S42" s="60">
        <f ca="1">AVERAGE(OFFSET($R$3,0,0,'Données projet'!$E$9+1,1))-AVERAGE(OFFSET($H$3,0,0,'Données projet'!$E$9+1,1))</f>
        <v>516.30971934066179</v>
      </c>
      <c r="T42" s="60">
        <f t="shared" si="34"/>
        <v>290.84286505723571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6.5384615384615357</v>
      </c>
      <c r="AI42" s="14">
        <f>IF('Données projet'!$A$62&gt;35,AI41+AH42-AQ41,IF(A42&lt;'Données projet'!$A$62,$AF$205^A42,IF(A42='Données projet'!$A$62,'Données projet'!$B$62,AI41+AH42-AQ41)))</f>
        <v>157.56410256410257</v>
      </c>
      <c r="AJ42" s="14">
        <f>AI42*VLOOKUP('Données projet'!$B$10,Paramètres!$A$1:$I$89,3,0)*VLOOKUP('Données projet'!$B$10,Paramètres!$A$1:$I$89,5,0)</f>
        <v>164.68600000000001</v>
      </c>
      <c r="AK42" s="14">
        <f t="shared" si="35"/>
        <v>41.89767353409232</v>
      </c>
      <c r="AL42" s="22">
        <f t="shared" si="4"/>
        <v>359.79989807187752</v>
      </c>
      <c r="AM42" s="60">
        <f t="shared" si="5"/>
        <v>606.80929516198466</v>
      </c>
      <c r="AN42" s="60">
        <f ca="1">AVERAGE(OFFSET($AM$3,0,0,'Données projet'!$E$10+1,1))-AVERAGE(OFFSET($H$3,0,0,'Données projet'!$E$10+1,1))</f>
        <v>529.00505223594837</v>
      </c>
      <c r="AO42" s="60">
        <f t="shared" si="36"/>
        <v>321.23004033257985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9.4399999999999977</v>
      </c>
      <c r="BD42" s="13">
        <f>IF('Données projet'!$A$88&gt;35,BD41+BC42-BL41,IF(A42&lt;'Données projet'!$A$88,$BA$205^A42,IF(A42='Données projet'!$A$88,'Données projet'!$B$88,BD41+BC42-BL41)))</f>
        <v>210.16</v>
      </c>
      <c r="BE42" s="14">
        <f>BD42*VLOOKUP('Données projet'!$B$11,Paramètres!$A$1:$I$89,3,0)*VLOOKUP('Données projet'!$B$11,Paramètres!$A$1:$I$89,5,0)</f>
        <v>183.59577600000003</v>
      </c>
      <c r="BF42" s="14">
        <f t="shared" si="37"/>
        <v>46.121256820129133</v>
      </c>
      <c r="BG42" s="22">
        <f t="shared" si="7"/>
        <v>400.09049882839162</v>
      </c>
      <c r="BH42" s="60">
        <f t="shared" si="8"/>
        <v>647.09989591849876</v>
      </c>
      <c r="BI42" s="60">
        <f ca="1">AVERAGE(OFFSET($BH$3,0,0,'Données projet'!$E$11+1,1))-AVERAGE(OFFSET($H$3,0,0,'Données projet'!$E$11+1,1))</f>
        <v>363.28611056308665</v>
      </c>
      <c r="BJ42" s="60">
        <f t="shared" si="38"/>
        <v>389.43647559455974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149.60000000000002</v>
      </c>
      <c r="BZ42" s="14">
        <f>BY42*VLOOKUP('Données projet'!$B$12,Paramètres!$A$1:$I$89,3,0)*VLOOKUP('Données projet'!$B$12,Paramètres!$A$1:$I$89,5,0)</f>
        <v>161.02944000000002</v>
      </c>
      <c r="CA42" s="14">
        <f t="shared" si="39"/>
        <v>41.074621732940685</v>
      </c>
      <c r="CB42" s="22">
        <f t="shared" si="10"/>
        <v>351.99790751820501</v>
      </c>
      <c r="CC42" s="60">
        <f t="shared" si="11"/>
        <v>599.0073046083121</v>
      </c>
      <c r="CD42" s="60">
        <f ca="1">AVERAGE(OFFSET($CC$3,0,0,'Données projet'!$E$12+1,1))-AVERAGE(OFFSET($H$3,0,0,'Données projet'!$E$12+1,1))</f>
        <v>542.90832990875208</v>
      </c>
      <c r="CE42" s="60">
        <f t="shared" si="40"/>
        <v>304.94365539329362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9.981538461538463</v>
      </c>
      <c r="CT42" s="13">
        <f>IF('Données projet'!$A$140&gt;35,CT41+CS42-DB41,IF(A42&lt;'Données projet'!$A$140,$CQ$205^A42,IF(A42='Données projet'!$A$140,'Données projet'!$B$140,CT41+CS42-DB41)))</f>
        <v>187.81846153846152</v>
      </c>
      <c r="CU42" s="18">
        <f>CT42*VLOOKUP('Données projet'!$B$13,Paramètres!$A$1:$I$89,3,0)*VLOOKUP('Données projet'!$B$13,Paramètres!$A$1:$I$89,5,0)</f>
        <v>87.899039999999985</v>
      </c>
      <c r="CV42" s="14">
        <f t="shared" si="41"/>
        <v>24.05782956318463</v>
      </c>
      <c r="CW42" s="22">
        <f t="shared" si="13"/>
        <v>194.99154782254652</v>
      </c>
      <c r="CX42" s="60">
        <f t="shared" si="14"/>
        <v>442.00094491265361</v>
      </c>
      <c r="CY42" s="60">
        <f ca="1">AVERAGE(OFFSET($CX$3,0,0,'Données projet'!$E$13+1,1))-AVERAGE(OFFSET($H$3,0,0,'Données projet'!$E$13+1,1))</f>
        <v>277.77877239988635</v>
      </c>
      <c r="CZ42" s="60">
        <f t="shared" si="42"/>
        <v>164.65640238394164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5.1282051282051269</v>
      </c>
      <c r="DO42" s="13">
        <f>IF('Données projet'!$A$166&gt;35,DO41+DN42-DW41,IF(A42&lt;'Données projet'!$A$166,$DL$205^A42,IF(A42='Données projet'!$A$166,'Données projet'!$B$166,DO41+DN42-DW41)))</f>
        <v>114.10256410256407</v>
      </c>
      <c r="DP42" s="18">
        <f>DO42*VLOOKUP('Données projet'!$B$14,Paramètres!$A$1:$I$89,3,0)*VLOOKUP('Données projet'!$B$14,Paramètres!$A$1:$I$89,5,0)</f>
        <v>97.899999999999991</v>
      </c>
      <c r="DQ42" s="14">
        <f t="shared" si="43"/>
        <v>26.461085212569802</v>
      </c>
      <c r="DR42" s="22">
        <f t="shared" si="16"/>
        <v>216.59555674522571</v>
      </c>
      <c r="DS42" s="60">
        <f t="shared" si="17"/>
        <v>463.60495383533282</v>
      </c>
      <c r="DT42" s="60">
        <f ca="1">AVERAGE(OFFSET($DS$3,0,0,'Données projet'!$E$14+1,1))-AVERAGE(OFFSET($H$3,0,0,'Données projet'!$E$14+1,1))</f>
        <v>354.30160274624632</v>
      </c>
      <c r="DU42" s="60">
        <f t="shared" si="44"/>
        <v>218.8005329382452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8.4</v>
      </c>
      <c r="EJ42" s="13">
        <f>IF('Données projet'!$A$192&gt;35,EJ41+EI42-ER41,IF(A42&lt;'Données projet'!$A$192,$EG$205^A42,IF(A42='Données projet'!$A$192,'Données projet'!$B$192,EJ41+EI42-ER41)))</f>
        <v>149.60000000000002</v>
      </c>
      <c r="EK42" s="18">
        <f>EJ42*VLOOKUP('Données projet'!$B$15,Paramètres!$A$1:$I$89,3,0)*VLOOKUP('Données projet'!$B$15,Paramètres!$A$1:$I$89,5,0)</f>
        <v>144.69312000000002</v>
      </c>
      <c r="EL42" s="14">
        <f t="shared" si="45"/>
        <v>37.370061524802772</v>
      </c>
      <c r="EM42" s="22">
        <f t="shared" si="19"/>
        <v>317.09337448903148</v>
      </c>
      <c r="EN42" s="60">
        <f t="shared" si="20"/>
        <v>564.10277157913856</v>
      </c>
      <c r="EO42" s="60">
        <f ca="1">AVERAGE(OFFSET($EN$3,0,0,'Données projet'!$E$15+1,1))-AVERAGE(OFFSET($H$3,0,0,'Données projet'!$E$15+1,1))</f>
        <v>496.33873798282525</v>
      </c>
      <c r="EP42" s="60">
        <f t="shared" si="46"/>
        <v>280.25465074992246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9.4399999999999977</v>
      </c>
      <c r="FE42" s="13">
        <f>IF('Données projet'!$A$218&gt;35,FE41+FD42-FM41,IF(A42&lt;'Données projet'!$A$218,$FB$205^A42,IF(A42='Données projet'!$A$218,'Données projet'!$B$218,FE41+FD42-FM41)))</f>
        <v>210.16</v>
      </c>
      <c r="FF42" s="18">
        <f>FE42*VLOOKUP('Données projet'!$B$16,Paramètres!$A$1:$I$89,3,0)*VLOOKUP('Données projet'!$B$16,Paramètres!$A$1:$I$89,5,0)</f>
        <v>170.48179200000001</v>
      </c>
      <c r="FG42" s="14">
        <f t="shared" si="47"/>
        <v>43.197911186704943</v>
      </c>
      <c r="FH42" s="22">
        <f t="shared" si="22"/>
        <v>372.15881638351107</v>
      </c>
      <c r="FI42" s="60">
        <f t="shared" si="23"/>
        <v>619.16821347361815</v>
      </c>
      <c r="FJ42" s="60">
        <f ca="1">AVERAGE(OFFSET($FI$3,0,0,'Données projet'!$E$16+1,1))-AVERAGE(OFFSET($H$3,0,0,'Données projet'!$E$16+1,1))</f>
        <v>341.66430955115521</v>
      </c>
      <c r="FK42" s="60">
        <f t="shared" si="48"/>
        <v>366.15174925159192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9.4399999999999977</v>
      </c>
      <c r="FZ42" s="13">
        <f>IF('Données projet'!$A$244&gt;35,FZ41+FY42-GH41,IF(A42&lt;'Données projet'!$A$244,$FW$205^A42,IF(A42='Données projet'!$A$244,'Données projet'!$B$244,FZ41+FY42-GH41)))</f>
        <v>210.16</v>
      </c>
      <c r="GA42" s="18">
        <f>FZ42*VLOOKUP('Données projet'!$B$17,Paramètres!$A$1:$I$89,3,0)*VLOOKUP('Données projet'!$B$17,Paramètres!$A$1:$I$89,5,0)</f>
        <v>154.08931200000001</v>
      </c>
      <c r="GB42" s="14">
        <f t="shared" si="49"/>
        <v>39.506436699687413</v>
      </c>
      <c r="GC42" s="22">
        <f t="shared" si="25"/>
        <v>337.17926231862225</v>
      </c>
      <c r="GD42" s="60">
        <f t="shared" si="26"/>
        <v>584.18865940872934</v>
      </c>
      <c r="GE42" s="60">
        <f ca="1">AVERAGE(OFFSET($GD$3,0,0,'Données projet'!$E$17+1,1))-AVERAGE(OFFSET($H$3,0,0,'Données projet'!$E$17+1,1))</f>
        <v>314.58662400031631</v>
      </c>
      <c r="GF42" s="60">
        <f t="shared" si="50"/>
        <v>336.99073123405981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4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160.21200000000005</v>
      </c>
      <c r="P43" s="14">
        <f t="shared" si="33"/>
        <v>40.890328912852695</v>
      </c>
      <c r="Q43" s="22">
        <f t="shared" si="53"/>
        <v>350.25322285655176</v>
      </c>
      <c r="R43" s="60">
        <f t="shared" si="0"/>
        <v>598.0662366756726</v>
      </c>
      <c r="S43" s="60">
        <f ca="1">AVERAGE(OFFSET($R$3,0,0,'Données projet'!$E$9+1,1))-AVERAGE(OFFSET($H$3,0,0,'Données projet'!$E$9+1,1))</f>
        <v>516.30971934066179</v>
      </c>
      <c r="T43" s="60">
        <f t="shared" si="34"/>
        <v>290.84286505723571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164.10256410256409</v>
      </c>
      <c r="AG43" s="13">
        <f>VLOOKUP(A43,'Données projet'!$A$61:$I$81,9,0)</f>
        <v>6.5384615384615357</v>
      </c>
      <c r="AH43" s="13">
        <f t="array" ref="AH43">INDEX(AG:AG,MIN(IF(ISNUMBER(AG43:AG239),ROW(AG43:AG239),"")))</f>
        <v>6.5384615384615357</v>
      </c>
      <c r="AI43" s="14">
        <f>IF('Données projet'!$A$62&gt;35,AI42+AH43-AQ42,IF(A43&lt;'Données projet'!$A$62,$AF$205^A43,IF(A43='Données projet'!$A$62,'Données projet'!$B$62,AI42+AH43-AQ42)))</f>
        <v>164.10256410256412</v>
      </c>
      <c r="AJ43" s="14">
        <f>AI43*VLOOKUP('Données projet'!$B$10,Paramètres!$A$1:$I$89,3,0)*VLOOKUP('Données projet'!$B$10,Paramètres!$A$1:$I$89,5,0)</f>
        <v>171.52000000000004</v>
      </c>
      <c r="AK43" s="14">
        <f t="shared" si="35"/>
        <v>43.430276456724698</v>
      </c>
      <c r="AL43" s="22">
        <f t="shared" si="4"/>
        <v>374.3717314954622</v>
      </c>
      <c r="AM43" s="60">
        <f t="shared" si="5"/>
        <v>622.18474531458298</v>
      </c>
      <c r="AN43" s="60">
        <f ca="1">AVERAGE(OFFSET($AM$3,0,0,'Données projet'!$E$10+1,1))-AVERAGE(OFFSET($H$3,0,0,'Données projet'!$E$10+1,1))</f>
        <v>529.00505223594837</v>
      </c>
      <c r="AO43" s="60">
        <f t="shared" si="36"/>
        <v>321.23004033257985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22.435897435897434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219.6</v>
      </c>
      <c r="BB43" s="13">
        <f>VLOOKUP(A43,'Données projet'!$A$87:$I$107,9,0)</f>
        <v>9.4399999999999977</v>
      </c>
      <c r="BC43" s="13">
        <f t="array" ref="BC43">INDEX(BB:BB,MIN(IF(ISNUMBER(BB43:BB239),ROW(BB43:BB239),"")))</f>
        <v>9.4399999999999977</v>
      </c>
      <c r="BD43" s="13">
        <f>IF('Données projet'!$A$88&gt;35,BD42+BC43-BL42,IF(A43&lt;'Données projet'!$A$88,$BA$205^A43,IF(A43='Données projet'!$A$88,'Données projet'!$B$88,BD42+BC43-BL42)))</f>
        <v>219.6</v>
      </c>
      <c r="BE43" s="14">
        <f>BD43*VLOOKUP('Données projet'!$B$11,Paramètres!$A$1:$I$89,3,0)*VLOOKUP('Données projet'!$B$11,Paramètres!$A$1:$I$89,5,0)</f>
        <v>191.84256000000002</v>
      </c>
      <c r="BF43" s="14">
        <f t="shared" si="37"/>
        <v>47.947087613384845</v>
      </c>
      <c r="BG43" s="22">
        <f t="shared" si="7"/>
        <v>417.63363625997863</v>
      </c>
      <c r="BH43" s="60">
        <f t="shared" si="8"/>
        <v>665.44665007909941</v>
      </c>
      <c r="BI43" s="60">
        <f ca="1">AVERAGE(OFFSET($BH$3,0,0,'Données projet'!$E$11+1,1))-AVERAGE(OFFSET($H$3,0,0,'Données projet'!$E$11+1,1))</f>
        <v>363.28611056308665</v>
      </c>
      <c r="BJ43" s="60">
        <f t="shared" si="38"/>
        <v>389.43647559455974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158.00000000000003</v>
      </c>
      <c r="BZ43" s="14">
        <f>BY43*VLOOKUP('Données projet'!$B$12,Paramètres!$A$1:$I$89,3,0)*VLOOKUP('Données projet'!$B$12,Paramètres!$A$1:$I$89,5,0)</f>
        <v>170.07120000000003</v>
      </c>
      <c r="CA43" s="14">
        <f t="shared" si="39"/>
        <v>43.10596962815594</v>
      </c>
      <c r="CB43" s="22">
        <f t="shared" si="10"/>
        <v>371.28357043570503</v>
      </c>
      <c r="CC43" s="60">
        <f t="shared" si="11"/>
        <v>619.09658425482587</v>
      </c>
      <c r="CD43" s="60">
        <f ca="1">AVERAGE(OFFSET($CC$3,0,0,'Données projet'!$E$12+1,1))-AVERAGE(OFFSET($H$3,0,0,'Données projet'!$E$12+1,1))</f>
        <v>542.90832990875208</v>
      </c>
      <c r="CE43" s="60">
        <f t="shared" si="40"/>
        <v>304.94365539329362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197.79999999999998</v>
      </c>
      <c r="CR43" s="13">
        <f>VLOOKUP(A43,'Données projet'!$A$139:$I$159,9,0)</f>
        <v>9.981538461538463</v>
      </c>
      <c r="CS43" s="13">
        <f t="array" ref="CS43">INDEX(CR:CR,MIN(IF(ISNUMBER(CR43:CR239),ROW(CR43:CR239),"")))</f>
        <v>9.981538461538463</v>
      </c>
      <c r="CT43" s="13">
        <f>IF('Données projet'!$A$140&gt;35,CT42+CS43-DB42,IF(A43&lt;'Données projet'!$A$140,$CQ$205^A43,IF(A43='Données projet'!$A$140,'Données projet'!$B$140,CT42+CS43-DB42)))</f>
        <v>197.79999999999998</v>
      </c>
      <c r="CU43" s="18">
        <f>CT43*VLOOKUP('Données projet'!$B$13,Paramètres!$A$1:$I$89,3,0)*VLOOKUP('Données projet'!$B$13,Paramètres!$A$1:$I$89,5,0)</f>
        <v>92.570399999999978</v>
      </c>
      <c r="CV43" s="14">
        <f t="shared" si="41"/>
        <v>25.184123943972491</v>
      </c>
      <c r="CW43" s="22">
        <f t="shared" si="13"/>
        <v>205.08912920241869</v>
      </c>
      <c r="CX43" s="60">
        <f t="shared" si="14"/>
        <v>452.90214302153947</v>
      </c>
      <c r="CY43" s="60">
        <f ca="1">AVERAGE(OFFSET($CX$3,0,0,'Données projet'!$E$13+1,1))-AVERAGE(OFFSET($H$3,0,0,'Données projet'!$E$13+1,1))</f>
        <v>277.77877239988635</v>
      </c>
      <c r="CZ43" s="60">
        <f t="shared" si="42"/>
        <v>164.65640238394164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119.23076923076923</v>
      </c>
      <c r="DM43" s="13">
        <f>VLOOKUP(A43,'Données projet'!$A$165:$I$185,9,0)</f>
        <v>5.1282051282051269</v>
      </c>
      <c r="DN43" s="13">
        <f t="array" ref="DN43">INDEX(DM:DM,MIN(IF(ISNUMBER(DM43:DM239),ROW(DM43:DM239),"")))</f>
        <v>5.1282051282051269</v>
      </c>
      <c r="DO43" s="13">
        <f>IF('Données projet'!$A$166&gt;35,DO42+DN43-DW42,IF(A43&lt;'Données projet'!$A$166,$DL$205^A43,IF(A43='Données projet'!$A$166,'Données projet'!$B$166,DO42+DN43-DW42)))</f>
        <v>119.2307692307692</v>
      </c>
      <c r="DP43" s="18">
        <f>DO43*VLOOKUP('Données projet'!$B$14,Paramètres!$A$1:$I$89,3,0)*VLOOKUP('Données projet'!$B$14,Paramètres!$A$1:$I$89,5,0)</f>
        <v>102.29999999999998</v>
      </c>
      <c r="DQ43" s="14">
        <f t="shared" si="43"/>
        <v>27.509213557805278</v>
      </c>
      <c r="DR43" s="22">
        <f t="shared" si="16"/>
        <v>226.08438027984417</v>
      </c>
      <c r="DS43" s="60">
        <f t="shared" si="17"/>
        <v>473.89739409896498</v>
      </c>
      <c r="DT43" s="60">
        <f ca="1">AVERAGE(OFFSET($DS$3,0,0,'Données projet'!$E$14+1,1))-AVERAGE(OFFSET($H$3,0,0,'Données projet'!$E$14+1,1))</f>
        <v>354.30160274624632</v>
      </c>
      <c r="DU43" s="60">
        <f t="shared" si="44"/>
        <v>218.8005329382452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17.307692307692307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158</v>
      </c>
      <c r="EH43" s="13">
        <f>VLOOKUP(A43,'Données projet'!$A$191:$I$211,9,0)</f>
        <v>8.4</v>
      </c>
      <c r="EI43" s="13">
        <f t="array" ref="EI43">INDEX(EH:EH,MIN(IF(ISNUMBER(EH43:EH239),ROW(EH43:EH239),"")))</f>
        <v>8.4</v>
      </c>
      <c r="EJ43" s="13">
        <f>IF('Données projet'!$A$192&gt;35,EJ42+EI43-ER42,IF(A43&lt;'Données projet'!$A$192,$EG$205^A43,IF(A43='Données projet'!$A$192,'Données projet'!$B$192,EJ42+EI43-ER42)))</f>
        <v>158.00000000000003</v>
      </c>
      <c r="EK43" s="18">
        <f>EJ43*VLOOKUP('Données projet'!$B$15,Paramètres!$A$1:$I$89,3,0)*VLOOKUP('Données projet'!$B$15,Paramètres!$A$1:$I$89,5,0)</f>
        <v>152.81760000000003</v>
      </c>
      <c r="EL43" s="14">
        <f t="shared" si="45"/>
        <v>39.218200171484227</v>
      </c>
      <c r="EM43" s="22">
        <f t="shared" si="19"/>
        <v>334.46235196533502</v>
      </c>
      <c r="EN43" s="60">
        <f t="shared" si="20"/>
        <v>582.27536578445586</v>
      </c>
      <c r="EO43" s="60">
        <f ca="1">AVERAGE(OFFSET($EN$3,0,0,'Données projet'!$E$15+1,1))-AVERAGE(OFFSET($H$3,0,0,'Données projet'!$E$15+1,1))</f>
        <v>496.33873798282525</v>
      </c>
      <c r="EP43" s="60">
        <f t="shared" si="46"/>
        <v>280.25465074992246</v>
      </c>
      <c r="EQ43" s="16">
        <f>IF(ISNA(VLOOKUP(A43,'Données projet'!$A$191:$I$211,3,0)),0,VLOOKUP(A43,'Données projet'!$A$191:$I$211,3,0))</f>
        <v>2</v>
      </c>
      <c r="ER43" s="16">
        <f>IF(ISNA(VLOOKUP(A43,'Données projet'!$A$191:$I$211,4,0)),0,VLOOKUP(A43,'Données projet'!$A$191:$I$211,4,0))</f>
        <v>42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219.6</v>
      </c>
      <c r="FC43" s="13">
        <f>VLOOKUP(A43,'Données projet'!$A$217:$I$237,9,0)</f>
        <v>9.4399999999999977</v>
      </c>
      <c r="FD43" s="13">
        <f t="array" ref="FD43">INDEX(FC:FC,MIN(IF(ISNUMBER(FC43:FC239),ROW(FC43:FC239),"")))</f>
        <v>9.4399999999999977</v>
      </c>
      <c r="FE43" s="13">
        <f>IF('Données projet'!$A$218&gt;35,FE42+FD43-FM42,IF(A43&lt;'Données projet'!$A$218,$FB$205^A43,IF(A43='Données projet'!$A$218,'Données projet'!$B$218,FE42+FD43-FM42)))</f>
        <v>219.6</v>
      </c>
      <c r="FF43" s="18">
        <f>FE43*VLOOKUP('Données projet'!$B$16,Paramètres!$A$1:$I$89,3,0)*VLOOKUP('Données projet'!$B$16,Paramètres!$A$1:$I$89,5,0)</f>
        <v>178.13952</v>
      </c>
      <c r="FG43" s="14">
        <f t="shared" si="47"/>
        <v>44.908013683621</v>
      </c>
      <c r="FH43" s="22">
        <f t="shared" si="22"/>
        <v>388.47445449897322</v>
      </c>
      <c r="FI43" s="60">
        <f t="shared" si="23"/>
        <v>636.28746831809406</v>
      </c>
      <c r="FJ43" s="60">
        <f ca="1">AVERAGE(OFFSET($FI$3,0,0,'Données projet'!$E$16+1,1))-AVERAGE(OFFSET($H$3,0,0,'Données projet'!$E$16+1,1))</f>
        <v>341.66430955115521</v>
      </c>
      <c r="FK43" s="60">
        <f t="shared" si="48"/>
        <v>366.15174925159192</v>
      </c>
      <c r="FL43" s="16">
        <f>IF(ISNA(VLOOKUP(A43,'Données projet'!$A$217:$I$237,3,0)),0,VLOOKUP(A43,'Données projet'!$A$217:$I$237,3,0))</f>
        <v>3</v>
      </c>
      <c r="FM43" s="16">
        <f>IF(ISNA(VLOOKUP(A43,'Données projet'!$A$217:$I$237,4,0)),0,VLOOKUP(A43,'Données projet'!$A$217:$I$237,4,0))</f>
        <v>56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219.6</v>
      </c>
      <c r="FX43" s="13">
        <f>VLOOKUP(A43,'Données projet'!$A$243:$I$263,9,0)</f>
        <v>9.4399999999999977</v>
      </c>
      <c r="FY43" s="13">
        <f t="array" ref="FY43">INDEX(FX:FX,MIN(IF(ISNUMBER(FX43:FX239),ROW(FX43:FX239),"")))</f>
        <v>9.4399999999999977</v>
      </c>
      <c r="FZ43" s="13">
        <f>IF('Données projet'!$A$244&gt;35,FZ42+FY43-GH42,IF(A43&lt;'Données projet'!$A$244,$FW$205^A43,IF(A43='Données projet'!$A$244,'Données projet'!$B$244,FZ42+FY43-GH42)))</f>
        <v>219.6</v>
      </c>
      <c r="GA43" s="18">
        <f>FZ43*VLOOKUP('Données projet'!$B$17,Paramètres!$A$1:$I$89,3,0)*VLOOKUP('Données projet'!$B$17,Paramètres!$A$1:$I$89,5,0)</f>
        <v>161.01071999999999</v>
      </c>
      <c r="GB43" s="14">
        <f t="shared" si="49"/>
        <v>41.070402507024518</v>
      </c>
      <c r="GC43" s="22">
        <f t="shared" si="25"/>
        <v>351.95795503306766</v>
      </c>
      <c r="GD43" s="60">
        <f t="shared" si="26"/>
        <v>599.7709688521885</v>
      </c>
      <c r="GE43" s="60">
        <f ca="1">AVERAGE(OFFSET($GD$3,0,0,'Données projet'!$E$17+1,1))-AVERAGE(OFFSET($H$3,0,0,'Données projet'!$E$17+1,1))</f>
        <v>314.58662400031631</v>
      </c>
      <c r="GF43" s="60">
        <f t="shared" si="50"/>
        <v>336.99073123405981</v>
      </c>
      <c r="GG43" s="16">
        <f>IF(ISNA(VLOOKUP(A43,'Données projet'!$A$243:$I$263,3,0)),0,VLOOKUP(A43,'Données projet'!$A$243:$I$263,3,0))</f>
        <v>3</v>
      </c>
      <c r="GH43" s="16">
        <f>IF(ISNA(VLOOKUP(A43,'Données projet'!$A$243:$I$263,4,0)),0,VLOOKUP(A43,'Données projet'!$A$243:$I$263,4,0))</f>
        <v>56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4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126.14160000000005</v>
      </c>
      <c r="P44" s="14">
        <f t="shared" si="33"/>
        <v>33.10323903126482</v>
      </c>
      <c r="Q44" s="22">
        <f t="shared" si="53"/>
        <v>277.35142797945298</v>
      </c>
      <c r="R44" s="60">
        <f t="shared" si="0"/>
        <v>525.95411757395698</v>
      </c>
      <c r="S44" s="60">
        <f ca="1">AVERAGE(OFFSET($R$3,0,0,'Données projet'!$E$9+1,1))-AVERAGE(OFFSET($H$3,0,0,'Données projet'!$E$9+1,1))</f>
        <v>516.30971934066179</v>
      </c>
      <c r="T44" s="60">
        <f t="shared" si="34"/>
        <v>290.84286505723571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6.2820512820512819</v>
      </c>
      <c r="AI44" s="14">
        <f>IF('Données projet'!$A$62&gt;35,AI43+AH44-AQ43,IF(A44&lt;'Données projet'!$A$62,$AF$205^A44,IF(A44='Données projet'!$A$62,'Données projet'!$B$62,AI43+AH44-AQ43)))</f>
        <v>147.94871794871796</v>
      </c>
      <c r="AJ44" s="14">
        <f>AI44*VLOOKUP('Données projet'!$B$10,Paramètres!$A$1:$I$89,3,0)*VLOOKUP('Données projet'!$B$10,Paramètres!$A$1:$I$89,5,0)</f>
        <v>154.63600000000002</v>
      </c>
      <c r="AK44" s="14">
        <f t="shared" si="35"/>
        <v>39.630259615196607</v>
      </c>
      <c r="AL44" s="22">
        <f t="shared" si="4"/>
        <v>338.34706882980078</v>
      </c>
      <c r="AM44" s="60">
        <f t="shared" si="5"/>
        <v>586.94975842430472</v>
      </c>
      <c r="AN44" s="60">
        <f ca="1">AVERAGE(OFFSET($AM$3,0,0,'Données projet'!$E$10+1,1))-AVERAGE(OFFSET($H$3,0,0,'Données projet'!$E$10+1,1))</f>
        <v>529.00505223594837</v>
      </c>
      <c r="AO44" s="60">
        <f t="shared" si="36"/>
        <v>321.23004033257985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8.2000000000000064</v>
      </c>
      <c r="BD44" s="13">
        <f>IF('Données projet'!$A$88&gt;35,BD43+BC44-BL43,IF(A44&lt;'Données projet'!$A$88,$BA$205^A44,IF(A44='Données projet'!$A$88,'Données projet'!$B$88,BD43+BC44-BL43)))</f>
        <v>171.8</v>
      </c>
      <c r="BE44" s="14">
        <f>BD44*VLOOKUP('Données projet'!$B$11,Paramètres!$A$1:$I$89,3,0)*VLOOKUP('Données projet'!$B$11,Paramètres!$A$1:$I$89,5,0)</f>
        <v>150.08448000000001</v>
      </c>
      <c r="BF44" s="14">
        <f t="shared" si="37"/>
        <v>38.597783374841299</v>
      </c>
      <c r="BG44" s="22">
        <f t="shared" si="7"/>
        <v>328.62160871118198</v>
      </c>
      <c r="BH44" s="60">
        <f t="shared" si="8"/>
        <v>577.22429830568592</v>
      </c>
      <c r="BI44" s="60">
        <f ca="1">AVERAGE(OFFSET($BH$3,0,0,'Données projet'!$E$11+1,1))-AVERAGE(OFFSET($H$3,0,0,'Données projet'!$E$11+1,1))</f>
        <v>363.28611056308665</v>
      </c>
      <c r="BJ44" s="60">
        <f t="shared" si="38"/>
        <v>389.43647559455974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133.90416000000002</v>
      </c>
      <c r="CA44" s="14">
        <f t="shared" si="39"/>
        <v>34.896936615903982</v>
      </c>
      <c r="CB44" s="22">
        <f t="shared" si="10"/>
        <v>293.99524327269938</v>
      </c>
      <c r="CC44" s="60">
        <f t="shared" si="11"/>
        <v>542.59793286720333</v>
      </c>
      <c r="CD44" s="60">
        <f ca="1">AVERAGE(OFFSET($CC$3,0,0,'Données projet'!$E$12+1,1))-AVERAGE(OFFSET($H$3,0,0,'Données projet'!$E$12+1,1))</f>
        <v>542.90832990875208</v>
      </c>
      <c r="CE44" s="60">
        <f t="shared" si="40"/>
        <v>304.94365539329362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10.869230769230773</v>
      </c>
      <c r="CT44" s="13">
        <f>IF('Données projet'!$A$140&gt;35,CT43+CS44-DB43,IF(A44&lt;'Données projet'!$A$140,$CQ$205^A44,IF(A44='Données projet'!$A$140,'Données projet'!$B$140,CT43+CS44-DB43)))</f>
        <v>208.66923076923075</v>
      </c>
      <c r="CU44" s="18">
        <f>CT44*VLOOKUP('Données projet'!$B$13,Paramètres!$A$1:$I$89,3,0)*VLOOKUP('Données projet'!$B$13,Paramètres!$A$1:$I$89,5,0)</f>
        <v>97.657199999999989</v>
      </c>
      <c r="CV44" s="14">
        <f t="shared" si="41"/>
        <v>26.403090007431878</v>
      </c>
      <c r="CW44" s="22">
        <f t="shared" si="13"/>
        <v>216.07167176294379</v>
      </c>
      <c r="CX44" s="60">
        <f t="shared" si="14"/>
        <v>464.67436135744776</v>
      </c>
      <c r="CY44" s="60">
        <f ca="1">AVERAGE(OFFSET($CX$3,0,0,'Données projet'!$E$13+1,1))-AVERAGE(OFFSET($H$3,0,0,'Données projet'!$E$13+1,1))</f>
        <v>277.77877239988635</v>
      </c>
      <c r="CZ44" s="60">
        <f t="shared" si="42"/>
        <v>164.65640238394164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4.8717948717948731</v>
      </c>
      <c r="DO44" s="13">
        <f>IF('Données projet'!$A$166&gt;35,DO43+DN44-DW43,IF(A44&lt;'Données projet'!$A$166,$DL$205^A44,IF(A44='Données projet'!$A$166,'Données projet'!$B$166,DO43+DN44-DW43)))</f>
        <v>106.79487179487177</v>
      </c>
      <c r="DP44" s="18">
        <f>DO44*VLOOKUP('Données projet'!$B$14,Paramètres!$A$1:$I$89,3,0)*VLOOKUP('Données projet'!$B$14,Paramètres!$A$1:$I$89,5,0)</f>
        <v>91.629999999999981</v>
      </c>
      <c r="DQ44" s="14">
        <f t="shared" si="43"/>
        <v>24.957930138625617</v>
      </c>
      <c r="DR44" s="22">
        <f t="shared" si="16"/>
        <v>203.05731165810622</v>
      </c>
      <c r="DS44" s="60">
        <f t="shared" si="17"/>
        <v>451.66000125261019</v>
      </c>
      <c r="DT44" s="60">
        <f ca="1">AVERAGE(OFFSET($DS$3,0,0,'Données projet'!$E$14+1,1))-AVERAGE(OFFSET($H$3,0,0,'Données projet'!$E$14+1,1))</f>
        <v>354.30160274624632</v>
      </c>
      <c r="DU44" s="60">
        <f t="shared" si="44"/>
        <v>218.8005329382452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8.4</v>
      </c>
      <c r="EJ44" s="13">
        <f>IF('Données projet'!$A$192&gt;35,EJ43+EI44-ER43,IF(A44&lt;'Données projet'!$A$192,$EG$205^A44,IF(A44='Données projet'!$A$192,'Données projet'!$B$192,EJ43+EI44-ER43)))</f>
        <v>124.40000000000003</v>
      </c>
      <c r="EK44" s="18">
        <f>EJ44*VLOOKUP('Données projet'!$B$15,Paramètres!$A$1:$I$89,3,0)*VLOOKUP('Données projet'!$B$15,Paramètres!$A$1:$I$89,5,0)</f>
        <v>120.31968000000002</v>
      </c>
      <c r="EL44" s="14">
        <f t="shared" si="45"/>
        <v>31.74954785566829</v>
      </c>
      <c r="EM44" s="22">
        <f t="shared" si="19"/>
        <v>264.85390518195561</v>
      </c>
      <c r="EN44" s="60">
        <f t="shared" si="20"/>
        <v>513.45659477645961</v>
      </c>
      <c r="EO44" s="60">
        <f ca="1">AVERAGE(OFFSET($EN$3,0,0,'Données projet'!$E$15+1,1))-AVERAGE(OFFSET($H$3,0,0,'Données projet'!$E$15+1,1))</f>
        <v>496.33873798282525</v>
      </c>
      <c r="EP44" s="60">
        <f t="shared" si="46"/>
        <v>280.25465074992246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8.2000000000000064</v>
      </c>
      <c r="FE44" s="13">
        <f>IF('Données projet'!$A$218&gt;35,FE43+FD44-FM43,IF(A44&lt;'Données projet'!$A$218,$FB$205^A44,IF(A44='Données projet'!$A$218,'Données projet'!$B$218,FE43+FD44-FM43)))</f>
        <v>171.8</v>
      </c>
      <c r="FF44" s="18">
        <f>FE44*VLOOKUP('Données projet'!$B$16,Paramètres!$A$1:$I$89,3,0)*VLOOKUP('Données projet'!$B$16,Paramètres!$A$1:$I$89,5,0)</f>
        <v>139.36416000000003</v>
      </c>
      <c r="FG44" s="14">
        <f t="shared" si="47"/>
        <v>36.151304912020052</v>
      </c>
      <c r="FH44" s="22">
        <f t="shared" si="22"/>
        <v>305.68943472176829</v>
      </c>
      <c r="FI44" s="60">
        <f t="shared" si="23"/>
        <v>554.29212431627229</v>
      </c>
      <c r="FJ44" s="60">
        <f ca="1">AVERAGE(OFFSET($FI$3,0,0,'Données projet'!$E$16+1,1))-AVERAGE(OFFSET($H$3,0,0,'Données projet'!$E$16+1,1))</f>
        <v>341.66430955115521</v>
      </c>
      <c r="FK44" s="60">
        <f t="shared" si="48"/>
        <v>366.15174925159192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8.2000000000000064</v>
      </c>
      <c r="FZ44" s="13">
        <f>IF('Données projet'!$A$244&gt;35,FZ43+FY44-GH43,IF(A44&lt;'Données projet'!$A$244,$FW$205^A44,IF(A44='Données projet'!$A$244,'Données projet'!$B$244,FZ43+FY44-GH43)))</f>
        <v>171.8</v>
      </c>
      <c r="GA44" s="18">
        <f>FZ44*VLOOKUP('Données projet'!$B$17,Paramètres!$A$1:$I$89,3,0)*VLOOKUP('Données projet'!$B$17,Paramètres!$A$1:$I$89,5,0)</f>
        <v>125.96375999999999</v>
      </c>
      <c r="GB44" s="14">
        <f t="shared" si="49"/>
        <v>33.061997672641603</v>
      </c>
      <c r="GC44" s="22">
        <f t="shared" si="25"/>
        <v>276.96986127985076</v>
      </c>
      <c r="GD44" s="60">
        <f t="shared" si="26"/>
        <v>525.57255087435476</v>
      </c>
      <c r="GE44" s="60">
        <f ca="1">AVERAGE(OFFSET($GD$3,0,0,'Données projet'!$E$17+1,1))-AVERAGE(OFFSET($H$3,0,0,'Données projet'!$E$17+1,1))</f>
        <v>314.58662400031631</v>
      </c>
      <c r="GF44" s="60">
        <f t="shared" si="50"/>
        <v>336.99073123405981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4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134.65920000000006</v>
      </c>
      <c r="P45" s="14">
        <f t="shared" si="33"/>
        <v>35.07074737441733</v>
      </c>
      <c r="Q45" s="22">
        <f t="shared" si="53"/>
        <v>295.61299167711024</v>
      </c>
      <c r="R45" s="60">
        <f t="shared" si="0"/>
        <v>544.991657937745</v>
      </c>
      <c r="S45" s="60">
        <f ca="1">AVERAGE(OFFSET($R$3,0,0,'Données projet'!$E$9+1,1))-AVERAGE(OFFSET($H$3,0,0,'Données projet'!$E$9+1,1))</f>
        <v>516.30971934066179</v>
      </c>
      <c r="T45" s="60">
        <f t="shared" si="34"/>
        <v>290.84286505723571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6.2820512820512819</v>
      </c>
      <c r="AI45" s="14">
        <f>IF('Données projet'!$A$62&gt;35,AI44+AH45-AQ44,IF(A45&lt;'Données projet'!$A$62,$AF$205^A45,IF(A45='Données projet'!$A$62,'Données projet'!$B$62,AI44+AH45-AQ44)))</f>
        <v>154.23076923076923</v>
      </c>
      <c r="AJ45" s="14">
        <f>AI45*VLOOKUP('Données projet'!$B$10,Paramètres!$A$1:$I$89,3,0)*VLOOKUP('Données projet'!$B$10,Paramètres!$A$1:$I$89,5,0)</f>
        <v>161.20200000000003</v>
      </c>
      <c r="AK45" s="14">
        <f t="shared" si="35"/>
        <v>41.113511653265036</v>
      </c>
      <c r="AL45" s="22">
        <f t="shared" si="4"/>
        <v>352.36618279610326</v>
      </c>
      <c r="AM45" s="60">
        <f t="shared" si="5"/>
        <v>601.74484905673796</v>
      </c>
      <c r="AN45" s="60">
        <f ca="1">AVERAGE(OFFSET($AM$3,0,0,'Données projet'!$E$10+1,1))-AVERAGE(OFFSET($H$3,0,0,'Données projet'!$E$10+1,1))</f>
        <v>529.00505223594837</v>
      </c>
      <c r="AO45" s="60">
        <f t="shared" si="36"/>
        <v>321.23004033257985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8.2000000000000064</v>
      </c>
      <c r="BD45" s="13">
        <f>IF('Données projet'!$A$88&gt;35,BD44+BC45-BL44,IF(A45&lt;'Données projet'!$A$88,$BA$205^A45,IF(A45='Données projet'!$A$88,'Données projet'!$B$88,BD44+BC45-BL44)))</f>
        <v>180.00000000000003</v>
      </c>
      <c r="BE45" s="14">
        <f>BD45*VLOOKUP('Données projet'!$B$11,Paramètres!$A$1:$I$89,3,0)*VLOOKUP('Données projet'!$B$11,Paramètres!$A$1:$I$89,5,0)</f>
        <v>157.24800000000005</v>
      </c>
      <c r="BF45" s="14">
        <f t="shared" si="37"/>
        <v>40.221168744348645</v>
      </c>
      <c r="BG45" s="22">
        <f t="shared" si="7"/>
        <v>343.92546889640727</v>
      </c>
      <c r="BH45" s="60">
        <f t="shared" si="8"/>
        <v>593.30413515704197</v>
      </c>
      <c r="BI45" s="60">
        <f ca="1">AVERAGE(OFFSET($BH$3,0,0,'Données projet'!$E$11+1,1))-AVERAGE(OFFSET($H$3,0,0,'Données projet'!$E$11+1,1))</f>
        <v>363.28611056308665</v>
      </c>
      <c r="BJ45" s="60">
        <f t="shared" si="38"/>
        <v>389.43647559455974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142.94592000000003</v>
      </c>
      <c r="CA45" s="14">
        <f t="shared" si="39"/>
        <v>36.971054314096854</v>
      </c>
      <c r="CB45" s="22">
        <f t="shared" si="10"/>
        <v>313.35539693038538</v>
      </c>
      <c r="CC45" s="60">
        <f t="shared" si="11"/>
        <v>562.73406319102014</v>
      </c>
      <c r="CD45" s="60">
        <f ca="1">AVERAGE(OFFSET($CC$3,0,0,'Données projet'!$E$12+1,1))-AVERAGE(OFFSET($H$3,0,0,'Données projet'!$E$12+1,1))</f>
        <v>542.90832990875208</v>
      </c>
      <c r="CE45" s="60">
        <f t="shared" si="40"/>
        <v>304.94365539329362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10.869230769230773</v>
      </c>
      <c r="CT45" s="13">
        <f>IF('Données projet'!$A$140&gt;35,CT44+CS45-DB44,IF(A45&lt;'Données projet'!$A$140,$CQ$205^A45,IF(A45='Données projet'!$A$140,'Données projet'!$B$140,CT44+CS45-DB44)))</f>
        <v>219.53846153846152</v>
      </c>
      <c r="CU45" s="18">
        <f>CT45*VLOOKUP('Données projet'!$B$13,Paramètres!$A$1:$I$89,3,0)*VLOOKUP('Données projet'!$B$13,Paramètres!$A$1:$I$89,5,0)</f>
        <v>102.74399999999999</v>
      </c>
      <c r="CV45" s="14">
        <f t="shared" si="41"/>
        <v>27.614684221611544</v>
      </c>
      <c r="CW45" s="22">
        <f t="shared" si="13"/>
        <v>227.04137501930674</v>
      </c>
      <c r="CX45" s="60">
        <f t="shared" si="14"/>
        <v>476.42004127994147</v>
      </c>
      <c r="CY45" s="60">
        <f ca="1">AVERAGE(OFFSET($CX$3,0,0,'Données projet'!$E$13+1,1))-AVERAGE(OFFSET($H$3,0,0,'Données projet'!$E$13+1,1))</f>
        <v>277.77877239988635</v>
      </c>
      <c r="CZ45" s="60">
        <f t="shared" si="42"/>
        <v>164.65640238394164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4.8717948717948731</v>
      </c>
      <c r="DO45" s="13">
        <f>IF('Données projet'!$A$166&gt;35,DO44+DN45-DW44,IF(A45&lt;'Données projet'!$A$166,$DL$205^A45,IF(A45='Données projet'!$A$166,'Données projet'!$B$166,DO44+DN45-DW44)))</f>
        <v>111.66666666666664</v>
      </c>
      <c r="DP45" s="18">
        <f>DO45*VLOOKUP('Données projet'!$B$14,Paramètres!$A$1:$I$89,3,0)*VLOOKUP('Données projet'!$B$14,Paramètres!$A$1:$I$89,5,0)</f>
        <v>95.809999999999988</v>
      </c>
      <c r="DQ45" s="14">
        <f t="shared" si="43"/>
        <v>25.961314793499493</v>
      </c>
      <c r="DR45" s="22">
        <f t="shared" si="16"/>
        <v>212.0850399320116</v>
      </c>
      <c r="DS45" s="60">
        <f t="shared" si="17"/>
        <v>461.46370619264633</v>
      </c>
      <c r="DT45" s="60">
        <f ca="1">AVERAGE(OFFSET($DS$3,0,0,'Données projet'!$E$14+1,1))-AVERAGE(OFFSET($H$3,0,0,'Données projet'!$E$14+1,1))</f>
        <v>354.30160274624632</v>
      </c>
      <c r="DU45" s="60">
        <f t="shared" si="44"/>
        <v>218.8005329382452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8.4</v>
      </c>
      <c r="EJ45" s="13">
        <f>IF('Données projet'!$A$192&gt;35,EJ44+EI45-ER44,IF(A45&lt;'Données projet'!$A$192,$EG$205^A45,IF(A45='Données projet'!$A$192,'Données projet'!$B$192,EJ44+EI45-ER44)))</f>
        <v>132.80000000000004</v>
      </c>
      <c r="EK45" s="18">
        <f>EJ45*VLOOKUP('Données projet'!$B$15,Paramètres!$A$1:$I$89,3,0)*VLOOKUP('Données projet'!$B$15,Paramètres!$A$1:$I$89,5,0)</f>
        <v>128.44416000000004</v>
      </c>
      <c r="EL45" s="14">
        <f t="shared" si="45"/>
        <v>33.636598855068954</v>
      </c>
      <c r="EM45" s="22">
        <f t="shared" si="19"/>
        <v>282.29065500591184</v>
      </c>
      <c r="EN45" s="60">
        <f t="shared" si="20"/>
        <v>531.6693212665466</v>
      </c>
      <c r="EO45" s="60">
        <f ca="1">AVERAGE(OFFSET($EN$3,0,0,'Données projet'!$E$15+1,1))-AVERAGE(OFFSET($H$3,0,0,'Données projet'!$E$15+1,1))</f>
        <v>496.33873798282525</v>
      </c>
      <c r="EP45" s="60">
        <f t="shared" si="46"/>
        <v>280.25465074992246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8.2000000000000064</v>
      </c>
      <c r="FE45" s="13">
        <f>IF('Données projet'!$A$218&gt;35,FE44+FD45-FM44,IF(A45&lt;'Données projet'!$A$218,$FB$205^A45,IF(A45='Données projet'!$A$218,'Données projet'!$B$218,FE44+FD45-FM44)))</f>
        <v>180.00000000000003</v>
      </c>
      <c r="FF45" s="18">
        <f>FE45*VLOOKUP('Données projet'!$B$16,Paramètres!$A$1:$I$89,3,0)*VLOOKUP('Données projet'!$B$16,Paramètres!$A$1:$I$89,5,0)</f>
        <v>146.01600000000005</v>
      </c>
      <c r="FG45" s="14">
        <f t="shared" si="47"/>
        <v>37.671793767891131</v>
      </c>
      <c r="FH45" s="22">
        <f t="shared" si="22"/>
        <v>319.92290747907714</v>
      </c>
      <c r="FI45" s="60">
        <f t="shared" si="23"/>
        <v>569.3015737397119</v>
      </c>
      <c r="FJ45" s="60">
        <f ca="1">AVERAGE(OFFSET($FI$3,0,0,'Données projet'!$E$16+1,1))-AVERAGE(OFFSET($H$3,0,0,'Données projet'!$E$16+1,1))</f>
        <v>341.66430955115521</v>
      </c>
      <c r="FK45" s="60">
        <f t="shared" si="48"/>
        <v>366.15174925159192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8.2000000000000064</v>
      </c>
      <c r="FZ45" s="13">
        <f>IF('Données projet'!$A$244&gt;35,FZ44+FY45-GH44,IF(A45&lt;'Données projet'!$A$244,$FW$205^A45,IF(A45='Données projet'!$A$244,'Données projet'!$B$244,FZ44+FY45-GH44)))</f>
        <v>180.00000000000003</v>
      </c>
      <c r="GA45" s="18">
        <f>FZ45*VLOOKUP('Données projet'!$B$17,Paramètres!$A$1:$I$89,3,0)*VLOOKUP('Données projet'!$B$17,Paramètres!$A$1:$I$89,5,0)</f>
        <v>131.97600000000003</v>
      </c>
      <c r="GB45" s="14">
        <f t="shared" si="49"/>
        <v>34.452553259401945</v>
      </c>
      <c r="GC45" s="22">
        <f t="shared" si="25"/>
        <v>289.86306359345843</v>
      </c>
      <c r="GD45" s="60">
        <f t="shared" si="26"/>
        <v>539.24172985409314</v>
      </c>
      <c r="GE45" s="60">
        <f ca="1">AVERAGE(OFFSET($GD$3,0,0,'Données projet'!$E$17+1,1))-AVERAGE(OFFSET($H$3,0,0,'Données projet'!$E$17+1,1))</f>
        <v>314.58662400031631</v>
      </c>
      <c r="GF45" s="60">
        <f t="shared" si="50"/>
        <v>336.99073123405981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4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143.17680000000004</v>
      </c>
      <c r="P46" s="14">
        <f t="shared" si="33"/>
        <v>37.023812674521515</v>
      </c>
      <c r="Q46" s="22">
        <f t="shared" si="53"/>
        <v>313.84940040812506</v>
      </c>
      <c r="R46" s="60">
        <f t="shared" si="0"/>
        <v>563.99058187455717</v>
      </c>
      <c r="S46" s="60">
        <f ca="1">AVERAGE(OFFSET($R$3,0,0,'Données projet'!$E$9+1,1))-AVERAGE(OFFSET($H$3,0,0,'Données projet'!$E$9+1,1))</f>
        <v>516.30971934066179</v>
      </c>
      <c r="T46" s="60">
        <f t="shared" si="34"/>
        <v>290.84286505723571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6.2820512820512819</v>
      </c>
      <c r="AI46" s="14">
        <f>IF('Données projet'!$A$62&gt;35,AI45+AH46-AQ45,IF(A46&lt;'Données projet'!$A$62,$AF$205^A46,IF(A46='Données projet'!$A$62,'Données projet'!$B$62,AI45+AH46-AQ45)))</f>
        <v>160.5128205128205</v>
      </c>
      <c r="AJ46" s="14">
        <f>AI46*VLOOKUP('Données projet'!$B$10,Paramètres!$A$1:$I$89,3,0)*VLOOKUP('Données projet'!$B$10,Paramètres!$A$1:$I$89,5,0)</f>
        <v>167.768</v>
      </c>
      <c r="AK46" s="14">
        <f t="shared" si="35"/>
        <v>42.589745970134487</v>
      </c>
      <c r="AL46" s="22">
        <f t="shared" si="4"/>
        <v>366.37307423131756</v>
      </c>
      <c r="AM46" s="60">
        <f t="shared" si="5"/>
        <v>616.5142556977496</v>
      </c>
      <c r="AN46" s="60">
        <f ca="1">AVERAGE(OFFSET($AM$3,0,0,'Données projet'!$E$10+1,1))-AVERAGE(OFFSET($H$3,0,0,'Données projet'!$E$10+1,1))</f>
        <v>529.00505223594837</v>
      </c>
      <c r="AO46" s="60">
        <f t="shared" si="36"/>
        <v>321.23004033257985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8.2000000000000064</v>
      </c>
      <c r="BD46" s="13">
        <f>IF('Données projet'!$A$88&gt;35,BD45+BC46-BL45,IF(A46&lt;'Données projet'!$A$88,$BA$205^A46,IF(A46='Données projet'!$A$88,'Données projet'!$B$88,BD45+BC46-BL45)))</f>
        <v>188.20000000000005</v>
      </c>
      <c r="BE46" s="14">
        <f>BD46*VLOOKUP('Données projet'!$B$11,Paramètres!$A$1:$I$89,3,0)*VLOOKUP('Données projet'!$B$11,Paramètres!$A$1:$I$89,5,0)</f>
        <v>164.41152000000005</v>
      </c>
      <c r="BF46" s="14">
        <f t="shared" si="37"/>
        <v>41.835965488659532</v>
      </c>
      <c r="BG46" s="22">
        <f t="shared" si="7"/>
        <v>359.21437055941539</v>
      </c>
      <c r="BH46" s="60">
        <f t="shared" si="8"/>
        <v>609.35555202584737</v>
      </c>
      <c r="BI46" s="60">
        <f ca="1">AVERAGE(OFFSET($BH$3,0,0,'Données projet'!$E$11+1,1))-AVERAGE(OFFSET($H$3,0,0,'Données projet'!$E$11+1,1))</f>
        <v>363.28611056308665</v>
      </c>
      <c r="BJ46" s="60">
        <f t="shared" si="38"/>
        <v>389.43647559455974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151.98768000000004</v>
      </c>
      <c r="CA46" s="14">
        <f t="shared" si="39"/>
        <v>39.029946373574369</v>
      </c>
      <c r="CB46" s="22">
        <f t="shared" si="10"/>
        <v>332.68903260064207</v>
      </c>
      <c r="CC46" s="60">
        <f t="shared" si="11"/>
        <v>582.83021406707417</v>
      </c>
      <c r="CD46" s="60">
        <f ca="1">AVERAGE(OFFSET($CC$3,0,0,'Données projet'!$E$12+1,1))-AVERAGE(OFFSET($H$3,0,0,'Données projet'!$E$12+1,1))</f>
        <v>542.90832990875208</v>
      </c>
      <c r="CE46" s="60">
        <f t="shared" si="40"/>
        <v>304.94365539329362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10.869230769230773</v>
      </c>
      <c r="CT46" s="13">
        <f>IF('Données projet'!$A$140&gt;35,CT45+CS46-DB45,IF(A46&lt;'Données projet'!$A$140,$CQ$205^A46,IF(A46='Données projet'!$A$140,'Données projet'!$B$140,CT45+CS46-DB45)))</f>
        <v>230.40769230769229</v>
      </c>
      <c r="CU46" s="18">
        <f>CT46*VLOOKUP('Données projet'!$B$13,Paramètres!$A$1:$I$89,3,0)*VLOOKUP('Données projet'!$B$13,Paramètres!$A$1:$I$89,5,0)</f>
        <v>107.8308</v>
      </c>
      <c r="CV46" s="14">
        <f t="shared" si="41"/>
        <v>28.819313214368158</v>
      </c>
      <c r="CW46" s="22">
        <f t="shared" si="13"/>
        <v>237.99894718169116</v>
      </c>
      <c r="CX46" s="60">
        <f t="shared" si="14"/>
        <v>488.14012864812321</v>
      </c>
      <c r="CY46" s="60">
        <f ca="1">AVERAGE(OFFSET($CX$3,0,0,'Données projet'!$E$13+1,1))-AVERAGE(OFFSET($H$3,0,0,'Données projet'!$E$13+1,1))</f>
        <v>277.77877239988635</v>
      </c>
      <c r="CZ46" s="60">
        <f t="shared" si="42"/>
        <v>164.65640238394164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4.8717948717948731</v>
      </c>
      <c r="DO46" s="13">
        <f>IF('Données projet'!$A$166&gt;35,DO45+DN46-DW45,IF(A46&lt;'Données projet'!$A$166,$DL$205^A46,IF(A46='Données projet'!$A$166,'Données projet'!$B$166,DO45+DN46-DW45)))</f>
        <v>116.53846153846152</v>
      </c>
      <c r="DP46" s="18">
        <f>DO46*VLOOKUP('Données projet'!$B$14,Paramètres!$A$1:$I$89,3,0)*VLOOKUP('Données projet'!$B$14,Paramètres!$A$1:$I$89,5,0)</f>
        <v>99.99</v>
      </c>
      <c r="DQ46" s="14">
        <f t="shared" si="43"/>
        <v>26.959615172381739</v>
      </c>
      <c r="DR46" s="22">
        <f t="shared" si="16"/>
        <v>221.10391309189819</v>
      </c>
      <c r="DS46" s="60">
        <f t="shared" si="17"/>
        <v>471.24509455833027</v>
      </c>
      <c r="DT46" s="60">
        <f ca="1">AVERAGE(OFFSET($DS$3,0,0,'Données projet'!$E$14+1,1))-AVERAGE(OFFSET($H$3,0,0,'Données projet'!$E$14+1,1))</f>
        <v>354.30160274624632</v>
      </c>
      <c r="DU46" s="60">
        <f t="shared" si="44"/>
        <v>218.8005329382452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8.4</v>
      </c>
      <c r="EJ46" s="13">
        <f>IF('Données projet'!$A$192&gt;35,EJ45+EI46-ER45,IF(A46&lt;'Données projet'!$A$192,$EG$205^A46,IF(A46='Données projet'!$A$192,'Données projet'!$B$192,EJ45+EI46-ER45)))</f>
        <v>141.20000000000005</v>
      </c>
      <c r="EK46" s="18">
        <f>EJ46*VLOOKUP('Données projet'!$B$15,Paramètres!$A$1:$I$89,3,0)*VLOOKUP('Données projet'!$B$15,Paramètres!$A$1:$I$89,5,0)</f>
        <v>136.56864000000004</v>
      </c>
      <c r="EL46" s="14">
        <f t="shared" si="45"/>
        <v>35.509797430964703</v>
      </c>
      <c r="EM46" s="22">
        <f t="shared" si="19"/>
        <v>299.70327852559694</v>
      </c>
      <c r="EN46" s="60">
        <f t="shared" si="20"/>
        <v>549.84445999202899</v>
      </c>
      <c r="EO46" s="60">
        <f ca="1">AVERAGE(OFFSET($EN$3,0,0,'Données projet'!$E$15+1,1))-AVERAGE(OFFSET($H$3,0,0,'Données projet'!$E$15+1,1))</f>
        <v>496.33873798282525</v>
      </c>
      <c r="EP46" s="60">
        <f t="shared" si="46"/>
        <v>280.25465074992246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8.2000000000000064</v>
      </c>
      <c r="FE46" s="13">
        <f>IF('Données projet'!$A$218&gt;35,FE45+FD46-FM45,IF(A46&lt;'Données projet'!$A$218,$FB$205^A46,IF(A46='Données projet'!$A$218,'Données projet'!$B$218,FE45+FD46-FM45)))</f>
        <v>188.20000000000005</v>
      </c>
      <c r="FF46" s="18">
        <f>FE46*VLOOKUP('Données projet'!$B$16,Paramètres!$A$1:$I$89,3,0)*VLOOKUP('Données projet'!$B$16,Paramètres!$A$1:$I$89,5,0)</f>
        <v>152.66784000000007</v>
      </c>
      <c r="FG46" s="14">
        <f t="shared" si="47"/>
        <v>39.184238379220069</v>
      </c>
      <c r="FH46" s="22">
        <f t="shared" si="22"/>
        <v>334.14236984380841</v>
      </c>
      <c r="FI46" s="60">
        <f t="shared" si="23"/>
        <v>584.28355131024045</v>
      </c>
      <c r="FJ46" s="60">
        <f ca="1">AVERAGE(OFFSET($FI$3,0,0,'Données projet'!$E$16+1,1))-AVERAGE(OFFSET($H$3,0,0,'Données projet'!$E$16+1,1))</f>
        <v>341.66430955115521</v>
      </c>
      <c r="FK46" s="60">
        <f t="shared" si="48"/>
        <v>366.15174925159192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8.2000000000000064</v>
      </c>
      <c r="FZ46" s="13">
        <f>IF('Données projet'!$A$244&gt;35,FZ45+FY46-GH45,IF(A46&lt;'Données projet'!$A$244,$FW$205^A46,IF(A46='Données projet'!$A$244,'Données projet'!$B$244,FZ45+FY46-GH45)))</f>
        <v>188.20000000000005</v>
      </c>
      <c r="GA46" s="18">
        <f>FZ46*VLOOKUP('Données projet'!$B$17,Paramètres!$A$1:$I$89,3,0)*VLOOKUP('Données projet'!$B$17,Paramètres!$A$1:$I$89,5,0)</f>
        <v>137.98824000000005</v>
      </c>
      <c r="GB46" s="14">
        <f t="shared" si="49"/>
        <v>35.83575202197639</v>
      </c>
      <c r="GC46" s="22">
        <f t="shared" si="25"/>
        <v>302.74345277160899</v>
      </c>
      <c r="GD46" s="60">
        <f t="shared" si="26"/>
        <v>552.88463423804103</v>
      </c>
      <c r="GE46" s="60">
        <f ca="1">AVERAGE(OFFSET($GD$3,0,0,'Données projet'!$E$17+1,1))-AVERAGE(OFFSET($H$3,0,0,'Données projet'!$E$17+1,1))</f>
        <v>314.58662400031631</v>
      </c>
      <c r="GF46" s="60">
        <f t="shared" si="50"/>
        <v>336.99073123405981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4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151.69440000000006</v>
      </c>
      <c r="P47" s="14">
        <f t="shared" si="33"/>
        <v>38.963392010880654</v>
      </c>
      <c r="Q47" s="22">
        <f t="shared" si="53"/>
        <v>332.06232108561721</v>
      </c>
      <c r="R47" s="60">
        <f t="shared" si="0"/>
        <v>582.95278982375464</v>
      </c>
      <c r="S47" s="60">
        <f ca="1">AVERAGE(OFFSET($R$3,0,0,'Données projet'!$E$9+1,1))-AVERAGE(OFFSET($H$3,0,0,'Données projet'!$E$9+1,1))</f>
        <v>516.30971934066179</v>
      </c>
      <c r="T47" s="60">
        <f t="shared" si="34"/>
        <v>290.84286505723571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6.2820512820512819</v>
      </c>
      <c r="AI47" s="14">
        <f>IF('Données projet'!$A$62&gt;35,AI46+AH47-AQ46,IF(A47&lt;'Données projet'!$A$62,$AF$205^A47,IF(A47='Données projet'!$A$62,'Données projet'!$B$62,AI46+AH47-AQ46)))</f>
        <v>166.79487179487177</v>
      </c>
      <c r="AJ47" s="14">
        <f>AI47*VLOOKUP('Données projet'!$B$10,Paramètres!$A$1:$I$89,3,0)*VLOOKUP('Données projet'!$B$10,Paramètres!$A$1:$I$89,5,0)</f>
        <v>174.334</v>
      </c>
      <c r="AK47" s="14">
        <f t="shared" si="35"/>
        <v>44.059268652696204</v>
      </c>
      <c r="AL47" s="22">
        <f t="shared" si="4"/>
        <v>380.3682762367792</v>
      </c>
      <c r="AM47" s="60">
        <f t="shared" si="5"/>
        <v>631.25874497491668</v>
      </c>
      <c r="AN47" s="60">
        <f ca="1">AVERAGE(OFFSET($AM$3,0,0,'Données projet'!$E$10+1,1))-AVERAGE(OFFSET($H$3,0,0,'Données projet'!$E$10+1,1))</f>
        <v>529.00505223594837</v>
      </c>
      <c r="AO47" s="60">
        <f t="shared" si="36"/>
        <v>321.23004033257985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8.2000000000000064</v>
      </c>
      <c r="BD47" s="13">
        <f>IF('Données projet'!$A$88&gt;35,BD46+BC47-BL46,IF(A47&lt;'Données projet'!$A$88,$BA$205^A47,IF(A47='Données projet'!$A$88,'Données projet'!$B$88,BD46+BC47-BL46)))</f>
        <v>196.40000000000006</v>
      </c>
      <c r="BE47" s="14">
        <f>BD47*VLOOKUP('Données projet'!$B$11,Paramètres!$A$1:$I$89,3,0)*VLOOKUP('Données projet'!$B$11,Paramètres!$A$1:$I$89,5,0)</f>
        <v>171.57504000000009</v>
      </c>
      <c r="BF47" s="14">
        <f t="shared" si="37"/>
        <v>43.44259058996105</v>
      </c>
      <c r="BG47" s="22">
        <f t="shared" si="7"/>
        <v>374.48903994418225</v>
      </c>
      <c r="BH47" s="60">
        <f t="shared" si="8"/>
        <v>625.37950868231974</v>
      </c>
      <c r="BI47" s="60">
        <f ca="1">AVERAGE(OFFSET($BH$3,0,0,'Données projet'!$E$11+1,1))-AVERAGE(OFFSET($H$3,0,0,'Données projet'!$E$11+1,1))</f>
        <v>363.28611056308665</v>
      </c>
      <c r="BJ47" s="60">
        <f t="shared" si="38"/>
        <v>389.43647559455974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161.02944000000005</v>
      </c>
      <c r="CA47" s="14">
        <f t="shared" si="39"/>
        <v>41.074621732940727</v>
      </c>
      <c r="CB47" s="22">
        <f t="shared" si="10"/>
        <v>351.99790751820518</v>
      </c>
      <c r="CC47" s="60">
        <f t="shared" si="11"/>
        <v>602.88837625634255</v>
      </c>
      <c r="CD47" s="60">
        <f ca="1">AVERAGE(OFFSET($CC$3,0,0,'Données projet'!$E$12+1,1))-AVERAGE(OFFSET($H$3,0,0,'Données projet'!$E$12+1,1))</f>
        <v>542.90832990875208</v>
      </c>
      <c r="CE47" s="60">
        <f t="shared" si="40"/>
        <v>304.94365539329362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10.869230769230773</v>
      </c>
      <c r="CT47" s="13">
        <f>IF('Données projet'!$A$140&gt;35,CT46+CS47-DB46,IF(A47&lt;'Données projet'!$A$140,$CQ$205^A47,IF(A47='Données projet'!$A$140,'Données projet'!$B$140,CT46+CS47-DB46)))</f>
        <v>241.27692307692305</v>
      </c>
      <c r="CU47" s="18">
        <f>CT47*VLOOKUP('Données projet'!$B$13,Paramètres!$A$1:$I$89,3,0)*VLOOKUP('Données projet'!$B$13,Paramètres!$A$1:$I$89,5,0)</f>
        <v>112.91759999999999</v>
      </c>
      <c r="CV47" s="14">
        <f t="shared" si="41"/>
        <v>30.017343081157474</v>
      </c>
      <c r="CW47" s="22">
        <f t="shared" si="13"/>
        <v>248.9450258663492</v>
      </c>
      <c r="CX47" s="60">
        <f t="shared" si="14"/>
        <v>499.8354946044866</v>
      </c>
      <c r="CY47" s="60">
        <f ca="1">AVERAGE(OFFSET($CX$3,0,0,'Données projet'!$E$13+1,1))-AVERAGE(OFFSET($H$3,0,0,'Données projet'!$E$13+1,1))</f>
        <v>277.77877239988635</v>
      </c>
      <c r="CZ47" s="60">
        <f t="shared" si="42"/>
        <v>164.65640238394164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4.8717948717948731</v>
      </c>
      <c r="DO47" s="13">
        <f>IF('Données projet'!$A$166&gt;35,DO46+DN47-DW46,IF(A47&lt;'Données projet'!$A$166,$DL$205^A47,IF(A47='Données projet'!$A$166,'Données projet'!$B$166,DO46+DN47-DW46)))</f>
        <v>121.41025641025639</v>
      </c>
      <c r="DP47" s="18">
        <f>DO47*VLOOKUP('Données projet'!$B$14,Paramètres!$A$1:$I$89,3,0)*VLOOKUP('Données projet'!$B$14,Paramètres!$A$1:$I$89,5,0)</f>
        <v>104.17</v>
      </c>
      <c r="DQ47" s="14">
        <f t="shared" si="43"/>
        <v>27.953068123715166</v>
      </c>
      <c r="DR47" s="22">
        <f t="shared" si="16"/>
        <v>230.11434364880392</v>
      </c>
      <c r="DS47" s="60">
        <f t="shared" si="17"/>
        <v>481.00481238694135</v>
      </c>
      <c r="DT47" s="60">
        <f ca="1">AVERAGE(OFFSET($DS$3,0,0,'Données projet'!$E$14+1,1))-AVERAGE(OFFSET($H$3,0,0,'Données projet'!$E$14+1,1))</f>
        <v>354.30160274624632</v>
      </c>
      <c r="DU47" s="60">
        <f t="shared" si="44"/>
        <v>218.8005329382452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8.4</v>
      </c>
      <c r="EJ47" s="13">
        <f>IF('Données projet'!$A$192&gt;35,EJ46+EI47-ER46,IF(A47&lt;'Données projet'!$A$192,$EG$205^A47,IF(A47='Données projet'!$A$192,'Données projet'!$B$192,EJ46+EI47-ER46)))</f>
        <v>149.60000000000005</v>
      </c>
      <c r="EK47" s="18">
        <f>EJ47*VLOOKUP('Données projet'!$B$15,Paramètres!$A$1:$I$89,3,0)*VLOOKUP('Données projet'!$B$15,Paramètres!$A$1:$I$89,5,0)</f>
        <v>144.69312000000005</v>
      </c>
      <c r="EL47" s="14">
        <f t="shared" si="45"/>
        <v>37.370061524802772</v>
      </c>
      <c r="EM47" s="22">
        <f t="shared" si="19"/>
        <v>317.09337448903153</v>
      </c>
      <c r="EN47" s="60">
        <f t="shared" si="20"/>
        <v>567.98384322716902</v>
      </c>
      <c r="EO47" s="60">
        <f ca="1">AVERAGE(OFFSET($EN$3,0,0,'Données projet'!$E$15+1,1))-AVERAGE(OFFSET($H$3,0,0,'Données projet'!$E$15+1,1))</f>
        <v>496.33873798282525</v>
      </c>
      <c r="EP47" s="60">
        <f t="shared" si="46"/>
        <v>280.25465074992246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8.2000000000000064</v>
      </c>
      <c r="FE47" s="13">
        <f>IF('Données projet'!$A$218&gt;35,FE46+FD47-FM46,IF(A47&lt;'Données projet'!$A$218,$FB$205^A47,IF(A47='Données projet'!$A$218,'Données projet'!$B$218,FE46+FD47-FM46)))</f>
        <v>196.40000000000006</v>
      </c>
      <c r="FF47" s="18">
        <f>FE47*VLOOKUP('Données projet'!$B$16,Paramètres!$A$1:$I$89,3,0)*VLOOKUP('Données projet'!$B$16,Paramètres!$A$1:$I$89,5,0)</f>
        <v>159.31968000000006</v>
      </c>
      <c r="FG47" s="14">
        <f t="shared" si="47"/>
        <v>40.689029298232143</v>
      </c>
      <c r="FH47" s="22">
        <f t="shared" si="22"/>
        <v>348.34850202775442</v>
      </c>
      <c r="FI47" s="60">
        <f t="shared" si="23"/>
        <v>599.23897076589185</v>
      </c>
      <c r="FJ47" s="60">
        <f ca="1">AVERAGE(OFFSET($FI$3,0,0,'Données projet'!$E$16+1,1))-AVERAGE(OFFSET($H$3,0,0,'Données projet'!$E$16+1,1))</f>
        <v>341.66430955115521</v>
      </c>
      <c r="FK47" s="60">
        <f t="shared" si="48"/>
        <v>366.15174925159192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8.2000000000000064</v>
      </c>
      <c r="FZ47" s="13">
        <f>IF('Données projet'!$A$244&gt;35,FZ46+FY47-GH46,IF(A47&lt;'Données projet'!$A$244,$FW$205^A47,IF(A47='Données projet'!$A$244,'Données projet'!$B$244,FZ46+FY47-GH46)))</f>
        <v>196.40000000000006</v>
      </c>
      <c r="GA47" s="18">
        <f>FZ47*VLOOKUP('Données projet'!$B$17,Paramètres!$A$1:$I$89,3,0)*VLOOKUP('Données projet'!$B$17,Paramètres!$A$1:$I$89,5,0)</f>
        <v>144.00048000000004</v>
      </c>
      <c r="GB47" s="14">
        <f t="shared" si="49"/>
        <v>37.211951137976968</v>
      </c>
      <c r="GC47" s="22">
        <f t="shared" si="25"/>
        <v>315.61165089864329</v>
      </c>
      <c r="GD47" s="60">
        <f t="shared" si="26"/>
        <v>566.50211963678066</v>
      </c>
      <c r="GE47" s="60">
        <f ca="1">AVERAGE(OFFSET($GD$3,0,0,'Données projet'!$E$17+1,1))-AVERAGE(OFFSET($H$3,0,0,'Données projet'!$E$17+1,1))</f>
        <v>314.58662400031631</v>
      </c>
      <c r="GF47" s="60">
        <f t="shared" si="50"/>
        <v>336.99073123405981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4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160.21200000000007</v>
      </c>
      <c r="P48" s="14">
        <f t="shared" si="33"/>
        <v>40.890328912852731</v>
      </c>
      <c r="Q48" s="22">
        <f t="shared" si="53"/>
        <v>350.25322285655193</v>
      </c>
      <c r="R48" s="60">
        <f t="shared" si="0"/>
        <v>601.87998040738603</v>
      </c>
      <c r="S48" s="60">
        <f ca="1">AVERAGE(OFFSET($R$3,0,0,'Données projet'!$E$9+1,1))-AVERAGE(OFFSET($H$3,0,0,'Données projet'!$E$9+1,1))</f>
        <v>516.30971934066179</v>
      </c>
      <c r="T48" s="60">
        <f t="shared" si="34"/>
        <v>290.84286505723571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173.07692307692307</v>
      </c>
      <c r="AG48" s="13">
        <f>VLOOKUP(A48,'Données projet'!$A$61:$I$81,9,0)</f>
        <v>6.2820512820512819</v>
      </c>
      <c r="AH48" s="13">
        <f t="array" ref="AH48">INDEX(AG:AG,MIN(IF(ISNUMBER(AG48:AG244),ROW(AG48:AG244),"")))</f>
        <v>6.2820512820512819</v>
      </c>
      <c r="AI48" s="14">
        <f>IF('Données projet'!$A$62&gt;35,AI47+AH48-AQ47,IF(A48&lt;'Données projet'!$A$62,$AF$205^A48,IF(A48='Données projet'!$A$62,'Données projet'!$B$62,AI47+AH48-AQ47)))</f>
        <v>173.07692307692304</v>
      </c>
      <c r="AJ48" s="14">
        <f>AI48*VLOOKUP('Données projet'!$B$10,Paramètres!$A$1:$I$89,3,0)*VLOOKUP('Données projet'!$B$10,Paramètres!$A$1:$I$89,5,0)</f>
        <v>180.89999999999998</v>
      </c>
      <c r="AK48" s="14">
        <f t="shared" si="35"/>
        <v>45.522361425254346</v>
      </c>
      <c r="AL48" s="22">
        <f t="shared" si="4"/>
        <v>394.35227948231795</v>
      </c>
      <c r="AM48" s="60">
        <f t="shared" si="5"/>
        <v>645.97903703315205</v>
      </c>
      <c r="AN48" s="60">
        <f ca="1">AVERAGE(OFFSET($AM$3,0,0,'Données projet'!$E$10+1,1))-AVERAGE(OFFSET($H$3,0,0,'Données projet'!$E$10+1,1))</f>
        <v>529.00505223594837</v>
      </c>
      <c r="AO48" s="60">
        <f t="shared" si="36"/>
        <v>321.23004033257985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204.60000000000002</v>
      </c>
      <c r="BB48" s="13">
        <f>VLOOKUP(A48,'Données projet'!$A$87:$I$107,9,0)</f>
        <v>8.2000000000000064</v>
      </c>
      <c r="BC48" s="13">
        <f t="array" ref="BC48">INDEX(BB:BB,MIN(IF(ISNUMBER(BB48:BB244),ROW(BB48:BB244),"")))</f>
        <v>8.2000000000000064</v>
      </c>
      <c r="BD48" s="13">
        <f>IF('Données projet'!$A$88&gt;35,BD47+BC48-BL47,IF(A48&lt;'Données projet'!$A$88,$BA$205^A48,IF(A48='Données projet'!$A$88,'Données projet'!$B$88,BD47+BC48-BL47)))</f>
        <v>204.60000000000008</v>
      </c>
      <c r="BE48" s="14">
        <f>BD48*VLOOKUP('Données projet'!$B$11,Paramètres!$A$1:$I$89,3,0)*VLOOKUP('Données projet'!$B$11,Paramètres!$A$1:$I$89,5,0)</f>
        <v>178.73856000000009</v>
      </c>
      <c r="BF48" s="14">
        <f t="shared" si="37"/>
        <v>45.041424241265368</v>
      </c>
      <c r="BG48" s="22">
        <f t="shared" si="7"/>
        <v>389.75013922020395</v>
      </c>
      <c r="BH48" s="60">
        <f t="shared" si="8"/>
        <v>641.3768967710381</v>
      </c>
      <c r="BI48" s="60">
        <f ca="1">AVERAGE(OFFSET($BH$3,0,0,'Données projet'!$E$11+1,1))-AVERAGE(OFFSET($H$3,0,0,'Données projet'!$E$11+1,1))</f>
        <v>363.28611056308665</v>
      </c>
      <c r="BJ48" s="60">
        <f t="shared" si="38"/>
        <v>389.43647559455974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170.07120000000003</v>
      </c>
      <c r="CA48" s="14">
        <f t="shared" si="39"/>
        <v>43.10596962815594</v>
      </c>
      <c r="CB48" s="22">
        <f t="shared" si="10"/>
        <v>371.28357043570503</v>
      </c>
      <c r="CC48" s="60">
        <f t="shared" si="11"/>
        <v>622.91032798653919</v>
      </c>
      <c r="CD48" s="60">
        <f ca="1">AVERAGE(OFFSET($CC$3,0,0,'Données projet'!$E$12+1,1))-AVERAGE(OFFSET($H$3,0,0,'Données projet'!$E$12+1,1))</f>
        <v>542.90832990875208</v>
      </c>
      <c r="CE48" s="60">
        <f t="shared" si="40"/>
        <v>304.94365539329362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252.14615384615385</v>
      </c>
      <c r="CR48" s="13">
        <f>VLOOKUP(A48,'Données projet'!$A$139:$I$159,9,0)</f>
        <v>10.869230769230773</v>
      </c>
      <c r="CS48" s="13">
        <f t="array" ref="CS48">INDEX(CR:CR,MIN(IF(ISNUMBER(CR48:CR244),ROW(CR48:CR244),"")))</f>
        <v>10.869230769230773</v>
      </c>
      <c r="CT48" s="13">
        <f>IF('Données projet'!$A$140&gt;35,CT47+CS48-DB47,IF(A48&lt;'Données projet'!$A$140,$CQ$205^A48,IF(A48='Données projet'!$A$140,'Données projet'!$B$140,CT47+CS48-DB47)))</f>
        <v>252.14615384615382</v>
      </c>
      <c r="CU48" s="18">
        <f>CT48*VLOOKUP('Données projet'!$B$13,Paramètres!$A$1:$I$89,3,0)*VLOOKUP('Données projet'!$B$13,Paramètres!$A$1:$I$89,5,0)</f>
        <v>118.00439999999999</v>
      </c>
      <c r="CV48" s="14">
        <f t="shared" si="41"/>
        <v>31.209105068500421</v>
      </c>
      <c r="CW48" s="22">
        <f t="shared" si="13"/>
        <v>259.88018799430489</v>
      </c>
      <c r="CX48" s="60">
        <f t="shared" si="14"/>
        <v>511.50694554513905</v>
      </c>
      <c r="CY48" s="60">
        <f ca="1">AVERAGE(OFFSET($CX$3,0,0,'Données projet'!$E$13+1,1))-AVERAGE(OFFSET($H$3,0,0,'Données projet'!$E$13+1,1))</f>
        <v>277.77877239988635</v>
      </c>
      <c r="CZ48" s="60">
        <f t="shared" si="42"/>
        <v>164.65640238394164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126.28205128205128</v>
      </c>
      <c r="DM48" s="13">
        <f>VLOOKUP(A48,'Données projet'!$A$165:$I$185,9,0)</f>
        <v>4.8717948717948731</v>
      </c>
      <c r="DN48" s="13">
        <f t="array" ref="DN48">INDEX(DM:DM,MIN(IF(ISNUMBER(DM48:DM244),ROW(DM48:DM244),"")))</f>
        <v>4.8717948717948731</v>
      </c>
      <c r="DO48" s="13">
        <f>IF('Données projet'!$A$166&gt;35,DO47+DN48-DW47,IF(A48&lt;'Données projet'!$A$166,$DL$205^A48,IF(A48='Données projet'!$A$166,'Données projet'!$B$166,DO47+DN48-DW47)))</f>
        <v>126.28205128205127</v>
      </c>
      <c r="DP48" s="18">
        <f>DO48*VLOOKUP('Données projet'!$B$14,Paramètres!$A$1:$I$89,3,0)*VLOOKUP('Données projet'!$B$14,Paramètres!$A$1:$I$89,5,0)</f>
        <v>108.35000000000001</v>
      </c>
      <c r="DQ48" s="14">
        <f t="shared" si="43"/>
        <v>28.941890412175933</v>
      </c>
      <c r="DR48" s="22">
        <f t="shared" si="16"/>
        <v>239.11670913453978</v>
      </c>
      <c r="DS48" s="60">
        <f t="shared" si="17"/>
        <v>490.7434666853739</v>
      </c>
      <c r="DT48" s="60">
        <f ca="1">AVERAGE(OFFSET($DS$3,0,0,'Données projet'!$E$14+1,1))-AVERAGE(OFFSET($H$3,0,0,'Données projet'!$E$14+1,1))</f>
        <v>354.30160274624632</v>
      </c>
      <c r="DU48" s="60">
        <f t="shared" si="44"/>
        <v>218.8005329382452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158</v>
      </c>
      <c r="EH48" s="13">
        <f>VLOOKUP(A48,'Données projet'!$A$191:$I$211,9,0)</f>
        <v>8.4</v>
      </c>
      <c r="EI48" s="13">
        <f t="array" ref="EI48">INDEX(EH:EH,MIN(IF(ISNUMBER(EH48:EH244),ROW(EH48:EH244),"")))</f>
        <v>8.4</v>
      </c>
      <c r="EJ48" s="13">
        <f>IF('Données projet'!$A$192&gt;35,EJ47+EI48-ER47,IF(A48&lt;'Données projet'!$A$192,$EG$205^A48,IF(A48='Données projet'!$A$192,'Données projet'!$B$192,EJ47+EI48-ER47)))</f>
        <v>158.00000000000006</v>
      </c>
      <c r="EK48" s="18">
        <f>EJ48*VLOOKUP('Données projet'!$B$15,Paramètres!$A$1:$I$89,3,0)*VLOOKUP('Données projet'!$B$15,Paramètres!$A$1:$I$89,5,0)</f>
        <v>152.81760000000006</v>
      </c>
      <c r="EL48" s="14">
        <f t="shared" si="45"/>
        <v>39.218200171484227</v>
      </c>
      <c r="EM48" s="22">
        <f t="shared" si="19"/>
        <v>334.46235196533513</v>
      </c>
      <c r="EN48" s="60">
        <f t="shared" si="20"/>
        <v>586.08910951616929</v>
      </c>
      <c r="EO48" s="60">
        <f ca="1">AVERAGE(OFFSET($EN$3,0,0,'Données projet'!$E$15+1,1))-AVERAGE(OFFSET($H$3,0,0,'Données projet'!$E$15+1,1))</f>
        <v>496.33873798282525</v>
      </c>
      <c r="EP48" s="60">
        <f t="shared" si="46"/>
        <v>280.25465074992246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204.60000000000002</v>
      </c>
      <c r="FC48" s="13">
        <f>VLOOKUP(A48,'Données projet'!$A$217:$I$237,9,0)</f>
        <v>8.2000000000000064</v>
      </c>
      <c r="FD48" s="13">
        <f t="array" ref="FD48">INDEX(FC:FC,MIN(IF(ISNUMBER(FC48:FC244),ROW(FC48:FC244),"")))</f>
        <v>8.2000000000000064</v>
      </c>
      <c r="FE48" s="13">
        <f>IF('Données projet'!$A$218&gt;35,FE47+FD48-FM47,IF(A48&lt;'Données projet'!$A$218,$FB$205^A48,IF(A48='Données projet'!$A$218,'Données projet'!$B$218,FE47+FD48-FM47)))</f>
        <v>204.60000000000008</v>
      </c>
      <c r="FF48" s="18">
        <f>FE48*VLOOKUP('Données projet'!$B$16,Paramètres!$A$1:$I$89,3,0)*VLOOKUP('Données projet'!$B$16,Paramètres!$A$1:$I$89,5,0)</f>
        <v>165.97152000000006</v>
      </c>
      <c r="FG48" s="14">
        <f t="shared" si="47"/>
        <v>42.186522619819435</v>
      </c>
      <c r="FH48" s="22">
        <f t="shared" si="22"/>
        <v>362.541924229519</v>
      </c>
      <c r="FI48" s="60">
        <f t="shared" si="23"/>
        <v>614.16868178035315</v>
      </c>
      <c r="FJ48" s="60">
        <f ca="1">AVERAGE(OFFSET($FI$3,0,0,'Données projet'!$E$16+1,1))-AVERAGE(OFFSET($H$3,0,0,'Données projet'!$E$16+1,1))</f>
        <v>341.66430955115521</v>
      </c>
      <c r="FK48" s="60">
        <f t="shared" si="48"/>
        <v>366.15174925159192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204.60000000000002</v>
      </c>
      <c r="FX48" s="13">
        <f>VLOOKUP(A48,'Données projet'!$A$243:$I$263,9,0)</f>
        <v>8.2000000000000064</v>
      </c>
      <c r="FY48" s="13">
        <f t="array" ref="FY48">INDEX(FX:FX,MIN(IF(ISNUMBER(FX48:FX244),ROW(FX48:FX244),"")))</f>
        <v>8.2000000000000064</v>
      </c>
      <c r="FZ48" s="13">
        <f>IF('Données projet'!$A$244&gt;35,FZ47+FY48-GH47,IF(A48&lt;'Données projet'!$A$244,$FW$205^A48,IF(A48='Données projet'!$A$244,'Données projet'!$B$244,FZ47+FY48-GH47)))</f>
        <v>204.60000000000008</v>
      </c>
      <c r="GA48" s="18">
        <f>FZ48*VLOOKUP('Données projet'!$B$17,Paramètres!$A$1:$I$89,3,0)*VLOOKUP('Données projet'!$B$17,Paramètres!$A$1:$I$89,5,0)</f>
        <v>150.01272000000006</v>
      </c>
      <c r="GB48" s="14">
        <f t="shared" si="49"/>
        <v>38.581476272231662</v>
      </c>
      <c r="GC48" s="22">
        <f t="shared" si="25"/>
        <v>328.46822517413688</v>
      </c>
      <c r="GD48" s="60">
        <f t="shared" si="26"/>
        <v>580.09498272497103</v>
      </c>
      <c r="GE48" s="60">
        <f ca="1">AVERAGE(OFFSET($GD$3,0,0,'Données projet'!$E$17+1,1))-AVERAGE(OFFSET($H$3,0,0,'Données projet'!$E$17+1,1))</f>
        <v>314.58662400031631</v>
      </c>
      <c r="GF48" s="60">
        <f t="shared" si="50"/>
        <v>336.99073123405981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4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168.52680000000007</v>
      </c>
      <c r="P49" s="14">
        <f t="shared" si="33"/>
        <v>42.759908842532369</v>
      </c>
      <c r="Q49" s="22">
        <f t="shared" si="53"/>
        <v>367.991017900744</v>
      </c>
      <c r="R49" s="60">
        <f t="shared" si="0"/>
        <v>620.34129129946962</v>
      </c>
      <c r="S49" s="60">
        <f ca="1">AVERAGE(OFFSET($R$3,0,0,'Données projet'!$E$9+1,1))-AVERAGE(OFFSET($H$3,0,0,'Données projet'!$E$9+1,1))</f>
        <v>516.30971934066179</v>
      </c>
      <c r="T49" s="60">
        <f t="shared" si="34"/>
        <v>290.84286505723571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6.0256410256410273</v>
      </c>
      <c r="AI49" s="14">
        <f>IF('Données projet'!$A$62&gt;35,AI48+AH49-AQ48,IF(A49&lt;'Données projet'!$A$62,$AF$205^A49,IF(A49='Données projet'!$A$62,'Données projet'!$B$62,AI48+AH49-AQ48)))</f>
        <v>179.10256410256406</v>
      </c>
      <c r="AJ49" s="14">
        <f>AI49*VLOOKUP('Données projet'!$B$10,Paramètres!$A$1:$I$89,3,0)*VLOOKUP('Données projet'!$B$10,Paramètres!$A$1:$I$89,5,0)</f>
        <v>187.19799999999998</v>
      </c>
      <c r="AK49" s="14">
        <f t="shared" si="35"/>
        <v>46.919935793880072</v>
      </c>
      <c r="AL49" s="22">
        <f t="shared" si="4"/>
        <v>407.75540484100776</v>
      </c>
      <c r="AM49" s="60">
        <f t="shared" si="5"/>
        <v>660.10567823973338</v>
      </c>
      <c r="AN49" s="60">
        <f ca="1">AVERAGE(OFFSET($AM$3,0,0,'Données projet'!$E$10+1,1))-AVERAGE(OFFSET($H$3,0,0,'Données projet'!$E$10+1,1))</f>
        <v>529.00505223594837</v>
      </c>
      <c r="AO49" s="60">
        <f t="shared" si="36"/>
        <v>321.23004033257985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7.1199999999999992</v>
      </c>
      <c r="BD49" s="13">
        <f>IF('Données projet'!$A$88&gt;35,BD48+BC49-BL48,IF(A49&lt;'Données projet'!$A$88,$BA$205^A49,IF(A49='Données projet'!$A$88,'Données projet'!$B$88,BD48+BC49-BL48)))</f>
        <v>211.72000000000008</v>
      </c>
      <c r="BE49" s="14">
        <f>BD49*VLOOKUP('Données projet'!$B$11,Paramètres!$A$1:$I$89,3,0)*VLOOKUP('Données projet'!$B$11,Paramètres!$A$1:$I$89,5,0)</f>
        <v>184.9585920000001</v>
      </c>
      <c r="BF49" s="14">
        <f t="shared" si="37"/>
        <v>46.423630673154392</v>
      </c>
      <c r="BG49" s="22">
        <f t="shared" si="7"/>
        <v>402.99070448907742</v>
      </c>
      <c r="BH49" s="60">
        <f t="shared" si="8"/>
        <v>655.34097788780309</v>
      </c>
      <c r="BI49" s="60">
        <f ca="1">AVERAGE(OFFSET($BH$3,0,0,'Données projet'!$E$11+1,1))-AVERAGE(OFFSET($H$3,0,0,'Données projet'!$E$11+1,1))</f>
        <v>363.28611056308665</v>
      </c>
      <c r="BJ49" s="60">
        <f t="shared" si="38"/>
        <v>389.43647559455974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166.20000000000005</v>
      </c>
      <c r="BZ49" s="14">
        <f>BY49*VLOOKUP('Données projet'!$B$12,Paramètres!$A$1:$I$89,3,0)*VLOOKUP('Données projet'!$B$12,Paramètres!$A$1:$I$89,5,0)</f>
        <v>178.89768000000004</v>
      </c>
      <c r="CA49" s="14">
        <f t="shared" si="39"/>
        <v>45.076852665999411</v>
      </c>
      <c r="CB49" s="22">
        <f t="shared" si="10"/>
        <v>390.08897772661572</v>
      </c>
      <c r="CC49" s="60">
        <f t="shared" si="11"/>
        <v>642.43925112534134</v>
      </c>
      <c r="CD49" s="60">
        <f ca="1">AVERAGE(OFFSET($CC$3,0,0,'Données projet'!$E$12+1,1))-AVERAGE(OFFSET($H$3,0,0,'Données projet'!$E$12+1,1))</f>
        <v>542.90832990875208</v>
      </c>
      <c r="CE49" s="60">
        <f t="shared" si="40"/>
        <v>304.94365539329362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11.615384615384608</v>
      </c>
      <c r="CT49" s="13">
        <f>IF('Données projet'!$A$140&gt;35,CT48+CS49-DB48,IF(A49&lt;'Données projet'!$A$140,$CQ$205^A49,IF(A49='Données projet'!$A$140,'Données projet'!$B$140,CT48+CS49-DB48)))</f>
        <v>263.76153846153841</v>
      </c>
      <c r="CU49" s="18">
        <f>CT49*VLOOKUP('Données projet'!$B$13,Paramètres!$A$1:$I$89,3,0)*VLOOKUP('Données projet'!$B$13,Paramètres!$A$1:$I$89,5,0)</f>
        <v>123.44039999999998</v>
      </c>
      <c r="CV49" s="14">
        <f t="shared" si="41"/>
        <v>32.476091260477197</v>
      </c>
      <c r="CW49" s="22">
        <f t="shared" si="13"/>
        <v>271.55455561199773</v>
      </c>
      <c r="CX49" s="60">
        <f t="shared" si="14"/>
        <v>523.90482901072335</v>
      </c>
      <c r="CY49" s="60">
        <f ca="1">AVERAGE(OFFSET($CX$3,0,0,'Données projet'!$E$13+1,1))-AVERAGE(OFFSET($H$3,0,0,'Données projet'!$E$13+1,1))</f>
        <v>277.77877239988635</v>
      </c>
      <c r="CZ49" s="60">
        <f t="shared" si="42"/>
        <v>164.65640238394164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4.6153846153846159</v>
      </c>
      <c r="DO49" s="13">
        <f>IF('Données projet'!$A$166&gt;35,DO48+DN49-DW48,IF(A49&lt;'Données projet'!$A$166,$DL$205^A49,IF(A49='Données projet'!$A$166,'Données projet'!$B$166,DO48+DN49-DW48)))</f>
        <v>130.89743589743588</v>
      </c>
      <c r="DP49" s="18">
        <f>DO49*VLOOKUP('Données projet'!$B$14,Paramètres!$A$1:$I$89,3,0)*VLOOKUP('Données projet'!$B$14,Paramètres!$A$1:$I$89,5,0)</f>
        <v>112.30999999999999</v>
      </c>
      <c r="DQ49" s="14">
        <f t="shared" si="43"/>
        <v>29.874578543925416</v>
      </c>
      <c r="DR49" s="22">
        <f t="shared" si="16"/>
        <v>247.63814096400338</v>
      </c>
      <c r="DS49" s="60">
        <f t="shared" si="17"/>
        <v>499.98841436272903</v>
      </c>
      <c r="DT49" s="60">
        <f ca="1">AVERAGE(OFFSET($DS$3,0,0,'Données projet'!$E$14+1,1))-AVERAGE(OFFSET($H$3,0,0,'Données projet'!$E$14+1,1))</f>
        <v>354.30160274624632</v>
      </c>
      <c r="DU49" s="60">
        <f t="shared" si="44"/>
        <v>218.8005329382452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8.1999999999999993</v>
      </c>
      <c r="EJ49" s="13">
        <f>IF('Données projet'!$A$192&gt;35,EJ48+EI49-ER48,IF(A49&lt;'Données projet'!$A$192,$EG$205^A49,IF(A49='Données projet'!$A$192,'Données projet'!$B$192,EJ48+EI49-ER48)))</f>
        <v>166.20000000000005</v>
      </c>
      <c r="EK49" s="18">
        <f>EJ49*VLOOKUP('Données projet'!$B$15,Paramètres!$A$1:$I$89,3,0)*VLOOKUP('Données projet'!$B$15,Paramètres!$A$1:$I$89,5,0)</f>
        <v>160.74864000000005</v>
      </c>
      <c r="EL49" s="14">
        <f t="shared" si="45"/>
        <v>41.011327345272264</v>
      </c>
      <c r="EM49" s="22">
        <f t="shared" si="19"/>
        <v>351.39860979301596</v>
      </c>
      <c r="EN49" s="60">
        <f t="shared" si="20"/>
        <v>603.74888319174158</v>
      </c>
      <c r="EO49" s="60">
        <f ca="1">AVERAGE(OFFSET($EN$3,0,0,'Données projet'!$E$15+1,1))-AVERAGE(OFFSET($H$3,0,0,'Données projet'!$E$15+1,1))</f>
        <v>496.33873798282525</v>
      </c>
      <c r="EP49" s="60">
        <f t="shared" si="46"/>
        <v>280.25465074992246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7.1199999999999992</v>
      </c>
      <c r="FE49" s="13">
        <f>IF('Données projet'!$A$218&gt;35,FE48+FD49-FM48,IF(A49&lt;'Données projet'!$A$218,$FB$205^A49,IF(A49='Données projet'!$A$218,'Données projet'!$B$218,FE48+FD49-FM48)))</f>
        <v>211.72000000000008</v>
      </c>
      <c r="FF49" s="18">
        <f>FE49*VLOOKUP('Données projet'!$B$16,Paramètres!$A$1:$I$89,3,0)*VLOOKUP('Données projet'!$B$16,Paramètres!$A$1:$I$89,5,0)</f>
        <v>171.74726400000009</v>
      </c>
      <c r="FG49" s="14">
        <f t="shared" si="47"/>
        <v>43.481119402367973</v>
      </c>
      <c r="FH49" s="22">
        <f t="shared" si="22"/>
        <v>374.85610109245766</v>
      </c>
      <c r="FI49" s="60">
        <f t="shared" si="23"/>
        <v>627.20637449118328</v>
      </c>
      <c r="FJ49" s="60">
        <f ca="1">AVERAGE(OFFSET($FI$3,0,0,'Données projet'!$E$16+1,1))-AVERAGE(OFFSET($H$3,0,0,'Données projet'!$E$16+1,1))</f>
        <v>341.66430955115521</v>
      </c>
      <c r="FK49" s="60">
        <f t="shared" si="48"/>
        <v>366.15174925159192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7.1199999999999992</v>
      </c>
      <c r="FZ49" s="13">
        <f>IF('Données projet'!$A$244&gt;35,FZ48+FY49-GH48,IF(A49&lt;'Données projet'!$A$244,$FW$205^A49,IF(A49='Données projet'!$A$244,'Données projet'!$B$244,FZ48+FY49-GH48)))</f>
        <v>211.72000000000008</v>
      </c>
      <c r="GA49" s="18">
        <f>FZ49*VLOOKUP('Données projet'!$B$17,Paramètres!$A$1:$I$89,3,0)*VLOOKUP('Données projet'!$B$17,Paramètres!$A$1:$I$89,5,0)</f>
        <v>155.23310400000005</v>
      </c>
      <c r="GB49" s="14">
        <f t="shared" si="49"/>
        <v>39.765443377037272</v>
      </c>
      <c r="GC49" s="22">
        <f t="shared" si="25"/>
        <v>339.62247001500663</v>
      </c>
      <c r="GD49" s="60">
        <f t="shared" si="26"/>
        <v>591.97274341373225</v>
      </c>
      <c r="GE49" s="60">
        <f ca="1">AVERAGE(OFFSET($GD$3,0,0,'Données projet'!$E$17+1,1))-AVERAGE(OFFSET($H$3,0,0,'Données projet'!$E$17+1,1))</f>
        <v>314.58662400031631</v>
      </c>
      <c r="GF49" s="60">
        <f t="shared" si="50"/>
        <v>336.99073123405981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4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176.84160000000006</v>
      </c>
      <c r="P50" s="14">
        <f t="shared" si="33"/>
        <v>44.618778032982952</v>
      </c>
      <c r="Q50" s="22">
        <f t="shared" si="53"/>
        <v>385.71015840744536</v>
      </c>
      <c r="R50" s="60">
        <f t="shared" si="0"/>
        <v>638.7713962716407</v>
      </c>
      <c r="S50" s="60">
        <f ca="1">AVERAGE(OFFSET($R$3,0,0,'Données projet'!$E$9+1,1))-AVERAGE(OFFSET($H$3,0,0,'Données projet'!$E$9+1,1))</f>
        <v>516.30971934066179</v>
      </c>
      <c r="T50" s="60">
        <f t="shared" si="34"/>
        <v>290.84286505723571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6.0256410256410273</v>
      </c>
      <c r="AI50" s="14">
        <f>IF('Données projet'!$A$62&gt;35,AI49+AH50-AQ49,IF(A50&lt;'Données projet'!$A$62,$AF$205^A50,IF(A50='Données projet'!$A$62,'Données projet'!$B$62,AI49+AH50-AQ49)))</f>
        <v>185.12820512820508</v>
      </c>
      <c r="AJ50" s="14">
        <f>AI50*VLOOKUP('Données projet'!$B$10,Paramètres!$A$1:$I$89,3,0)*VLOOKUP('Données projet'!$B$10,Paramètres!$A$1:$I$89,5,0)</f>
        <v>193.49599999999998</v>
      </c>
      <c r="AK50" s="14">
        <f t="shared" si="35"/>
        <v>48.312046726948296</v>
      </c>
      <c r="AL50" s="22">
        <f t="shared" si="4"/>
        <v>421.14901471610159</v>
      </c>
      <c r="AM50" s="60">
        <f t="shared" si="5"/>
        <v>674.21025258029704</v>
      </c>
      <c r="AN50" s="60">
        <f ca="1">AVERAGE(OFFSET($AM$3,0,0,'Données projet'!$E$10+1,1))-AVERAGE(OFFSET($H$3,0,0,'Données projet'!$E$10+1,1))</f>
        <v>529.00505223594837</v>
      </c>
      <c r="AO50" s="60">
        <f t="shared" si="36"/>
        <v>321.23004033257985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7.1199999999999992</v>
      </c>
      <c r="BD50" s="13">
        <f>IF('Données projet'!$A$88&gt;35,BD49+BC50-BL49,IF(A50&lt;'Données projet'!$A$88,$BA$205^A50,IF(A50='Données projet'!$A$88,'Données projet'!$B$88,BD49+BC50-BL49)))</f>
        <v>218.84000000000009</v>
      </c>
      <c r="BE50" s="14">
        <f>BD50*VLOOKUP('Données projet'!$B$11,Paramètres!$A$1:$I$89,3,0)*VLOOKUP('Données projet'!$B$11,Paramètres!$A$1:$I$89,5,0)</f>
        <v>191.1786240000001</v>
      </c>
      <c r="BF50" s="14">
        <f t="shared" si="37"/>
        <v>47.800436023309679</v>
      </c>
      <c r="BG50" s="22">
        <f t="shared" si="7"/>
        <v>416.22186287393123</v>
      </c>
      <c r="BH50" s="60">
        <f t="shared" si="8"/>
        <v>669.28310073812668</v>
      </c>
      <c r="BI50" s="60">
        <f ca="1">AVERAGE(OFFSET($BH$3,0,0,'Données projet'!$E$11+1,1))-AVERAGE(OFFSET($H$3,0,0,'Données projet'!$E$11+1,1))</f>
        <v>363.28611056308665</v>
      </c>
      <c r="BJ50" s="60">
        <f t="shared" si="38"/>
        <v>389.43647559455974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174.40000000000003</v>
      </c>
      <c r="BZ50" s="14">
        <f>BY50*VLOOKUP('Données projet'!$B$12,Paramètres!$A$1:$I$89,3,0)*VLOOKUP('Données projet'!$B$12,Paramètres!$A$1:$I$89,5,0)</f>
        <v>187.72416000000004</v>
      </c>
      <c r="CA50" s="14">
        <f t="shared" si="39"/>
        <v>47.036444603668812</v>
      </c>
      <c r="CB50" s="22">
        <f t="shared" si="10"/>
        <v>408.87471968472323</v>
      </c>
      <c r="CC50" s="60">
        <f t="shared" si="11"/>
        <v>661.93595754891862</v>
      </c>
      <c r="CD50" s="60">
        <f ca="1">AVERAGE(OFFSET($CC$3,0,0,'Données projet'!$E$12+1,1))-AVERAGE(OFFSET($H$3,0,0,'Données projet'!$E$12+1,1))</f>
        <v>542.90832990875208</v>
      </c>
      <c r="CE50" s="60">
        <f t="shared" si="40"/>
        <v>304.94365539329362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11.615384615384608</v>
      </c>
      <c r="CT50" s="13">
        <f>IF('Données projet'!$A$140&gt;35,CT49+CS50-DB49,IF(A50&lt;'Données projet'!$A$140,$CQ$205^A50,IF(A50='Données projet'!$A$140,'Données projet'!$B$140,CT49+CS50-DB49)))</f>
        <v>275.37692307692299</v>
      </c>
      <c r="CU50" s="18">
        <f>CT50*VLOOKUP('Données projet'!$B$13,Paramètres!$A$1:$I$89,3,0)*VLOOKUP('Données projet'!$B$13,Paramètres!$A$1:$I$89,5,0)</f>
        <v>128.87639999999996</v>
      </c>
      <c r="CV50" s="14">
        <f t="shared" si="41"/>
        <v>33.736597338654839</v>
      </c>
      <c r="CW50" s="22">
        <f t="shared" si="13"/>
        <v>283.21763703149043</v>
      </c>
      <c r="CX50" s="60">
        <f t="shared" si="14"/>
        <v>536.27887489568582</v>
      </c>
      <c r="CY50" s="60">
        <f ca="1">AVERAGE(OFFSET($CX$3,0,0,'Données projet'!$E$13+1,1))-AVERAGE(OFFSET($H$3,0,0,'Données projet'!$E$13+1,1))</f>
        <v>277.77877239988635</v>
      </c>
      <c r="CZ50" s="60">
        <f t="shared" si="42"/>
        <v>164.65640238394164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4.6153846153846159</v>
      </c>
      <c r="DO50" s="13">
        <f>IF('Données projet'!$A$166&gt;35,DO49+DN50-DW49,IF(A50&lt;'Données projet'!$A$166,$DL$205^A50,IF(A50='Données projet'!$A$166,'Données projet'!$B$166,DO49+DN50-DW49)))</f>
        <v>135.5128205128205</v>
      </c>
      <c r="DP50" s="18">
        <f>DO50*VLOOKUP('Données projet'!$B$14,Paramètres!$A$1:$I$89,3,0)*VLOOKUP('Données projet'!$B$14,Paramètres!$A$1:$I$89,5,0)</f>
        <v>116.27000000000001</v>
      </c>
      <c r="DQ50" s="14">
        <f t="shared" si="43"/>
        <v>30.803445734552593</v>
      </c>
      <c r="DR50" s="22">
        <f t="shared" si="16"/>
        <v>256.15291798767913</v>
      </c>
      <c r="DS50" s="60">
        <f t="shared" si="17"/>
        <v>509.21415585187452</v>
      </c>
      <c r="DT50" s="60">
        <f ca="1">AVERAGE(OFFSET($DS$3,0,0,'Données projet'!$E$14+1,1))-AVERAGE(OFFSET($H$3,0,0,'Données projet'!$E$14+1,1))</f>
        <v>354.30160274624632</v>
      </c>
      <c r="DU50" s="60">
        <f t="shared" si="44"/>
        <v>218.8005329382452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8.1999999999999993</v>
      </c>
      <c r="EJ50" s="13">
        <f>IF('Données projet'!$A$192&gt;35,EJ49+EI50-ER49,IF(A50&lt;'Données projet'!$A$192,$EG$205^A50,IF(A50='Données projet'!$A$192,'Données projet'!$B$192,EJ49+EI50-ER49)))</f>
        <v>174.40000000000003</v>
      </c>
      <c r="EK50" s="18">
        <f>EJ50*VLOOKUP('Données projet'!$B$15,Paramètres!$A$1:$I$89,3,0)*VLOOKUP('Données projet'!$B$15,Paramètres!$A$1:$I$89,5,0)</f>
        <v>168.67968000000002</v>
      </c>
      <c r="EL50" s="14">
        <f t="shared" si="45"/>
        <v>42.794181774227013</v>
      </c>
      <c r="EM50" s="22">
        <f t="shared" si="19"/>
        <v>368.3169759234454</v>
      </c>
      <c r="EN50" s="60">
        <f t="shared" si="20"/>
        <v>621.37821378764079</v>
      </c>
      <c r="EO50" s="60">
        <f ca="1">AVERAGE(OFFSET($EN$3,0,0,'Données projet'!$E$15+1,1))-AVERAGE(OFFSET($H$3,0,0,'Données projet'!$E$15+1,1))</f>
        <v>496.33873798282525</v>
      </c>
      <c r="EP50" s="60">
        <f t="shared" si="46"/>
        <v>280.25465074992246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7.1199999999999992</v>
      </c>
      <c r="FE50" s="13">
        <f>IF('Données projet'!$A$218&gt;35,FE49+FD50-FM49,IF(A50&lt;'Données projet'!$A$218,$FB$205^A50,IF(A50='Données projet'!$A$218,'Données projet'!$B$218,FE49+FD50-FM49)))</f>
        <v>218.84000000000009</v>
      </c>
      <c r="FF50" s="18">
        <f>FE50*VLOOKUP('Données projet'!$B$16,Paramètres!$A$1:$I$89,3,0)*VLOOKUP('Données projet'!$B$16,Paramètres!$A$1:$I$89,5,0)</f>
        <v>177.52300800000009</v>
      </c>
      <c r="FG50" s="14">
        <f t="shared" si="47"/>
        <v>44.770657444866259</v>
      </c>
      <c r="FH50" s="22">
        <f t="shared" si="22"/>
        <v>387.16146731647558</v>
      </c>
      <c r="FI50" s="60">
        <f t="shared" si="23"/>
        <v>640.22270518067103</v>
      </c>
      <c r="FJ50" s="60">
        <f ca="1">AVERAGE(OFFSET($FI$3,0,0,'Données projet'!$E$16+1,1))-AVERAGE(OFFSET($H$3,0,0,'Données projet'!$E$16+1,1))</f>
        <v>341.66430955115521</v>
      </c>
      <c r="FK50" s="60">
        <f t="shared" si="48"/>
        <v>366.15174925159192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7.1199999999999992</v>
      </c>
      <c r="FZ50" s="13">
        <f>IF('Données projet'!$A$244&gt;35,FZ49+FY50-GH49,IF(A50&lt;'Données projet'!$A$244,$FW$205^A50,IF(A50='Données projet'!$A$244,'Données projet'!$B$244,FZ49+FY50-GH49)))</f>
        <v>218.84000000000009</v>
      </c>
      <c r="GA50" s="18">
        <f>FZ50*VLOOKUP('Données projet'!$B$17,Paramètres!$A$1:$I$89,3,0)*VLOOKUP('Données projet'!$B$17,Paramètres!$A$1:$I$89,5,0)</f>
        <v>160.45348800000008</v>
      </c>
      <c r="GB50" s="14">
        <f t="shared" si="49"/>
        <v>40.944784036070729</v>
      </c>
      <c r="GC50" s="22">
        <f t="shared" si="25"/>
        <v>350.7686571294899</v>
      </c>
      <c r="GD50" s="60">
        <f t="shared" si="26"/>
        <v>603.82989499368523</v>
      </c>
      <c r="GE50" s="60">
        <f ca="1">AVERAGE(OFFSET($GD$3,0,0,'Données projet'!$E$17+1,1))-AVERAGE(OFFSET($H$3,0,0,'Données projet'!$E$17+1,1))</f>
        <v>314.58662400031631</v>
      </c>
      <c r="GF50" s="60">
        <f t="shared" si="50"/>
        <v>336.99073123405981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4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185.15640000000002</v>
      </c>
      <c r="P51" s="14">
        <f t="shared" si="33"/>
        <v>46.467497591770453</v>
      </c>
      <c r="Q51" s="22">
        <f t="shared" si="53"/>
        <v>403.4116216390002</v>
      </c>
      <c r="R51" s="60">
        <f t="shared" si="0"/>
        <v>657.17149032466796</v>
      </c>
      <c r="S51" s="60">
        <f ca="1">AVERAGE(OFFSET($R$3,0,0,'Données projet'!$E$9+1,1))-AVERAGE(OFFSET($H$3,0,0,'Données projet'!$E$9+1,1))</f>
        <v>516.30971934066179</v>
      </c>
      <c r="T51" s="60">
        <f t="shared" si="34"/>
        <v>290.84286505723571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6.0256410256410273</v>
      </c>
      <c r="AI51" s="14">
        <f>IF('Données projet'!$A$62&gt;35,AI50+AH51-AQ50,IF(A51&lt;'Données projet'!$A$62,$AF$205^A51,IF(A51='Données projet'!$A$62,'Données projet'!$B$62,AI50+AH51-AQ50)))</f>
        <v>191.1538461538461</v>
      </c>
      <c r="AJ51" s="14">
        <f>AI51*VLOOKUP('Données projet'!$B$10,Paramètres!$A$1:$I$89,3,0)*VLOOKUP('Données projet'!$B$10,Paramètres!$A$1:$I$89,5,0)</f>
        <v>199.79399999999995</v>
      </c>
      <c r="AK51" s="14">
        <f t="shared" si="35"/>
        <v>49.698892445432982</v>
      </c>
      <c r="AL51" s="22">
        <f t="shared" si="4"/>
        <v>434.53345434246239</v>
      </c>
      <c r="AM51" s="60">
        <f t="shared" si="5"/>
        <v>688.29332302813009</v>
      </c>
      <c r="AN51" s="60">
        <f ca="1">AVERAGE(OFFSET($AM$3,0,0,'Données projet'!$E$10+1,1))-AVERAGE(OFFSET($H$3,0,0,'Données projet'!$E$10+1,1))</f>
        <v>529.00505223594837</v>
      </c>
      <c r="AO51" s="60">
        <f t="shared" si="36"/>
        <v>321.23004033257985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7.1199999999999992</v>
      </c>
      <c r="BD51" s="13">
        <f>IF('Données projet'!$A$88&gt;35,BD50+BC51-BL50,IF(A51&lt;'Données projet'!$A$88,$BA$205^A51,IF(A51='Données projet'!$A$88,'Données projet'!$B$88,BD50+BC51-BL50)))</f>
        <v>225.96000000000009</v>
      </c>
      <c r="BE51" s="14">
        <f>BD51*VLOOKUP('Données projet'!$B$11,Paramètres!$A$1:$I$89,3,0)*VLOOKUP('Données projet'!$B$11,Paramètres!$A$1:$I$89,5,0)</f>
        <v>197.3986560000001</v>
      </c>
      <c r="BF51" s="14">
        <f t="shared" si="37"/>
        <v>49.172036170497854</v>
      </c>
      <c r="BG51" s="22">
        <f t="shared" si="7"/>
        <v>429.44395553028397</v>
      </c>
      <c r="BH51" s="60">
        <f t="shared" si="8"/>
        <v>683.20382421595173</v>
      </c>
      <c r="BI51" s="60">
        <f ca="1">AVERAGE(OFFSET($BH$3,0,0,'Données projet'!$E$11+1,1))-AVERAGE(OFFSET($H$3,0,0,'Données projet'!$E$11+1,1))</f>
        <v>363.28611056308665</v>
      </c>
      <c r="BJ51" s="60">
        <f t="shared" si="38"/>
        <v>389.43647559455974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182.60000000000002</v>
      </c>
      <c r="BZ51" s="14">
        <f>BY51*VLOOKUP('Données projet'!$B$12,Paramètres!$A$1:$I$89,3,0)*VLOOKUP('Données projet'!$B$12,Paramètres!$A$1:$I$89,5,0)</f>
        <v>196.55064000000002</v>
      </c>
      <c r="CA51" s="14">
        <f t="shared" si="39"/>
        <v>48.985336952319578</v>
      </c>
      <c r="CB51" s="22">
        <f t="shared" si="10"/>
        <v>427.6418265252899</v>
      </c>
      <c r="CC51" s="60">
        <f t="shared" si="11"/>
        <v>681.40169521095754</v>
      </c>
      <c r="CD51" s="60">
        <f ca="1">AVERAGE(OFFSET($CC$3,0,0,'Données projet'!$E$12+1,1))-AVERAGE(OFFSET($H$3,0,0,'Données projet'!$E$12+1,1))</f>
        <v>542.90832990875208</v>
      </c>
      <c r="CE51" s="60">
        <f t="shared" si="40"/>
        <v>304.94365539329362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11.615384615384608</v>
      </c>
      <c r="CT51" s="13">
        <f>IF('Données projet'!$A$140&gt;35,CT50+CS51-DB50,IF(A51&lt;'Données projet'!$A$140,$CQ$205^A51,IF(A51='Données projet'!$A$140,'Données projet'!$B$140,CT50+CS51-DB50)))</f>
        <v>286.99230769230758</v>
      </c>
      <c r="CU51" s="18">
        <f>CT51*VLOOKUP('Données projet'!$B$13,Paramètres!$A$1:$I$89,3,0)*VLOOKUP('Données projet'!$B$13,Paramètres!$A$1:$I$89,5,0)</f>
        <v>134.31239999999994</v>
      </c>
      <c r="CV51" s="14">
        <f t="shared" si="41"/>
        <v>34.990927885997522</v>
      </c>
      <c r="CW51" s="22">
        <f t="shared" si="13"/>
        <v>294.86996273477894</v>
      </c>
      <c r="CX51" s="60">
        <f t="shared" si="14"/>
        <v>548.62983142044664</v>
      </c>
      <c r="CY51" s="60">
        <f ca="1">AVERAGE(OFFSET($CX$3,0,0,'Données projet'!$E$13+1,1))-AVERAGE(OFFSET($H$3,0,0,'Données projet'!$E$13+1,1))</f>
        <v>277.77877239988635</v>
      </c>
      <c r="CZ51" s="60">
        <f t="shared" si="42"/>
        <v>164.65640238394164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4.6153846153846159</v>
      </c>
      <c r="DO51" s="13">
        <f>IF('Données projet'!$A$166&gt;35,DO50+DN51-DW50,IF(A51&lt;'Données projet'!$A$166,$DL$205^A51,IF(A51='Données projet'!$A$166,'Données projet'!$B$166,DO50+DN51-DW50)))</f>
        <v>140.12820512820511</v>
      </c>
      <c r="DP51" s="18">
        <f>DO51*VLOOKUP('Données projet'!$B$14,Paramètres!$A$1:$I$89,3,0)*VLOOKUP('Données projet'!$B$14,Paramètres!$A$1:$I$89,5,0)</f>
        <v>120.23</v>
      </c>
      <c r="DQ51" s="14">
        <f t="shared" si="43"/>
        <v>31.728637037400738</v>
      </c>
      <c r="DR51" s="22">
        <f t="shared" si="16"/>
        <v>264.66129284013959</v>
      </c>
      <c r="DS51" s="60">
        <f t="shared" si="17"/>
        <v>518.42116152580729</v>
      </c>
      <c r="DT51" s="60">
        <f ca="1">AVERAGE(OFFSET($DS$3,0,0,'Données projet'!$E$14+1,1))-AVERAGE(OFFSET($H$3,0,0,'Données projet'!$E$14+1,1))</f>
        <v>354.30160274624632</v>
      </c>
      <c r="DU51" s="60">
        <f t="shared" si="44"/>
        <v>218.8005329382452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8.1999999999999993</v>
      </c>
      <c r="EJ51" s="13">
        <f>IF('Données projet'!$A$192&gt;35,EJ50+EI51-ER50,IF(A51&lt;'Données projet'!$A$192,$EG$205^A51,IF(A51='Données projet'!$A$192,'Données projet'!$B$192,EJ50+EI51-ER50)))</f>
        <v>182.60000000000002</v>
      </c>
      <c r="EK51" s="18">
        <f>EJ51*VLOOKUP('Données projet'!$B$15,Paramètres!$A$1:$I$89,3,0)*VLOOKUP('Données projet'!$B$15,Paramètres!$A$1:$I$89,5,0)</f>
        <v>176.61072000000004</v>
      </c>
      <c r="EL51" s="14">
        <f t="shared" si="45"/>
        <v>44.56730162053563</v>
      </c>
      <c r="EM51" s="22">
        <f t="shared" si="19"/>
        <v>385.21838765576626</v>
      </c>
      <c r="EN51" s="60">
        <f t="shared" si="20"/>
        <v>638.97825634143396</v>
      </c>
      <c r="EO51" s="60">
        <f ca="1">AVERAGE(OFFSET($EN$3,0,0,'Données projet'!$E$15+1,1))-AVERAGE(OFFSET($H$3,0,0,'Données projet'!$E$15+1,1))</f>
        <v>496.33873798282525</v>
      </c>
      <c r="EP51" s="60">
        <f t="shared" si="46"/>
        <v>280.25465074992246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7.1199999999999992</v>
      </c>
      <c r="FE51" s="13">
        <f>IF('Données projet'!$A$218&gt;35,FE50+FD51-FM50,IF(A51&lt;'Données projet'!$A$218,$FB$205^A51,IF(A51='Données projet'!$A$218,'Données projet'!$B$218,FE50+FD51-FM50)))</f>
        <v>225.96000000000009</v>
      </c>
      <c r="FF51" s="18">
        <f>FE51*VLOOKUP('Données projet'!$B$16,Paramètres!$A$1:$I$89,3,0)*VLOOKUP('Données projet'!$B$16,Paramètres!$A$1:$I$89,5,0)</f>
        <v>183.29875200000009</v>
      </c>
      <c r="FG51" s="14">
        <f t="shared" si="47"/>
        <v>46.055320210518545</v>
      </c>
      <c r="FH51" s="22">
        <f t="shared" si="22"/>
        <v>399.45834243331996</v>
      </c>
      <c r="FI51" s="60">
        <f t="shared" si="23"/>
        <v>653.21821111898771</v>
      </c>
      <c r="FJ51" s="60">
        <f ca="1">AVERAGE(OFFSET($FI$3,0,0,'Données projet'!$E$16+1,1))-AVERAGE(OFFSET($H$3,0,0,'Données projet'!$E$16+1,1))</f>
        <v>341.66430955115521</v>
      </c>
      <c r="FK51" s="60">
        <f t="shared" si="48"/>
        <v>366.15174925159192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7.1199999999999992</v>
      </c>
      <c r="FZ51" s="13">
        <f>IF('Données projet'!$A$244&gt;35,FZ50+FY51-GH50,IF(A51&lt;'Données projet'!$A$244,$FW$205^A51,IF(A51='Données projet'!$A$244,'Données projet'!$B$244,FZ50+FY51-GH50)))</f>
        <v>225.96000000000009</v>
      </c>
      <c r="GA51" s="18">
        <f>FZ51*VLOOKUP('Données projet'!$B$17,Paramètres!$A$1:$I$89,3,0)*VLOOKUP('Données projet'!$B$17,Paramètres!$A$1:$I$89,5,0)</f>
        <v>165.67387200000007</v>
      </c>
      <c r="GB51" s="14">
        <f t="shared" si="49"/>
        <v>42.119666034700927</v>
      </c>
      <c r="GC51" s="22">
        <f t="shared" si="25"/>
        <v>361.90707874377085</v>
      </c>
      <c r="GD51" s="60">
        <f t="shared" si="26"/>
        <v>615.66694742943855</v>
      </c>
      <c r="GE51" s="60">
        <f ca="1">AVERAGE(OFFSET($GD$3,0,0,'Données projet'!$E$17+1,1))-AVERAGE(OFFSET($H$3,0,0,'Données projet'!$E$17+1,1))</f>
        <v>314.58662400031631</v>
      </c>
      <c r="GF51" s="60">
        <f t="shared" si="50"/>
        <v>336.99073123405981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4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193.47120000000001</v>
      </c>
      <c r="P52" s="14">
        <f t="shared" si="33"/>
        <v>48.306575382296536</v>
      </c>
      <c r="Q52" s="22">
        <f t="shared" si="53"/>
        <v>421.09629212416644</v>
      </c>
      <c r="R52" s="60">
        <f t="shared" si="0"/>
        <v>675.54267194845841</v>
      </c>
      <c r="S52" s="60">
        <f ca="1">AVERAGE(OFFSET($R$3,0,0,'Données projet'!$E$9+1,1))-AVERAGE(OFFSET($H$3,0,0,'Données projet'!$E$9+1,1))</f>
        <v>516.30971934066179</v>
      </c>
      <c r="T52" s="60">
        <f t="shared" si="34"/>
        <v>290.84286505723571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6.0256410256410273</v>
      </c>
      <c r="AI52" s="14">
        <f>IF('Données projet'!$A$62&gt;35,AI51+AH52-AQ51,IF(A52&lt;'Données projet'!$A$62,$AF$205^A52,IF(A52='Données projet'!$A$62,'Données projet'!$B$62,AI51+AH52-AQ51)))</f>
        <v>197.17948717948713</v>
      </c>
      <c r="AJ52" s="14">
        <f>AI52*VLOOKUP('Données projet'!$B$10,Paramètres!$A$1:$I$89,3,0)*VLOOKUP('Données projet'!$B$10,Paramètres!$A$1:$I$89,5,0)</f>
        <v>206.09199999999996</v>
      </c>
      <c r="AK52" s="14">
        <f t="shared" si="35"/>
        <v>51.080657963757403</v>
      </c>
      <c r="AL52" s="22">
        <f t="shared" si="4"/>
        <v>447.90904595354408</v>
      </c>
      <c r="AM52" s="60">
        <f t="shared" si="5"/>
        <v>702.35542577783599</v>
      </c>
      <c r="AN52" s="60">
        <f ca="1">AVERAGE(OFFSET($AM$3,0,0,'Données projet'!$E$10+1,1))-AVERAGE(OFFSET($H$3,0,0,'Données projet'!$E$10+1,1))</f>
        <v>529.00505223594837</v>
      </c>
      <c r="AO52" s="60">
        <f t="shared" si="36"/>
        <v>321.23004033257985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7.1199999999999992</v>
      </c>
      <c r="BD52" s="13">
        <f>IF('Données projet'!$A$88&gt;35,BD51+BC52-BL51,IF(A52&lt;'Données projet'!$A$88,$BA$205^A52,IF(A52='Données projet'!$A$88,'Données projet'!$B$88,BD51+BC52-BL51)))</f>
        <v>233.0800000000001</v>
      </c>
      <c r="BE52" s="14">
        <f>BD52*VLOOKUP('Données projet'!$B$11,Paramètres!$A$1:$I$89,3,0)*VLOOKUP('Données projet'!$B$11,Paramètres!$A$1:$I$89,5,0)</f>
        <v>203.61868800000011</v>
      </c>
      <c r="BF52" s="14">
        <f t="shared" si="37"/>
        <v>50.538613948142249</v>
      </c>
      <c r="BG52" s="22">
        <f t="shared" si="7"/>
        <v>442.65730089301456</v>
      </c>
      <c r="BH52" s="60">
        <f t="shared" si="8"/>
        <v>697.10368071730659</v>
      </c>
      <c r="BI52" s="60">
        <f ca="1">AVERAGE(OFFSET($BH$3,0,0,'Données projet'!$E$11+1,1))-AVERAGE(OFFSET($H$3,0,0,'Données projet'!$E$11+1,1))</f>
        <v>363.28611056308665</v>
      </c>
      <c r="BJ52" s="60">
        <f t="shared" si="38"/>
        <v>389.43647559455974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190.8</v>
      </c>
      <c r="BZ52" s="14">
        <f>BY52*VLOOKUP('Données projet'!$B$12,Paramètres!$A$1:$I$89,3,0)*VLOOKUP('Données projet'!$B$12,Paramètres!$A$1:$I$89,5,0)</f>
        <v>205.37711999999999</v>
      </c>
      <c r="CA52" s="14">
        <f t="shared" si="39"/>
        <v>50.924065093909938</v>
      </c>
      <c r="CB52" s="22">
        <f t="shared" si="10"/>
        <v>446.39123070522641</v>
      </c>
      <c r="CC52" s="60">
        <f t="shared" si="11"/>
        <v>700.83761052951832</v>
      </c>
      <c r="CD52" s="60">
        <f ca="1">AVERAGE(OFFSET($CC$3,0,0,'Données projet'!$E$12+1,1))-AVERAGE(OFFSET($H$3,0,0,'Données projet'!$E$12+1,1))</f>
        <v>542.90832990875208</v>
      </c>
      <c r="CE52" s="60">
        <f t="shared" si="40"/>
        <v>304.94365539329362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11.615384615384608</v>
      </c>
      <c r="CT52" s="13">
        <f>IF('Données projet'!$A$140&gt;35,CT51+CS52-DB51,IF(A52&lt;'Données projet'!$A$140,$CQ$205^A52,IF(A52='Données projet'!$A$140,'Données projet'!$B$140,CT51+CS52-DB51)))</f>
        <v>298.60769230769216</v>
      </c>
      <c r="CU52" s="18">
        <f>CT52*VLOOKUP('Données projet'!$B$13,Paramètres!$A$1:$I$89,3,0)*VLOOKUP('Données projet'!$B$13,Paramètres!$A$1:$I$89,5,0)</f>
        <v>139.74839999999992</v>
      </c>
      <c r="CV52" s="14">
        <f t="shared" si="41"/>
        <v>36.239361435480362</v>
      </c>
      <c r="CW52" s="22">
        <f t="shared" si="13"/>
        <v>306.51201783346147</v>
      </c>
      <c r="CX52" s="60">
        <f t="shared" si="14"/>
        <v>560.95839765775349</v>
      </c>
      <c r="CY52" s="60">
        <f ca="1">AVERAGE(OFFSET($CX$3,0,0,'Données projet'!$E$13+1,1))-AVERAGE(OFFSET($H$3,0,0,'Données projet'!$E$13+1,1))</f>
        <v>277.77877239988635</v>
      </c>
      <c r="CZ52" s="60">
        <f t="shared" si="42"/>
        <v>164.65640238394164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4.6153846153846159</v>
      </c>
      <c r="DO52" s="13">
        <f>IF('Données projet'!$A$166&gt;35,DO51+DN52-DW51,IF(A52&lt;'Données projet'!$A$166,$DL$205^A52,IF(A52='Données projet'!$A$166,'Données projet'!$B$166,DO51+DN52-DW51)))</f>
        <v>144.74358974358972</v>
      </c>
      <c r="DP52" s="18">
        <f>DO52*VLOOKUP('Données projet'!$B$14,Paramètres!$A$1:$I$89,3,0)*VLOOKUP('Données projet'!$B$14,Paramètres!$A$1:$I$89,5,0)</f>
        <v>124.19</v>
      </c>
      <c r="DQ52" s="14">
        <f t="shared" si="43"/>
        <v>32.650287408302169</v>
      </c>
      <c r="DR52" s="22">
        <f t="shared" si="16"/>
        <v>273.16350056945959</v>
      </c>
      <c r="DS52" s="60">
        <f t="shared" si="17"/>
        <v>527.60988039375161</v>
      </c>
      <c r="DT52" s="60">
        <f ca="1">AVERAGE(OFFSET($DS$3,0,0,'Données projet'!$E$14+1,1))-AVERAGE(OFFSET($H$3,0,0,'Données projet'!$E$14+1,1))</f>
        <v>354.30160274624632</v>
      </c>
      <c r="DU52" s="60">
        <f t="shared" si="44"/>
        <v>218.8005329382452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8.1999999999999993</v>
      </c>
      <c r="EJ52" s="13">
        <f>IF('Données projet'!$A$192&gt;35,EJ51+EI52-ER51,IF(A52&lt;'Données projet'!$A$192,$EG$205^A52,IF(A52='Données projet'!$A$192,'Données projet'!$B$192,EJ51+EI52-ER51)))</f>
        <v>190.8</v>
      </c>
      <c r="EK52" s="18">
        <f>EJ52*VLOOKUP('Données projet'!$B$15,Paramètres!$A$1:$I$89,3,0)*VLOOKUP('Données projet'!$B$15,Paramètres!$A$1:$I$89,5,0)</f>
        <v>184.54176000000001</v>
      </c>
      <c r="EL52" s="14">
        <f t="shared" si="45"/>
        <v>46.33117397953523</v>
      </c>
      <c r="EM52" s="22">
        <f t="shared" si="19"/>
        <v>402.10369334769052</v>
      </c>
      <c r="EN52" s="60">
        <f t="shared" si="20"/>
        <v>656.55007317198249</v>
      </c>
      <c r="EO52" s="60">
        <f ca="1">AVERAGE(OFFSET($EN$3,0,0,'Données projet'!$E$15+1,1))-AVERAGE(OFFSET($H$3,0,0,'Données projet'!$E$15+1,1))</f>
        <v>496.33873798282525</v>
      </c>
      <c r="EP52" s="60">
        <f t="shared" si="46"/>
        <v>280.25465074992246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7.1199999999999992</v>
      </c>
      <c r="FE52" s="13">
        <f>IF('Données projet'!$A$218&gt;35,FE51+FD52-FM51,IF(A52&lt;'Données projet'!$A$218,$FB$205^A52,IF(A52='Données projet'!$A$218,'Données projet'!$B$218,FE51+FD52-FM51)))</f>
        <v>233.0800000000001</v>
      </c>
      <c r="FF52" s="18">
        <f>FE52*VLOOKUP('Données projet'!$B$16,Paramètres!$A$1:$I$89,3,0)*VLOOKUP('Données projet'!$B$16,Paramètres!$A$1:$I$89,5,0)</f>
        <v>189.0744960000001</v>
      </c>
      <c r="FG52" s="14">
        <f t="shared" si="47"/>
        <v>47.335278944050813</v>
      </c>
      <c r="FH52" s="22">
        <f t="shared" si="22"/>
        <v>411.74702469422203</v>
      </c>
      <c r="FI52" s="60">
        <f t="shared" si="23"/>
        <v>666.19340451851394</v>
      </c>
      <c r="FJ52" s="60">
        <f ca="1">AVERAGE(OFFSET($FI$3,0,0,'Données projet'!$E$16+1,1))-AVERAGE(OFFSET($H$3,0,0,'Données projet'!$E$16+1,1))</f>
        <v>341.66430955115521</v>
      </c>
      <c r="FK52" s="60">
        <f t="shared" si="48"/>
        <v>366.15174925159192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7.1199999999999992</v>
      </c>
      <c r="FZ52" s="13">
        <f>IF('Données projet'!$A$244&gt;35,FZ51+FY52-GH51,IF(A52&lt;'Données projet'!$A$244,$FW$205^A52,IF(A52='Données projet'!$A$244,'Données projet'!$B$244,FZ51+FY52-GH51)))</f>
        <v>233.0800000000001</v>
      </c>
      <c r="GA52" s="18">
        <f>FZ52*VLOOKUP('Données projet'!$B$17,Paramètres!$A$1:$I$89,3,0)*VLOOKUP('Données projet'!$B$17,Paramètres!$A$1:$I$89,5,0)</f>
        <v>170.89425600000007</v>
      </c>
      <c r="GB52" s="14">
        <f t="shared" si="49"/>
        <v>43.29024598394782</v>
      </c>
      <c r="GC52" s="22">
        <f t="shared" si="25"/>
        <v>373.03800762204258</v>
      </c>
      <c r="GD52" s="60">
        <f t="shared" si="26"/>
        <v>627.48438744633449</v>
      </c>
      <c r="GE52" s="60">
        <f ca="1">AVERAGE(OFFSET($GD$3,0,0,'Données projet'!$E$17+1,1))-AVERAGE(OFFSET($H$3,0,0,'Données projet'!$E$17+1,1))</f>
        <v>314.58662400031631</v>
      </c>
      <c r="GF52" s="60">
        <f t="shared" si="50"/>
        <v>336.99073123405981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4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201.786</v>
      </c>
      <c r="P53" s="14">
        <f t="shared" si="33"/>
        <v>50.136473146268756</v>
      </c>
      <c r="Q53" s="22">
        <f t="shared" si="53"/>
        <v>438.76497406308476</v>
      </c>
      <c r="R53" s="60">
        <f t="shared" si="0"/>
        <v>693.88595559255486</v>
      </c>
      <c r="S53" s="60">
        <f ca="1">AVERAGE(OFFSET($R$3,0,0,'Données projet'!$E$9+1,1))-AVERAGE(OFFSET($H$3,0,0,'Données projet'!$E$9+1,1))</f>
        <v>516.30971934066179</v>
      </c>
      <c r="T53" s="60">
        <f t="shared" si="34"/>
        <v>290.84286505723571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203.2051282051282</v>
      </c>
      <c r="AG53" s="13">
        <f>VLOOKUP(A53,'Données projet'!$A$61:$I$81,9,0)</f>
        <v>6.0256410256410273</v>
      </c>
      <c r="AH53" s="13">
        <f t="array" ref="AH53">INDEX(AG:AG,MIN(IF(ISNUMBER(AG53:AG249),ROW(AG53:AG249),"")))</f>
        <v>6.0256410256410273</v>
      </c>
      <c r="AI53" s="14">
        <f>IF('Données projet'!$A$62&gt;35,AI52+AH53-AQ52,IF(A53&lt;'Données projet'!$A$62,$AF$205^A53,IF(A53='Données projet'!$A$62,'Données projet'!$B$62,AI52+AH53-AQ52)))</f>
        <v>203.20512820512815</v>
      </c>
      <c r="AJ53" s="14">
        <f>AI53*VLOOKUP('Données projet'!$B$10,Paramètres!$A$1:$I$89,3,0)*VLOOKUP('Données projet'!$B$10,Paramètres!$A$1:$I$89,5,0)</f>
        <v>212.38999999999993</v>
      </c>
      <c r="AK53" s="14">
        <f t="shared" si="35"/>
        <v>52.457516346075991</v>
      </c>
      <c r="AL53" s="22">
        <f t="shared" si="4"/>
        <v>461.27609096941552</v>
      </c>
      <c r="AM53" s="60">
        <f t="shared" si="5"/>
        <v>716.39707249888556</v>
      </c>
      <c r="AN53" s="60">
        <f ca="1">AVERAGE(OFFSET($AM$3,0,0,'Données projet'!$E$10+1,1))-AVERAGE(OFFSET($H$3,0,0,'Données projet'!$E$10+1,1))</f>
        <v>529.00505223594837</v>
      </c>
      <c r="AO53" s="60">
        <f t="shared" si="36"/>
        <v>321.23004033257985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24.358974358974358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240.20000000000002</v>
      </c>
      <c r="BB53" s="13">
        <f>VLOOKUP(A53,'Données projet'!$A$87:$I$107,9,0)</f>
        <v>7.1199999999999992</v>
      </c>
      <c r="BC53" s="13">
        <f t="array" ref="BC53">INDEX(BB:BB,MIN(IF(ISNUMBER(BB53:BB249),ROW(BB53:BB249),"")))</f>
        <v>7.1199999999999992</v>
      </c>
      <c r="BD53" s="13">
        <f>IF('Données projet'!$A$88&gt;35,BD52+BC53-BL52,IF(A53&lt;'Données projet'!$A$88,$BA$205^A53,IF(A53='Données projet'!$A$88,'Données projet'!$B$88,BD52+BC53-BL52)))</f>
        <v>240.2000000000001</v>
      </c>
      <c r="BE53" s="14">
        <f>BD53*VLOOKUP('Données projet'!$B$11,Paramètres!$A$1:$I$89,3,0)*VLOOKUP('Données projet'!$B$11,Paramètres!$A$1:$I$89,5,0)</f>
        <v>209.83872000000011</v>
      </c>
      <c r="BF53" s="14">
        <f t="shared" si="37"/>
        <v>51.90034038479439</v>
      </c>
      <c r="BG53" s="22">
        <f t="shared" si="7"/>
        <v>455.86219683685039</v>
      </c>
      <c r="BH53" s="60">
        <f t="shared" si="8"/>
        <v>710.98317836632054</v>
      </c>
      <c r="BI53" s="60">
        <f ca="1">AVERAGE(OFFSET($BH$3,0,0,'Données projet'!$E$11+1,1))-AVERAGE(OFFSET($H$3,0,0,'Données projet'!$E$11+1,1))</f>
        <v>363.28611056308665</v>
      </c>
      <c r="BJ53" s="60">
        <f t="shared" si="38"/>
        <v>389.43647559455974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38.299999999999997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199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199</v>
      </c>
      <c r="BZ53" s="14">
        <f>BY53*VLOOKUP('Données projet'!$B$12,Paramètres!$A$1:$I$89,3,0)*VLOOKUP('Données projet'!$B$12,Paramètres!$A$1:$I$89,5,0)</f>
        <v>214.20360000000002</v>
      </c>
      <c r="CA53" s="14">
        <f t="shared" si="39"/>
        <v>52.853115789602029</v>
      </c>
      <c r="CB53" s="22">
        <f t="shared" si="10"/>
        <v>465.12378000022358</v>
      </c>
      <c r="CC53" s="60">
        <f t="shared" si="11"/>
        <v>720.24476152969373</v>
      </c>
      <c r="CD53" s="60">
        <f ca="1">AVERAGE(OFFSET($CC$3,0,0,'Données projet'!$E$12+1,1))-AVERAGE(OFFSET($H$3,0,0,'Données projet'!$E$12+1,1))</f>
        <v>542.90832990875208</v>
      </c>
      <c r="CE53" s="60">
        <f t="shared" si="40"/>
        <v>304.94365539329362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11.615384615384608</v>
      </c>
      <c r="CT53" s="13">
        <f>IF('Données projet'!$A$140&gt;35,CT52+CS53-DB52,IF(A53&lt;'Données projet'!$A$140,$CQ$205^A53,IF(A53='Données projet'!$A$140,'Données projet'!$B$140,CT52+CS53-DB52)))</f>
        <v>310.22307692307675</v>
      </c>
      <c r="CU53" s="18">
        <f>CT53*VLOOKUP('Données projet'!$B$13,Paramètres!$A$1:$I$89,3,0)*VLOOKUP('Données projet'!$B$13,Paramètres!$A$1:$I$89,5,0)</f>
        <v>145.18439999999993</v>
      </c>
      <c r="CV53" s="14">
        <f t="shared" si="41"/>
        <v>37.482153624096057</v>
      </c>
      <c r="CW53" s="22">
        <f t="shared" si="13"/>
        <v>318.14424756196712</v>
      </c>
      <c r="CX53" s="60">
        <f t="shared" si="14"/>
        <v>573.26522909143728</v>
      </c>
      <c r="CY53" s="60">
        <f ca="1">AVERAGE(OFFSET($CX$3,0,0,'Données projet'!$E$13+1,1))-AVERAGE(OFFSET($H$3,0,0,'Données projet'!$E$13+1,1))</f>
        <v>277.77877239988635</v>
      </c>
      <c r="CZ53" s="60">
        <f t="shared" si="42"/>
        <v>164.65640238394164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149.35897435897436</v>
      </c>
      <c r="DM53" s="13">
        <f>VLOOKUP(A53,'Données projet'!$A$165:$I$185,9,0)</f>
        <v>4.6153846153846159</v>
      </c>
      <c r="DN53" s="13">
        <f t="array" ref="DN53">INDEX(DM:DM,MIN(IF(ISNUMBER(DM53:DM249),ROW(DM53:DM249),"")))</f>
        <v>4.6153846153846159</v>
      </c>
      <c r="DO53" s="13">
        <f>IF('Données projet'!$A$166&gt;35,DO52+DN53-DW52,IF(A53&lt;'Données projet'!$A$166,$DL$205^A53,IF(A53='Données projet'!$A$166,'Données projet'!$B$166,DO52+DN53-DW52)))</f>
        <v>149.35897435897434</v>
      </c>
      <c r="DP53" s="18">
        <f>DO53*VLOOKUP('Données projet'!$B$14,Paramètres!$A$1:$I$89,3,0)*VLOOKUP('Données projet'!$B$14,Paramètres!$A$1:$I$89,5,0)</f>
        <v>128.15</v>
      </c>
      <c r="DQ53" s="14">
        <f t="shared" si="43"/>
        <v>33.568522707815788</v>
      </c>
      <c r="DR53" s="22">
        <f t="shared" si="16"/>
        <v>281.65976038277915</v>
      </c>
      <c r="DS53" s="60">
        <f t="shared" si="17"/>
        <v>536.78074191224925</v>
      </c>
      <c r="DT53" s="60">
        <f ca="1">AVERAGE(OFFSET($DS$3,0,0,'Données projet'!$E$14+1,1))-AVERAGE(OFFSET($H$3,0,0,'Données projet'!$E$14+1,1))</f>
        <v>354.30160274624632</v>
      </c>
      <c r="DU53" s="60">
        <f t="shared" si="44"/>
        <v>218.8005329382452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18.589743589743588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199</v>
      </c>
      <c r="EH53" s="13">
        <f>VLOOKUP(A53,'Données projet'!$A$191:$I$211,9,0)</f>
        <v>8.1999999999999993</v>
      </c>
      <c r="EI53" s="13">
        <f t="array" ref="EI53">INDEX(EH:EH,MIN(IF(ISNUMBER(EH53:EH249),ROW(EH53:EH249),"")))</f>
        <v>8.1999999999999993</v>
      </c>
      <c r="EJ53" s="13">
        <f>IF('Données projet'!$A$192&gt;35,EJ52+EI53-ER52,IF(A53&lt;'Données projet'!$A$192,$EG$205^A53,IF(A53='Données projet'!$A$192,'Données projet'!$B$192,EJ52+EI53-ER52)))</f>
        <v>199</v>
      </c>
      <c r="EK53" s="18">
        <f>EJ53*VLOOKUP('Données projet'!$B$15,Paramètres!$A$1:$I$89,3,0)*VLOOKUP('Données projet'!$B$15,Paramètres!$A$1:$I$89,5,0)</f>
        <v>192.47280000000001</v>
      </c>
      <c r="EL53" s="14">
        <f t="shared" si="45"/>
        <v>48.086241710923829</v>
      </c>
      <c r="EM53" s="22">
        <f t="shared" si="19"/>
        <v>418.97366431319239</v>
      </c>
      <c r="EN53" s="60">
        <f t="shared" si="20"/>
        <v>674.09464584266243</v>
      </c>
      <c r="EO53" s="60">
        <f ca="1">AVERAGE(OFFSET($EN$3,0,0,'Données projet'!$E$15+1,1))-AVERAGE(OFFSET($H$3,0,0,'Données projet'!$E$15+1,1))</f>
        <v>496.33873798282525</v>
      </c>
      <c r="EP53" s="60">
        <f t="shared" si="46"/>
        <v>280.25465074992246</v>
      </c>
      <c r="EQ53" s="16">
        <f>IF(ISNA(VLOOKUP(A53,'Données projet'!$A$191:$I$211,3,0)),0,VLOOKUP(A53,'Données projet'!$A$191:$I$211,3,0))</f>
        <v>3</v>
      </c>
      <c r="ER53" s="16">
        <f>IF(ISNA(VLOOKUP(A53,'Données projet'!$A$191:$I$211,4,0)),0,VLOOKUP(A53,'Données projet'!$A$191:$I$211,4,0))</f>
        <v>42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240.20000000000002</v>
      </c>
      <c r="FC53" s="13">
        <f>VLOOKUP(A53,'Données projet'!$A$217:$I$237,9,0)</f>
        <v>7.1199999999999992</v>
      </c>
      <c r="FD53" s="13">
        <f t="array" ref="FD53">INDEX(FC:FC,MIN(IF(ISNUMBER(FC53:FC249),ROW(FC53:FC249),"")))</f>
        <v>7.1199999999999992</v>
      </c>
      <c r="FE53" s="13">
        <f>IF('Données projet'!$A$218&gt;35,FE52+FD53-FM52,IF(A53&lt;'Données projet'!$A$218,$FB$205^A53,IF(A53='Données projet'!$A$218,'Données projet'!$B$218,FE52+FD53-FM52)))</f>
        <v>240.2000000000001</v>
      </c>
      <c r="FF53" s="18">
        <f>FE53*VLOOKUP('Données projet'!$B$16,Paramètres!$A$1:$I$89,3,0)*VLOOKUP('Données projet'!$B$16,Paramètres!$A$1:$I$89,5,0)</f>
        <v>194.8502400000001</v>
      </c>
      <c r="FG53" s="14">
        <f t="shared" si="47"/>
        <v>48.610693833556006</v>
      </c>
      <c r="FH53" s="22">
        <f t="shared" si="22"/>
        <v>424.02779309344351</v>
      </c>
      <c r="FI53" s="60">
        <f t="shared" si="23"/>
        <v>679.14877462291361</v>
      </c>
      <c r="FJ53" s="60">
        <f ca="1">AVERAGE(OFFSET($FI$3,0,0,'Données projet'!$E$16+1,1))-AVERAGE(OFFSET($H$3,0,0,'Données projet'!$E$16+1,1))</f>
        <v>341.66430955115521</v>
      </c>
      <c r="FK53" s="60">
        <f t="shared" si="48"/>
        <v>366.15174925159192</v>
      </c>
      <c r="FL53" s="16">
        <f>IF(ISNA(VLOOKUP(A53,'Données projet'!$A$217:$I$237,3,0)),0,VLOOKUP(A53,'Données projet'!$A$217:$I$237,3,0))</f>
        <v>4</v>
      </c>
      <c r="FM53" s="16">
        <f>IF(ISNA(VLOOKUP(A53,'Données projet'!$A$217:$I$237,4,0)),0,VLOOKUP(A53,'Données projet'!$A$217:$I$237,4,0))</f>
        <v>38.299999999999997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240.20000000000002</v>
      </c>
      <c r="FX53" s="13">
        <f>VLOOKUP(A53,'Données projet'!$A$243:$I$263,9,0)</f>
        <v>7.1199999999999992</v>
      </c>
      <c r="FY53" s="13">
        <f t="array" ref="FY53">INDEX(FX:FX,MIN(IF(ISNUMBER(FX53:FX249),ROW(FX53:FX249),"")))</f>
        <v>7.1199999999999992</v>
      </c>
      <c r="FZ53" s="13">
        <f>IF('Données projet'!$A$244&gt;35,FZ52+FY53-GH52,IF(A53&lt;'Données projet'!$A$244,$FW$205^A53,IF(A53='Données projet'!$A$244,'Données projet'!$B$244,FZ52+FY53-GH52)))</f>
        <v>240.2000000000001</v>
      </c>
      <c r="GA53" s="18">
        <f>FZ53*VLOOKUP('Données projet'!$B$17,Paramètres!$A$1:$I$89,3,0)*VLOOKUP('Données projet'!$B$17,Paramètres!$A$1:$I$89,5,0)</f>
        <v>176.11464000000009</v>
      </c>
      <c r="GB53" s="14">
        <f t="shared" si="49"/>
        <v>44.456670383042024</v>
      </c>
      <c r="GC53" s="22">
        <f t="shared" si="25"/>
        <v>384.16169891713162</v>
      </c>
      <c r="GD53" s="60">
        <f t="shared" si="26"/>
        <v>639.28268044660172</v>
      </c>
      <c r="GE53" s="60">
        <f ca="1">AVERAGE(OFFSET($GD$3,0,0,'Données projet'!$E$17+1,1))-AVERAGE(OFFSET($H$3,0,0,'Données projet'!$E$17+1,1))</f>
        <v>314.58662400031631</v>
      </c>
      <c r="GF53" s="60">
        <f t="shared" si="50"/>
        <v>336.99073123405981</v>
      </c>
      <c r="GG53" s="16">
        <f>IF(ISNA(VLOOKUP(A53,'Données projet'!$A$243:$I$263,3,0)),0,VLOOKUP(A53,'Données projet'!$A$243:$I$263,3,0))</f>
        <v>4</v>
      </c>
      <c r="GH53" s="16">
        <f>IF(ISNA(VLOOKUP(A53,'Données projet'!$A$243:$I$263,4,0)),0,VLOOKUP(A53,'Données projet'!$A$243:$I$263,4,0))</f>
        <v>38.299999999999997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4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167.31</v>
      </c>
      <c r="P54" s="14">
        <f t="shared" si="33"/>
        <v>42.486994942347515</v>
      </c>
      <c r="Q54" s="22">
        <f t="shared" si="53"/>
        <v>365.39643285792187</v>
      </c>
      <c r="R54" s="60">
        <f t="shared" si="0"/>
        <v>621.18031326116875</v>
      </c>
      <c r="S54" s="60">
        <f ca="1">AVERAGE(OFFSET($R$3,0,0,'Données projet'!$E$9+1,1))-AVERAGE(OFFSET($H$3,0,0,'Données projet'!$E$9+1,1))</f>
        <v>516.30971934066179</v>
      </c>
      <c r="T54" s="60">
        <f t="shared" si="34"/>
        <v>290.84286505723571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5.6410256410256405</v>
      </c>
      <c r="AI54" s="14">
        <f>IF('Données projet'!$A$62&gt;35,AI53+AH54-AQ53,IF(A54&lt;'Données projet'!$A$62,$AF$205^A54,IF(A54='Données projet'!$A$62,'Données projet'!$B$62,AI53+AH54-AQ53)))</f>
        <v>184.48717948717942</v>
      </c>
      <c r="AJ54" s="14">
        <f>AI54*VLOOKUP('Données projet'!$B$10,Paramètres!$A$1:$I$89,3,0)*VLOOKUP('Données projet'!$B$10,Paramètres!$A$1:$I$89,5,0)</f>
        <v>192.82599999999994</v>
      </c>
      <c r="AK54" s="14">
        <f t="shared" si="35"/>
        <v>48.164203450161025</v>
      </c>
      <c r="AL54" s="22">
        <f t="shared" si="4"/>
        <v>419.72460434236359</v>
      </c>
      <c r="AM54" s="60">
        <f t="shared" si="5"/>
        <v>675.50848474561042</v>
      </c>
      <c r="AN54" s="60">
        <f ca="1">AVERAGE(OFFSET($AM$3,0,0,'Données projet'!$E$10+1,1))-AVERAGE(OFFSET($H$3,0,0,'Données projet'!$E$10+1,1))</f>
        <v>529.00505223594837</v>
      </c>
      <c r="AO54" s="60">
        <f t="shared" si="36"/>
        <v>321.23004033257985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6.119999999999993</v>
      </c>
      <c r="BD54" s="13">
        <f>IF('Données projet'!$A$88&gt;35,BD53+BC54-BL53,IF(A54&lt;'Données projet'!$A$88,$BA$205^A54,IF(A54='Données projet'!$A$88,'Données projet'!$B$88,BD53+BC54-BL53)))</f>
        <v>208.0200000000001</v>
      </c>
      <c r="BE54" s="14">
        <f>BD54*VLOOKUP('Données projet'!$B$11,Paramètres!$A$1:$I$89,3,0)*VLOOKUP('Données projet'!$B$11,Paramètres!$A$1:$I$89,5,0)</f>
        <v>181.72627200000011</v>
      </c>
      <c r="BF54" s="14">
        <f t="shared" si="37"/>
        <v>45.706036273600446</v>
      </c>
      <c r="BG54" s="22">
        <f t="shared" si="7"/>
        <v>396.11127024318756</v>
      </c>
      <c r="BH54" s="60">
        <f t="shared" si="8"/>
        <v>651.89515064643433</v>
      </c>
      <c r="BI54" s="60">
        <f ca="1">AVERAGE(OFFSET($BH$3,0,0,'Données projet'!$E$11+1,1))-AVERAGE(OFFSET($H$3,0,0,'Données projet'!$E$11+1,1))</f>
        <v>363.28611056308665</v>
      </c>
      <c r="BJ54" s="60">
        <f t="shared" si="38"/>
        <v>389.43647559455974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177.60599999999999</v>
      </c>
      <c r="CA54" s="14">
        <f t="shared" si="39"/>
        <v>44.789150937858665</v>
      </c>
      <c r="CB54" s="22">
        <f t="shared" si="10"/>
        <v>387.33822121677048</v>
      </c>
      <c r="CC54" s="60">
        <f t="shared" si="11"/>
        <v>643.12210162001725</v>
      </c>
      <c r="CD54" s="60">
        <f ca="1">AVERAGE(OFFSET($CC$3,0,0,'Données projet'!$E$12+1,1))-AVERAGE(OFFSET($H$3,0,0,'Données projet'!$E$12+1,1))</f>
        <v>542.90832990875208</v>
      </c>
      <c r="CE54" s="60">
        <f t="shared" si="40"/>
        <v>304.94365539329362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>
        <f>VLOOKUP(A54,'Données projet'!$A$139:$I$159,2,0)</f>
        <v>321.8384615384615</v>
      </c>
      <c r="CR54" s="13">
        <f>VLOOKUP(A54,'Données projet'!$A$139:$I$159,9,0)</f>
        <v>11.615384615384608</v>
      </c>
      <c r="CS54" s="13">
        <f t="array" ref="CS54">INDEX(CR:CR,MIN(IF(ISNUMBER(CR54:CR250),ROW(CR54:CR250),"")))</f>
        <v>11.615384615384608</v>
      </c>
      <c r="CT54" s="13">
        <f>IF('Données projet'!$A$140&gt;35,CT53+CS54-DB53,IF(A54&lt;'Données projet'!$A$140,$CQ$205^A54,IF(A54='Données projet'!$A$140,'Données projet'!$B$140,CT53+CS54-DB53)))</f>
        <v>321.83846153846133</v>
      </c>
      <c r="CU54" s="18">
        <f>CT54*VLOOKUP('Données projet'!$B$13,Paramètres!$A$1:$I$89,3,0)*VLOOKUP('Données projet'!$B$13,Paramètres!$A$1:$I$89,5,0)</f>
        <v>150.6203999999999</v>
      </c>
      <c r="CV54" s="14">
        <f t="shared" si="41"/>
        <v>38.719539861211025</v>
      </c>
      <c r="CW54" s="22">
        <f t="shared" si="13"/>
        <v>329.76706192494237</v>
      </c>
      <c r="CX54" s="60">
        <f t="shared" si="14"/>
        <v>585.55094232818919</v>
      </c>
      <c r="CY54" s="60">
        <f ca="1">AVERAGE(OFFSET($CX$3,0,0,'Données projet'!$E$13+1,1))-AVERAGE(OFFSET($H$3,0,0,'Données projet'!$E$13+1,1))</f>
        <v>277.77877239988635</v>
      </c>
      <c r="CZ54" s="60">
        <f t="shared" si="42"/>
        <v>164.65640238394164</v>
      </c>
      <c r="DA54" s="16">
        <f>IF(ISNA(VLOOKUP(A54,'Données projet'!$A$139:$I$159,3,0)),0,VLOOKUP(A54,'Données projet'!$A$139:$I$159,3,0))</f>
        <v>1</v>
      </c>
      <c r="DB54" s="16">
        <f>IF(ISNA(VLOOKUP(A54,'Données projet'!$A$139:$I$159,4,0)),0,VLOOKUP(A54,'Données projet'!$A$139:$I$159,4,0))</f>
        <v>100.30769230769231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4.4871794871794863</v>
      </c>
      <c r="DO54" s="13">
        <f>IF('Données projet'!$A$166&gt;35,DO53+DN54-DW53,IF(A54&lt;'Données projet'!$A$166,$DL$205^A54,IF(A54='Données projet'!$A$166,'Données projet'!$B$166,DO53+DN54-DW53)))</f>
        <v>135.25641025641022</v>
      </c>
      <c r="DP54" s="18">
        <f>DO54*VLOOKUP('Données projet'!$B$14,Paramètres!$A$1:$I$89,3,0)*VLOOKUP('Données projet'!$B$14,Paramètres!$A$1:$I$89,5,0)</f>
        <v>116.04999999999997</v>
      </c>
      <c r="DQ54" s="14">
        <f t="shared" si="43"/>
        <v>30.751939728719272</v>
      </c>
      <c r="DR54" s="22">
        <f t="shared" si="16"/>
        <v>255.68004502751933</v>
      </c>
      <c r="DS54" s="60">
        <f t="shared" si="17"/>
        <v>511.46392543076615</v>
      </c>
      <c r="DT54" s="60">
        <f ca="1">AVERAGE(OFFSET($DS$3,0,0,'Données projet'!$E$14+1,1))-AVERAGE(OFFSET($H$3,0,0,'Données projet'!$E$14+1,1))</f>
        <v>354.30160274624632</v>
      </c>
      <c r="DU54" s="60">
        <f t="shared" si="44"/>
        <v>218.8005329382452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</v>
      </c>
      <c r="EJ54" s="13">
        <f>IF('Données projet'!$A$192&gt;35,EJ53+EI54-ER53,IF(A54&lt;'Données projet'!$A$192,$EG$205^A54,IF(A54='Données projet'!$A$192,'Données projet'!$B$192,EJ53+EI54-ER53)))</f>
        <v>165</v>
      </c>
      <c r="EK54" s="18">
        <f>EJ54*VLOOKUP('Données projet'!$B$15,Paramètres!$A$1:$I$89,3,0)*VLOOKUP('Données projet'!$B$15,Paramètres!$A$1:$I$89,5,0)</f>
        <v>159.58799999999999</v>
      </c>
      <c r="EL54" s="14">
        <f t="shared" si="45"/>
        <v>40.74957371668588</v>
      </c>
      <c r="EM54" s="22">
        <f t="shared" si="19"/>
        <v>348.92127422322784</v>
      </c>
      <c r="EN54" s="60">
        <f t="shared" si="20"/>
        <v>604.70515462647472</v>
      </c>
      <c r="EO54" s="60">
        <f ca="1">AVERAGE(OFFSET($EN$3,0,0,'Données projet'!$E$15+1,1))-AVERAGE(OFFSET($H$3,0,0,'Données projet'!$E$15+1,1))</f>
        <v>496.33873798282525</v>
      </c>
      <c r="EP54" s="60">
        <f t="shared" si="46"/>
        <v>280.25465074992246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6.119999999999993</v>
      </c>
      <c r="FE54" s="13">
        <f>IF('Données projet'!$A$218&gt;35,FE53+FD54-FM53,IF(A54&lt;'Données projet'!$A$218,$FB$205^A54,IF(A54='Données projet'!$A$218,'Données projet'!$B$218,FE53+FD54-FM53)))</f>
        <v>208.0200000000001</v>
      </c>
      <c r="FF54" s="18">
        <f>FE54*VLOOKUP('Données projet'!$B$16,Paramètres!$A$1:$I$89,3,0)*VLOOKUP('Données projet'!$B$16,Paramètres!$A$1:$I$89,5,0)</f>
        <v>168.74582400000008</v>
      </c>
      <c r="FG54" s="14">
        <f t="shared" si="47"/>
        <v>42.809008942306193</v>
      </c>
      <c r="FH54" s="22">
        <f t="shared" si="22"/>
        <v>368.45800070785009</v>
      </c>
      <c r="FI54" s="60">
        <f t="shared" si="23"/>
        <v>624.24188111109697</v>
      </c>
      <c r="FJ54" s="60">
        <f ca="1">AVERAGE(OFFSET($FI$3,0,0,'Données projet'!$E$16+1,1))-AVERAGE(OFFSET($H$3,0,0,'Données projet'!$E$16+1,1))</f>
        <v>341.66430955115521</v>
      </c>
      <c r="FK54" s="60">
        <f t="shared" si="48"/>
        <v>366.15174925159192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6.119999999999993</v>
      </c>
      <c r="FZ54" s="13">
        <f>IF('Données projet'!$A$244&gt;35,FZ53+FY54-GH53,IF(A54&lt;'Données projet'!$A$244,$FW$205^A54,IF(A54='Données projet'!$A$244,'Données projet'!$B$244,FZ53+FY54-GH53)))</f>
        <v>208.0200000000001</v>
      </c>
      <c r="GA54" s="18">
        <f>FZ54*VLOOKUP('Données projet'!$B$17,Paramètres!$A$1:$I$89,3,0)*VLOOKUP('Données projet'!$B$17,Paramètres!$A$1:$I$89,5,0)</f>
        <v>152.52026400000005</v>
      </c>
      <c r="GB54" s="14">
        <f t="shared" si="49"/>
        <v>39.150768069454294</v>
      </c>
      <c r="GC54" s="22">
        <f t="shared" si="25"/>
        <v>333.82704752096635</v>
      </c>
      <c r="GD54" s="60">
        <f t="shared" si="26"/>
        <v>589.61092792421323</v>
      </c>
      <c r="GE54" s="60">
        <f ca="1">AVERAGE(OFFSET($GD$3,0,0,'Données projet'!$E$17+1,1))-AVERAGE(OFFSET($H$3,0,0,'Données projet'!$E$17+1,1))</f>
        <v>314.58662400031631</v>
      </c>
      <c r="GF54" s="60">
        <f t="shared" si="50"/>
        <v>336.99073123405981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4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175.422</v>
      </c>
      <c r="P55" s="14">
        <f t="shared" si="33"/>
        <v>44.302143412304737</v>
      </c>
      <c r="Q55" s="22">
        <f t="shared" si="53"/>
        <v>382.68621644309741</v>
      </c>
      <c r="R55" s="60">
        <f t="shared" si="0"/>
        <v>639.12149590668082</v>
      </c>
      <c r="S55" s="60">
        <f ca="1">AVERAGE(OFFSET($R$3,0,0,'Données projet'!$E$9+1,1))-AVERAGE(OFFSET($H$3,0,0,'Données projet'!$E$9+1,1))</f>
        <v>516.30971934066179</v>
      </c>
      <c r="T55" s="60">
        <f t="shared" si="34"/>
        <v>290.84286505723571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5.6410256410256405</v>
      </c>
      <c r="AI55" s="14">
        <f>IF('Données projet'!$A$62&gt;35,AI54+AH55-AQ54,IF(A55&lt;'Données projet'!$A$62,$AF$205^A55,IF(A55='Données projet'!$A$62,'Données projet'!$B$62,AI54+AH55-AQ54)))</f>
        <v>190.12820512820505</v>
      </c>
      <c r="AJ55" s="14">
        <f>AI55*VLOOKUP('Données projet'!$B$10,Paramètres!$A$1:$I$89,3,0)*VLOOKUP('Données projet'!$B$10,Paramètres!$A$1:$I$89,5,0)</f>
        <v>198.72199999999992</v>
      </c>
      <c r="AK55" s="14">
        <f t="shared" si="35"/>
        <v>49.463197303970119</v>
      </c>
      <c r="AL55" s="22">
        <f t="shared" si="4"/>
        <v>432.25588530441445</v>
      </c>
      <c r="AM55" s="60">
        <f t="shared" si="5"/>
        <v>688.69116476799786</v>
      </c>
      <c r="AN55" s="60">
        <f ca="1">AVERAGE(OFFSET($AM$3,0,0,'Données projet'!$E$10+1,1))-AVERAGE(OFFSET($H$3,0,0,'Données projet'!$E$10+1,1))</f>
        <v>529.00505223594837</v>
      </c>
      <c r="AO55" s="60">
        <f t="shared" si="36"/>
        <v>321.23004033257985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6.119999999999993</v>
      </c>
      <c r="BD55" s="13">
        <f>IF('Données projet'!$A$88&gt;35,BD54+BC55-BL54,IF(A55&lt;'Données projet'!$A$88,$BA$205^A55,IF(A55='Données projet'!$A$88,'Données projet'!$B$88,BD54+BC55-BL54)))</f>
        <v>214.1400000000001</v>
      </c>
      <c r="BE55" s="14">
        <f>BD55*VLOOKUP('Données projet'!$B$11,Paramètres!$A$1:$I$89,3,0)*VLOOKUP('Données projet'!$B$11,Paramètres!$A$1:$I$89,5,0)</f>
        <v>187.0727040000001</v>
      </c>
      <c r="BF55" s="14">
        <f t="shared" si="37"/>
        <v>46.892185598822181</v>
      </c>
      <c r="BG55" s="22">
        <f t="shared" si="7"/>
        <v>407.48884938461543</v>
      </c>
      <c r="BH55" s="60">
        <f t="shared" si="8"/>
        <v>663.92412884819873</v>
      </c>
      <c r="BI55" s="60">
        <f ca="1">AVERAGE(OFFSET($BH$3,0,0,'Données projet'!$E$11+1,1))-AVERAGE(OFFSET($H$3,0,0,'Données projet'!$E$11+1,1))</f>
        <v>363.28611056308665</v>
      </c>
      <c r="BJ55" s="60">
        <f t="shared" si="38"/>
        <v>389.43647559455974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186.21719999999999</v>
      </c>
      <c r="CA55" s="14">
        <f t="shared" si="39"/>
        <v>46.702653149673253</v>
      </c>
      <c r="CB55" s="22">
        <f t="shared" si="10"/>
        <v>405.66874423568089</v>
      </c>
      <c r="CC55" s="60">
        <f t="shared" si="11"/>
        <v>662.10402369926419</v>
      </c>
      <c r="CD55" s="60">
        <f ca="1">AVERAGE(OFFSET($CC$3,0,0,'Données projet'!$E$12+1,1))-AVERAGE(OFFSET($H$3,0,0,'Données projet'!$E$12+1,1))</f>
        <v>542.90832990875208</v>
      </c>
      <c r="CE55" s="60">
        <f t="shared" si="40"/>
        <v>304.94365539329362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10.542307692307702</v>
      </c>
      <c r="CT55" s="13">
        <f>IF('Données projet'!$A$140&gt;35,CT54+CS55-DB54,IF(A55&lt;'Données projet'!$A$140,$CQ$205^A55,IF(A55='Données projet'!$A$140,'Données projet'!$B$140,CT54+CS55-DB54)))</f>
        <v>232.07307692307671</v>
      </c>
      <c r="CU55" s="18">
        <f>CT55*VLOOKUP('Données projet'!$B$13,Paramètres!$A$1:$I$89,3,0)*VLOOKUP('Données projet'!$B$13,Paramètres!$A$1:$I$89,5,0)</f>
        <v>108.61019999999989</v>
      </c>
      <c r="CV55" s="14">
        <f t="shared" si="41"/>
        <v>29.003294930485936</v>
      </c>
      <c r="CW55" s="22">
        <f t="shared" si="13"/>
        <v>239.67683700392948</v>
      </c>
      <c r="CX55" s="60">
        <f t="shared" si="14"/>
        <v>496.11211646751281</v>
      </c>
      <c r="CY55" s="60">
        <f ca="1">AVERAGE(OFFSET($CX$3,0,0,'Données projet'!$E$13+1,1))-AVERAGE(OFFSET($H$3,0,0,'Données projet'!$E$13+1,1))</f>
        <v>277.77877239988635</v>
      </c>
      <c r="CZ55" s="60">
        <f t="shared" si="42"/>
        <v>164.65640238394164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4.4871794871794863</v>
      </c>
      <c r="DO55" s="13">
        <f>IF('Données projet'!$A$166&gt;35,DO54+DN55-DW54,IF(A55&lt;'Données projet'!$A$166,$DL$205^A55,IF(A55='Données projet'!$A$166,'Données projet'!$B$166,DO54+DN55-DW54)))</f>
        <v>139.74358974358969</v>
      </c>
      <c r="DP55" s="18">
        <f>DO55*VLOOKUP('Données projet'!$B$14,Paramètres!$A$1:$I$89,3,0)*VLOOKUP('Données projet'!$B$14,Paramètres!$A$1:$I$89,5,0)</f>
        <v>119.89999999999996</v>
      </c>
      <c r="DQ55" s="14">
        <f t="shared" si="43"/>
        <v>31.651674804775681</v>
      </c>
      <c r="DR55" s="22">
        <f t="shared" si="16"/>
        <v>263.95250028498424</v>
      </c>
      <c r="DS55" s="60">
        <f t="shared" si="17"/>
        <v>520.3877797485676</v>
      </c>
      <c r="DT55" s="60">
        <f ca="1">AVERAGE(OFFSET($DS$3,0,0,'Données projet'!$E$14+1,1))-AVERAGE(OFFSET($H$3,0,0,'Données projet'!$E$14+1,1))</f>
        <v>354.30160274624632</v>
      </c>
      <c r="DU55" s="60">
        <f t="shared" si="44"/>
        <v>218.8005329382452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</v>
      </c>
      <c r="EJ55" s="13">
        <f>IF('Données projet'!$A$192&gt;35,EJ54+EI55-ER54,IF(A55&lt;'Données projet'!$A$192,$EG$205^A55,IF(A55='Données projet'!$A$192,'Données projet'!$B$192,EJ54+EI55-ER54)))</f>
        <v>173</v>
      </c>
      <c r="EK55" s="18">
        <f>EJ55*VLOOKUP('Données projet'!$B$15,Paramètres!$A$1:$I$89,3,0)*VLOOKUP('Données projet'!$B$15,Paramètres!$A$1:$I$89,5,0)</f>
        <v>167.32560000000001</v>
      </c>
      <c r="EL55" s="14">
        <f t="shared" si="45"/>
        <v>42.490495297127609</v>
      </c>
      <c r="EM55" s="22">
        <f t="shared" si="19"/>
        <v>365.42969930916388</v>
      </c>
      <c r="EN55" s="60">
        <f t="shared" si="20"/>
        <v>621.86497877274724</v>
      </c>
      <c r="EO55" s="60">
        <f ca="1">AVERAGE(OFFSET($EN$3,0,0,'Données projet'!$E$15+1,1))-AVERAGE(OFFSET($H$3,0,0,'Données projet'!$E$15+1,1))</f>
        <v>496.33873798282525</v>
      </c>
      <c r="EP55" s="60">
        <f t="shared" si="46"/>
        <v>280.25465074992246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6.119999999999993</v>
      </c>
      <c r="FE55" s="13">
        <f>IF('Données projet'!$A$218&gt;35,FE54+FD55-FM54,IF(A55&lt;'Données projet'!$A$218,$FB$205^A55,IF(A55='Données projet'!$A$218,'Données projet'!$B$218,FE54+FD55-FM54)))</f>
        <v>214.1400000000001</v>
      </c>
      <c r="FF55" s="18">
        <f>FE55*VLOOKUP('Données projet'!$B$16,Paramètres!$A$1:$I$89,3,0)*VLOOKUP('Données projet'!$B$16,Paramètres!$A$1:$I$89,5,0)</f>
        <v>173.7103680000001</v>
      </c>
      <c r="FG55" s="14">
        <f t="shared" si="47"/>
        <v>43.919975484370021</v>
      </c>
      <c r="FH55" s="22">
        <f t="shared" si="22"/>
        <v>379.03951490194459</v>
      </c>
      <c r="FI55" s="60">
        <f t="shared" si="23"/>
        <v>635.47479436552794</v>
      </c>
      <c r="FJ55" s="60">
        <f ca="1">AVERAGE(OFFSET($FI$3,0,0,'Données projet'!$E$16+1,1))-AVERAGE(OFFSET($H$3,0,0,'Données projet'!$E$16+1,1))</f>
        <v>341.66430955115521</v>
      </c>
      <c r="FK55" s="60">
        <f t="shared" si="48"/>
        <v>366.15174925159192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6.119999999999993</v>
      </c>
      <c r="FZ55" s="13">
        <f>IF('Données projet'!$A$244&gt;35,FZ54+FY55-GH54,IF(A55&lt;'Données projet'!$A$244,$FW$205^A55,IF(A55='Données projet'!$A$244,'Données projet'!$B$244,FZ54+FY55-GH54)))</f>
        <v>214.1400000000001</v>
      </c>
      <c r="GA55" s="18">
        <f>FZ55*VLOOKUP('Données projet'!$B$17,Paramètres!$A$1:$I$89,3,0)*VLOOKUP('Données projet'!$B$17,Paramètres!$A$1:$I$89,5,0)</f>
        <v>157.00744800000007</v>
      </c>
      <c r="GB55" s="14">
        <f t="shared" si="49"/>
        <v>40.166797043165985</v>
      </c>
      <c r="GC55" s="22">
        <f t="shared" si="25"/>
        <v>343.41181011684756</v>
      </c>
      <c r="GD55" s="60">
        <f t="shared" si="26"/>
        <v>599.84708958043097</v>
      </c>
      <c r="GE55" s="60">
        <f ca="1">AVERAGE(OFFSET($GD$3,0,0,'Données projet'!$E$17+1,1))-AVERAGE(OFFSET($H$3,0,0,'Données projet'!$E$17+1,1))</f>
        <v>314.58662400031631</v>
      </c>
      <c r="GF55" s="60">
        <f t="shared" si="50"/>
        <v>336.99073123405981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4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183.53400000000002</v>
      </c>
      <c r="P56" s="14">
        <f t="shared" si="33"/>
        <v>46.107544136839593</v>
      </c>
      <c r="Q56" s="22">
        <f t="shared" si="53"/>
        <v>399.95902270499568</v>
      </c>
      <c r="R56" s="60">
        <f t="shared" si="0"/>
        <v>657.03440091152891</v>
      </c>
      <c r="S56" s="60">
        <f ca="1">AVERAGE(OFFSET($R$3,0,0,'Données projet'!$E$9+1,1))-AVERAGE(OFFSET($H$3,0,0,'Données projet'!$E$9+1,1))</f>
        <v>516.30971934066179</v>
      </c>
      <c r="T56" s="60">
        <f t="shared" si="34"/>
        <v>290.84286505723571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5.6410256410256405</v>
      </c>
      <c r="AI56" s="14">
        <f>IF('Données projet'!$A$62&gt;35,AI55+AH56-AQ55,IF(A56&lt;'Données projet'!$A$62,$AF$205^A56,IF(A56='Données projet'!$A$62,'Données projet'!$B$62,AI55+AH56-AQ55)))</f>
        <v>195.76923076923069</v>
      </c>
      <c r="AJ56" s="14">
        <f>AI56*VLOOKUP('Données projet'!$B$10,Paramètres!$A$1:$I$89,3,0)*VLOOKUP('Données projet'!$B$10,Paramètres!$A$1:$I$89,5,0)</f>
        <v>204.61799999999994</v>
      </c>
      <c r="AK56" s="14">
        <f t="shared" si="35"/>
        <v>50.757712073649664</v>
      </c>
      <c r="AL56" s="22">
        <f t="shared" si="4"/>
        <v>444.77936519493966</v>
      </c>
      <c r="AM56" s="60">
        <f t="shared" si="5"/>
        <v>701.85474340147289</v>
      </c>
      <c r="AN56" s="60">
        <f ca="1">AVERAGE(OFFSET($AM$3,0,0,'Données projet'!$E$10+1,1))-AVERAGE(OFFSET($H$3,0,0,'Données projet'!$E$10+1,1))</f>
        <v>529.00505223594837</v>
      </c>
      <c r="AO56" s="60">
        <f t="shared" si="36"/>
        <v>321.23004033257985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6.119999999999993</v>
      </c>
      <c r="BD56" s="13">
        <f>IF('Données projet'!$A$88&gt;35,BD55+BC56-BL55,IF(A56&lt;'Données projet'!$A$88,$BA$205^A56,IF(A56='Données projet'!$A$88,'Données projet'!$B$88,BD55+BC56-BL55)))</f>
        <v>220.2600000000001</v>
      </c>
      <c r="BE56" s="14">
        <f>BD56*VLOOKUP('Données projet'!$B$11,Paramètres!$A$1:$I$89,3,0)*VLOOKUP('Données projet'!$B$11,Paramètres!$A$1:$I$89,5,0)</f>
        <v>192.41913600000012</v>
      </c>
      <c r="BF56" s="14">
        <f t="shared" si="37"/>
        <v>48.074395014300762</v>
      </c>
      <c r="BG56" s="22">
        <f t="shared" si="7"/>
        <v>418.85956651657403</v>
      </c>
      <c r="BH56" s="60">
        <f t="shared" si="8"/>
        <v>675.93494472310726</v>
      </c>
      <c r="BI56" s="60">
        <f ca="1">AVERAGE(OFFSET($BH$3,0,0,'Données projet'!$E$11+1,1))-AVERAGE(OFFSET($H$3,0,0,'Données projet'!$E$11+1,1))</f>
        <v>363.28611056308665</v>
      </c>
      <c r="BJ56" s="60">
        <f t="shared" si="38"/>
        <v>389.43647559455974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194.82839999999999</v>
      </c>
      <c r="CA56" s="14">
        <f t="shared" si="39"/>
        <v>48.605879434898533</v>
      </c>
      <c r="CB56" s="22">
        <f t="shared" si="10"/>
        <v>423.98137001578152</v>
      </c>
      <c r="CC56" s="60">
        <f t="shared" si="11"/>
        <v>681.05674822231481</v>
      </c>
      <c r="CD56" s="60">
        <f ca="1">AVERAGE(OFFSET($CC$3,0,0,'Données projet'!$E$12+1,1))-AVERAGE(OFFSET($H$3,0,0,'Données projet'!$E$12+1,1))</f>
        <v>542.90832990875208</v>
      </c>
      <c r="CE56" s="60">
        <f t="shared" si="40"/>
        <v>304.94365539329362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10.542307692307702</v>
      </c>
      <c r="CT56" s="13">
        <f>IF('Données projet'!$A$140&gt;35,CT55+CS56-DB55,IF(A56&lt;'Données projet'!$A$140,$CQ$205^A56,IF(A56='Données projet'!$A$140,'Données projet'!$B$140,CT55+CS56-DB55)))</f>
        <v>242.61538461538441</v>
      </c>
      <c r="CU56" s="18">
        <f>CT56*VLOOKUP('Données projet'!$B$13,Paramètres!$A$1:$I$89,3,0)*VLOOKUP('Données projet'!$B$13,Paramètres!$A$1:$I$89,5,0)</f>
        <v>113.54399999999991</v>
      </c>
      <c r="CV56" s="14">
        <f t="shared" si="41"/>
        <v>30.164431377064304</v>
      </c>
      <c r="CW56" s="22">
        <f t="shared" si="13"/>
        <v>250.29218464838678</v>
      </c>
      <c r="CX56" s="60">
        <f t="shared" si="14"/>
        <v>507.36756285492004</v>
      </c>
      <c r="CY56" s="60">
        <f ca="1">AVERAGE(OFFSET($CX$3,0,0,'Données projet'!$E$13+1,1))-AVERAGE(OFFSET($H$3,0,0,'Données projet'!$E$13+1,1))</f>
        <v>277.77877239988635</v>
      </c>
      <c r="CZ56" s="60">
        <f t="shared" si="42"/>
        <v>164.65640238394164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4.4871794871794863</v>
      </c>
      <c r="DO56" s="13">
        <f>IF('Données projet'!$A$166&gt;35,DO55+DN56-DW55,IF(A56&lt;'Données projet'!$A$166,$DL$205^A56,IF(A56='Données projet'!$A$166,'Données projet'!$B$166,DO55+DN56-DW55)))</f>
        <v>144.23076923076917</v>
      </c>
      <c r="DP56" s="18">
        <f>DO56*VLOOKUP('Données projet'!$B$14,Paramètres!$A$1:$I$89,3,0)*VLOOKUP('Données projet'!$B$14,Paramètres!$A$1:$I$89,5,0)</f>
        <v>123.74999999999997</v>
      </c>
      <c r="DQ56" s="14">
        <f t="shared" si="43"/>
        <v>32.548052685026384</v>
      </c>
      <c r="DR56" s="22">
        <f t="shared" si="16"/>
        <v>272.21910842642092</v>
      </c>
      <c r="DS56" s="60">
        <f t="shared" si="17"/>
        <v>529.2944866329542</v>
      </c>
      <c r="DT56" s="60">
        <f ca="1">AVERAGE(OFFSET($DS$3,0,0,'Données projet'!$E$14+1,1))-AVERAGE(OFFSET($H$3,0,0,'Données projet'!$E$14+1,1))</f>
        <v>354.30160274624632</v>
      </c>
      <c r="DU56" s="60">
        <f t="shared" si="44"/>
        <v>218.8005329382452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</v>
      </c>
      <c r="EJ56" s="13">
        <f>IF('Données projet'!$A$192&gt;35,EJ55+EI56-ER55,IF(A56&lt;'Données projet'!$A$192,$EG$205^A56,IF(A56='Données projet'!$A$192,'Données projet'!$B$192,EJ55+EI56-ER55)))</f>
        <v>181</v>
      </c>
      <c r="EK56" s="18">
        <f>EJ56*VLOOKUP('Données projet'!$B$15,Paramètres!$A$1:$I$89,3,0)*VLOOKUP('Données projet'!$B$15,Paramètres!$A$1:$I$89,5,0)</f>
        <v>175.06319999999999</v>
      </c>
      <c r="EL56" s="14">
        <f t="shared" si="45"/>
        <v>44.22206774682472</v>
      </c>
      <c r="EM56" s="22">
        <f t="shared" si="19"/>
        <v>381.9218413257197</v>
      </c>
      <c r="EN56" s="60">
        <f t="shared" si="20"/>
        <v>638.99721953225298</v>
      </c>
      <c r="EO56" s="60">
        <f ca="1">AVERAGE(OFFSET($EN$3,0,0,'Données projet'!$E$15+1,1))-AVERAGE(OFFSET($H$3,0,0,'Données projet'!$E$15+1,1))</f>
        <v>496.33873798282525</v>
      </c>
      <c r="EP56" s="60">
        <f t="shared" si="46"/>
        <v>280.25465074992246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6.119999999999993</v>
      </c>
      <c r="FE56" s="13">
        <f>IF('Données projet'!$A$218&gt;35,FE55+FD56-FM55,IF(A56&lt;'Données projet'!$A$218,$FB$205^A56,IF(A56='Données projet'!$A$218,'Données projet'!$B$218,FE55+FD56-FM55)))</f>
        <v>220.2600000000001</v>
      </c>
      <c r="FF56" s="18">
        <f>FE56*VLOOKUP('Données projet'!$B$16,Paramètres!$A$1:$I$89,3,0)*VLOOKUP('Données projet'!$B$16,Paramètres!$A$1:$I$89,5,0)</f>
        <v>178.67491200000009</v>
      </c>
      <c r="FG56" s="14">
        <f t="shared" si="47"/>
        <v>45.027251843578895</v>
      </c>
      <c r="FH56" s="22">
        <f t="shared" si="22"/>
        <v>389.61460202756672</v>
      </c>
      <c r="FI56" s="60">
        <f t="shared" si="23"/>
        <v>646.68998023409995</v>
      </c>
      <c r="FJ56" s="60">
        <f ca="1">AVERAGE(OFFSET($FI$3,0,0,'Données projet'!$E$16+1,1))-AVERAGE(OFFSET($H$3,0,0,'Données projet'!$E$16+1,1))</f>
        <v>341.66430955115521</v>
      </c>
      <c r="FK56" s="60">
        <f t="shared" si="48"/>
        <v>366.15174925159192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6.119999999999993</v>
      </c>
      <c r="FZ56" s="13">
        <f>IF('Données projet'!$A$244&gt;35,FZ55+FY56-GH55,IF(A56&lt;'Données projet'!$A$244,$FW$205^A56,IF(A56='Données projet'!$A$244,'Données projet'!$B$244,FZ55+FY56-GH55)))</f>
        <v>220.2600000000001</v>
      </c>
      <c r="GA56" s="18">
        <f>FZ56*VLOOKUP('Données projet'!$B$17,Paramètres!$A$1:$I$89,3,0)*VLOOKUP('Données projet'!$B$17,Paramètres!$A$1:$I$89,5,0)</f>
        <v>161.49463200000008</v>
      </c>
      <c r="GB56" s="14">
        <f t="shared" si="49"/>
        <v>41.179451178341104</v>
      </c>
      <c r="GC56" s="22">
        <f t="shared" si="25"/>
        <v>352.99069486894427</v>
      </c>
      <c r="GD56" s="60">
        <f t="shared" si="26"/>
        <v>610.06607307547756</v>
      </c>
      <c r="GE56" s="60">
        <f ca="1">AVERAGE(OFFSET($GD$3,0,0,'Données projet'!$E$17+1,1))-AVERAGE(OFFSET($H$3,0,0,'Données projet'!$E$17+1,1))</f>
        <v>314.58662400031631</v>
      </c>
      <c r="GF56" s="60">
        <f t="shared" si="50"/>
        <v>336.99073123405981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4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191.64600000000002</v>
      </c>
      <c r="P57" s="14">
        <f t="shared" si="33"/>
        <v>47.903677189291635</v>
      </c>
      <c r="Q57" s="22">
        <f t="shared" si="53"/>
        <v>417.21568777134962</v>
      </c>
      <c r="R57" s="60">
        <f t="shared" si="0"/>
        <v>674.92006043868901</v>
      </c>
      <c r="S57" s="60">
        <f ca="1">AVERAGE(OFFSET($R$3,0,0,'Données projet'!$E$9+1,1))-AVERAGE(OFFSET($H$3,0,0,'Données projet'!$E$9+1,1))</f>
        <v>516.30971934066179</v>
      </c>
      <c r="T57" s="60">
        <f t="shared" si="34"/>
        <v>290.84286505723571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5.6410256410256405</v>
      </c>
      <c r="AI57" s="14">
        <f>IF('Données projet'!$A$62&gt;35,AI56+AH57-AQ56,IF(A57&lt;'Données projet'!$A$62,$AF$205^A57,IF(A57='Données projet'!$A$62,'Données projet'!$B$62,AI56+AH57-AQ56)))</f>
        <v>201.41025641025632</v>
      </c>
      <c r="AJ57" s="14">
        <f>AI57*VLOOKUP('Données projet'!$B$10,Paramètres!$A$1:$I$89,3,0)*VLOOKUP('Données projet'!$B$10,Paramètres!$A$1:$I$89,5,0)</f>
        <v>210.51399999999992</v>
      </c>
      <c r="AK57" s="14">
        <f t="shared" si="35"/>
        <v>52.047891644487855</v>
      </c>
      <c r="AL57" s="22">
        <f t="shared" si="4"/>
        <v>457.2952946141495</v>
      </c>
      <c r="AM57" s="60">
        <f t="shared" si="5"/>
        <v>714.99966728148888</v>
      </c>
      <c r="AN57" s="60">
        <f ca="1">AVERAGE(OFFSET($AM$3,0,0,'Données projet'!$E$10+1,1))-AVERAGE(OFFSET($H$3,0,0,'Données projet'!$E$10+1,1))</f>
        <v>529.00505223594837</v>
      </c>
      <c r="AO57" s="60">
        <f t="shared" si="36"/>
        <v>321.23004033257985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6.119999999999993</v>
      </c>
      <c r="BD57" s="13">
        <f>IF('Données projet'!$A$88&gt;35,BD56+BC57-BL56,IF(A57&lt;'Données projet'!$A$88,$BA$205^A57,IF(A57='Données projet'!$A$88,'Données projet'!$B$88,BD56+BC57-BL56)))</f>
        <v>226.38000000000011</v>
      </c>
      <c r="BE57" s="14">
        <f>BD57*VLOOKUP('Données projet'!$B$11,Paramètres!$A$1:$I$89,3,0)*VLOOKUP('Données projet'!$B$11,Paramètres!$A$1:$I$89,5,0)</f>
        <v>197.76556800000012</v>
      </c>
      <c r="BF57" s="14">
        <f t="shared" si="37"/>
        <v>49.252786568689096</v>
      </c>
      <c r="BG57" s="22">
        <f t="shared" si="7"/>
        <v>430.22363420713367</v>
      </c>
      <c r="BH57" s="60">
        <f t="shared" si="8"/>
        <v>687.928006874473</v>
      </c>
      <c r="BI57" s="60">
        <f ca="1">AVERAGE(OFFSET($BH$3,0,0,'Données projet'!$E$11+1,1))-AVERAGE(OFFSET($H$3,0,0,'Données projet'!$E$11+1,1))</f>
        <v>363.28611056308665</v>
      </c>
      <c r="BJ57" s="60">
        <f t="shared" si="38"/>
        <v>389.43647559455974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203.43960000000001</v>
      </c>
      <c r="CA57" s="14">
        <f t="shared" si="39"/>
        <v>50.499335879627459</v>
      </c>
      <c r="CB57" s="22">
        <f t="shared" si="10"/>
        <v>442.27697999035109</v>
      </c>
      <c r="CC57" s="60">
        <f t="shared" si="11"/>
        <v>699.98135265769042</v>
      </c>
      <c r="CD57" s="60">
        <f ca="1">AVERAGE(OFFSET($CC$3,0,0,'Données projet'!$E$12+1,1))-AVERAGE(OFFSET($H$3,0,0,'Données projet'!$E$12+1,1))</f>
        <v>542.90832990875208</v>
      </c>
      <c r="CE57" s="60">
        <f t="shared" si="40"/>
        <v>304.94365539329362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10.542307692307702</v>
      </c>
      <c r="CT57" s="13">
        <f>IF('Données projet'!$A$140&gt;35,CT56+CS57-DB56,IF(A57&lt;'Données projet'!$A$140,$CQ$205^A57,IF(A57='Données projet'!$A$140,'Données projet'!$B$140,CT56+CS57-DB56)))</f>
        <v>253.15769230769212</v>
      </c>
      <c r="CU57" s="18">
        <f>CT57*VLOOKUP('Données projet'!$B$13,Paramètres!$A$1:$I$89,3,0)*VLOOKUP('Données projet'!$B$13,Paramètres!$A$1:$I$89,5,0)</f>
        <v>118.47779999999992</v>
      </c>
      <c r="CV57" s="14">
        <f t="shared" si="41"/>
        <v>31.319707790273014</v>
      </c>
      <c r="CW57" s="22">
        <f t="shared" si="13"/>
        <v>260.8973260680587</v>
      </c>
      <c r="CX57" s="60">
        <f t="shared" si="14"/>
        <v>518.60169873539803</v>
      </c>
      <c r="CY57" s="60">
        <f ca="1">AVERAGE(OFFSET($CX$3,0,0,'Données projet'!$E$13+1,1))-AVERAGE(OFFSET($H$3,0,0,'Données projet'!$E$13+1,1))</f>
        <v>277.77877239988635</v>
      </c>
      <c r="CZ57" s="60">
        <f t="shared" si="42"/>
        <v>164.65640238394164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4.4871794871794863</v>
      </c>
      <c r="DO57" s="13">
        <f>IF('Données projet'!$A$166&gt;35,DO56+DN57-DW56,IF(A57&lt;'Données projet'!$A$166,$DL$205^A57,IF(A57='Données projet'!$A$166,'Données projet'!$B$166,DO56+DN57-DW56)))</f>
        <v>148.71794871794864</v>
      </c>
      <c r="DP57" s="18">
        <f>DO57*VLOOKUP('Données projet'!$B$14,Paramètres!$A$1:$I$89,3,0)*VLOOKUP('Données projet'!$B$14,Paramètres!$A$1:$I$89,5,0)</f>
        <v>127.59999999999997</v>
      </c>
      <c r="DQ57" s="14">
        <f t="shared" si="43"/>
        <v>33.441189800321091</v>
      </c>
      <c r="DR57" s="22">
        <f t="shared" si="16"/>
        <v>280.48007223555913</v>
      </c>
      <c r="DS57" s="60">
        <f t="shared" si="17"/>
        <v>538.18444490289846</v>
      </c>
      <c r="DT57" s="60">
        <f ca="1">AVERAGE(OFFSET($DS$3,0,0,'Données projet'!$E$14+1,1))-AVERAGE(OFFSET($H$3,0,0,'Données projet'!$E$14+1,1))</f>
        <v>354.30160274624632</v>
      </c>
      <c r="DU57" s="60">
        <f t="shared" si="44"/>
        <v>218.8005329382452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</v>
      </c>
      <c r="EJ57" s="13">
        <f>IF('Données projet'!$A$192&gt;35,EJ56+EI57-ER56,IF(A57&lt;'Données projet'!$A$192,$EG$205^A57,IF(A57='Données projet'!$A$192,'Données projet'!$B$192,EJ56+EI57-ER56)))</f>
        <v>189</v>
      </c>
      <c r="EK57" s="18">
        <f>EJ57*VLOOKUP('Données projet'!$B$15,Paramètres!$A$1:$I$89,3,0)*VLOOKUP('Données projet'!$B$15,Paramètres!$A$1:$I$89,5,0)</f>
        <v>182.80079999999998</v>
      </c>
      <c r="EL57" s="14">
        <f t="shared" si="45"/>
        <v>45.944751507471658</v>
      </c>
      <c r="EM57" s="22">
        <f t="shared" si="19"/>
        <v>398.39850220884642</v>
      </c>
      <c r="EN57" s="60">
        <f t="shared" si="20"/>
        <v>656.10287487618575</v>
      </c>
      <c r="EO57" s="60">
        <f ca="1">AVERAGE(OFFSET($EN$3,0,0,'Données projet'!$E$15+1,1))-AVERAGE(OFFSET($H$3,0,0,'Données projet'!$E$15+1,1))</f>
        <v>496.33873798282525</v>
      </c>
      <c r="EP57" s="60">
        <f t="shared" si="46"/>
        <v>280.25465074992246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6.119999999999993</v>
      </c>
      <c r="FE57" s="13">
        <f>IF('Données projet'!$A$218&gt;35,FE56+FD57-FM56,IF(A57&lt;'Données projet'!$A$218,$FB$205^A57,IF(A57='Données projet'!$A$218,'Données projet'!$B$218,FE56+FD57-FM56)))</f>
        <v>226.38000000000011</v>
      </c>
      <c r="FF57" s="18">
        <f>FE57*VLOOKUP('Données projet'!$B$16,Paramètres!$A$1:$I$89,3,0)*VLOOKUP('Données projet'!$B$16,Paramètres!$A$1:$I$89,5,0)</f>
        <v>183.63945600000011</v>
      </c>
      <c r="FG57" s="14">
        <f t="shared" si="47"/>
        <v>46.130952332664741</v>
      </c>
      <c r="FH57" s="22">
        <f t="shared" si="22"/>
        <v>400.18346117939126</v>
      </c>
      <c r="FI57" s="60">
        <f t="shared" si="23"/>
        <v>657.88783384673059</v>
      </c>
      <c r="FJ57" s="60">
        <f ca="1">AVERAGE(OFFSET($FI$3,0,0,'Données projet'!$E$16+1,1))-AVERAGE(OFFSET($H$3,0,0,'Données projet'!$E$16+1,1))</f>
        <v>341.66430955115521</v>
      </c>
      <c r="FK57" s="60">
        <f t="shared" si="48"/>
        <v>366.15174925159192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6.119999999999993</v>
      </c>
      <c r="FZ57" s="13">
        <f>IF('Données projet'!$A$244&gt;35,FZ56+FY57-GH56,IF(A57&lt;'Données projet'!$A$244,$FW$205^A57,IF(A57='Données projet'!$A$244,'Données projet'!$B$244,FZ56+FY57-GH56)))</f>
        <v>226.38000000000011</v>
      </c>
      <c r="GA57" s="18">
        <f>FZ57*VLOOKUP('Données projet'!$B$17,Paramètres!$A$1:$I$89,3,0)*VLOOKUP('Données projet'!$B$17,Paramètres!$A$1:$I$89,5,0)</f>
        <v>165.98181600000007</v>
      </c>
      <c r="GB57" s="14">
        <f t="shared" si="49"/>
        <v>42.188835019125143</v>
      </c>
      <c r="GC57" s="22">
        <f t="shared" si="25"/>
        <v>362.56388385830974</v>
      </c>
      <c r="GD57" s="60">
        <f t="shared" si="26"/>
        <v>620.26825652564912</v>
      </c>
      <c r="GE57" s="60">
        <f ca="1">AVERAGE(OFFSET($GD$3,0,0,'Données projet'!$E$17+1,1))-AVERAGE(OFFSET($H$3,0,0,'Données projet'!$E$17+1,1))</f>
        <v>314.58662400031631</v>
      </c>
      <c r="GF57" s="60">
        <f t="shared" si="50"/>
        <v>336.99073123405981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4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199.75800000000004</v>
      </c>
      <c r="P58" s="14">
        <f t="shared" si="33"/>
        <v>49.690979702964015</v>
      </c>
      <c r="Q58" s="22">
        <f t="shared" si="53"/>
        <v>434.45697298266236</v>
      </c>
      <c r="R58" s="60">
        <f t="shared" si="0"/>
        <v>692.77942846313374</v>
      </c>
      <c r="S58" s="60">
        <f ca="1">AVERAGE(OFFSET($R$3,0,0,'Données projet'!$E$9+1,1))-AVERAGE(OFFSET($H$3,0,0,'Données projet'!$E$9+1,1))</f>
        <v>516.30971934066179</v>
      </c>
      <c r="T58" s="60">
        <f t="shared" si="34"/>
        <v>290.84286505723571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207.05128205128204</v>
      </c>
      <c r="AG58" s="13">
        <f>VLOOKUP(A58,'Données projet'!$A$61:$I$81,9,0)</f>
        <v>5.6410256410256405</v>
      </c>
      <c r="AH58" s="13">
        <f t="array" ref="AH58">INDEX(AG:AG,MIN(IF(ISNUMBER(AG58:AG254),ROW(AG58:AG254),"")))</f>
        <v>5.6410256410256405</v>
      </c>
      <c r="AI58" s="14">
        <f>IF('Données projet'!$A$62&gt;35,AI57+AH58-AQ57,IF(A58&lt;'Données projet'!$A$62,$AF$205^A58,IF(A58='Données projet'!$A$62,'Données projet'!$B$62,AI57+AH58-AQ57)))</f>
        <v>207.05128205128196</v>
      </c>
      <c r="AJ58" s="14">
        <f>AI58*VLOOKUP('Données projet'!$B$10,Paramètres!$A$1:$I$89,3,0)*VLOOKUP('Données projet'!$B$10,Paramètres!$A$1:$I$89,5,0)</f>
        <v>216.40999999999991</v>
      </c>
      <c r="AK58" s="14">
        <f t="shared" si="35"/>
        <v>53.333871383439472</v>
      </c>
      <c r="AL58" s="22">
        <f t="shared" si="4"/>
        <v>469.80390932615688</v>
      </c>
      <c r="AM58" s="60">
        <f t="shared" si="5"/>
        <v>728.12636480662832</v>
      </c>
      <c r="AN58" s="60">
        <f ca="1">AVERAGE(OFFSET($AM$3,0,0,'Données projet'!$E$10+1,1))-AVERAGE(OFFSET($H$3,0,0,'Données projet'!$E$10+1,1))</f>
        <v>529.00505223594837</v>
      </c>
      <c r="AO58" s="60">
        <f t="shared" si="36"/>
        <v>321.23004033257985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232.5</v>
      </c>
      <c r="BB58" s="13">
        <f>VLOOKUP(A58,'Données projet'!$A$87:$I$107,9,0)</f>
        <v>6.119999999999993</v>
      </c>
      <c r="BC58" s="13">
        <f t="array" ref="BC58">INDEX(BB:BB,MIN(IF(ISNUMBER(BB58:BB254),ROW(BB58:BB254),"")))</f>
        <v>6.119999999999993</v>
      </c>
      <c r="BD58" s="13">
        <f>IF('Données projet'!$A$88&gt;35,BD57+BC58-BL57,IF(A58&lt;'Données projet'!$A$88,$BA$205^A58,IF(A58='Données projet'!$A$88,'Données projet'!$B$88,BD57+BC58-BL57)))</f>
        <v>232.50000000000011</v>
      </c>
      <c r="BE58" s="14">
        <f>BD58*VLOOKUP('Données projet'!$B$11,Paramètres!$A$1:$I$89,3,0)*VLOOKUP('Données projet'!$B$11,Paramètres!$A$1:$I$89,5,0)</f>
        <v>203.11200000000011</v>
      </c>
      <c r="BF58" s="14">
        <f t="shared" si="37"/>
        <v>50.427475336015824</v>
      </c>
      <c r="BG58" s="22">
        <f t="shared" si="7"/>
        <v>441.58125287689433</v>
      </c>
      <c r="BH58" s="60">
        <f t="shared" si="8"/>
        <v>699.90370835736576</v>
      </c>
      <c r="BI58" s="60">
        <f ca="1">AVERAGE(OFFSET($BH$3,0,0,'Données projet'!$E$11+1,1))-AVERAGE(OFFSET($H$3,0,0,'Données projet'!$E$11+1,1))</f>
        <v>363.28611056308665</v>
      </c>
      <c r="BJ58" s="60">
        <f t="shared" si="38"/>
        <v>389.43647559455974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212.05079999999998</v>
      </c>
      <c r="CA58" s="14">
        <f t="shared" si="39"/>
        <v>52.383483303212302</v>
      </c>
      <c r="CB58" s="22">
        <f t="shared" si="10"/>
        <v>460.55637675309475</v>
      </c>
      <c r="CC58" s="60">
        <f t="shared" si="11"/>
        <v>718.87883223356607</v>
      </c>
      <c r="CD58" s="60">
        <f ca="1">AVERAGE(OFFSET($CC$3,0,0,'Données projet'!$E$12+1,1))-AVERAGE(OFFSET($H$3,0,0,'Données projet'!$E$12+1,1))</f>
        <v>542.90832990875208</v>
      </c>
      <c r="CE58" s="60">
        <f t="shared" si="40"/>
        <v>304.94365539329362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10.542307692307702</v>
      </c>
      <c r="CT58" s="13">
        <f>IF('Données projet'!$A$140&gt;35,CT57+CS58-DB57,IF(A58&lt;'Données projet'!$A$140,$CQ$205^A58,IF(A58='Données projet'!$A$140,'Données projet'!$B$140,CT57+CS58-DB57)))</f>
        <v>263.69999999999982</v>
      </c>
      <c r="CU58" s="18">
        <f>CT58*VLOOKUP('Données projet'!$B$13,Paramètres!$A$1:$I$89,3,0)*VLOOKUP('Données projet'!$B$13,Paramètres!$A$1:$I$89,5,0)</f>
        <v>123.41159999999991</v>
      </c>
      <c r="CV58" s="14">
        <f t="shared" si="41"/>
        <v>32.46939610718038</v>
      </c>
      <c r="CW58" s="22">
        <f t="shared" si="13"/>
        <v>271.49273488667239</v>
      </c>
      <c r="CX58" s="60">
        <f t="shared" si="14"/>
        <v>529.81519036714371</v>
      </c>
      <c r="CY58" s="60">
        <f ca="1">AVERAGE(OFFSET($CX$3,0,0,'Données projet'!$E$13+1,1))-AVERAGE(OFFSET($H$3,0,0,'Données projet'!$E$13+1,1))</f>
        <v>277.77877239988635</v>
      </c>
      <c r="CZ58" s="60">
        <f t="shared" si="42"/>
        <v>164.65640238394164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153.2051282051282</v>
      </c>
      <c r="DM58" s="13">
        <f>VLOOKUP(A58,'Données projet'!$A$165:$I$185,9,0)</f>
        <v>4.4871794871794863</v>
      </c>
      <c r="DN58" s="13">
        <f t="array" ref="DN58">INDEX(DM:DM,MIN(IF(ISNUMBER(DM58:DM254),ROW(DM58:DM254),"")))</f>
        <v>4.4871794871794863</v>
      </c>
      <c r="DO58" s="13">
        <f>IF('Données projet'!$A$166&gt;35,DO57+DN58-DW57,IF(A58&lt;'Données projet'!$A$166,$DL$205^A58,IF(A58='Données projet'!$A$166,'Données projet'!$B$166,DO57+DN58-DW57)))</f>
        <v>153.20512820512812</v>
      </c>
      <c r="DP58" s="18">
        <f>DO58*VLOOKUP('Données projet'!$B$14,Paramètres!$A$1:$I$89,3,0)*VLOOKUP('Données projet'!$B$14,Paramètres!$A$1:$I$89,5,0)</f>
        <v>131.44999999999993</v>
      </c>
      <c r="DQ58" s="14">
        <f t="shared" si="43"/>
        <v>34.331195156222883</v>
      </c>
      <c r="DR58" s="22">
        <f t="shared" si="16"/>
        <v>288.73558156375475</v>
      </c>
      <c r="DS58" s="60">
        <f t="shared" si="17"/>
        <v>547.05803704422613</v>
      </c>
      <c r="DT58" s="60">
        <f ca="1">AVERAGE(OFFSET($DS$3,0,0,'Données projet'!$E$14+1,1))-AVERAGE(OFFSET($H$3,0,0,'Données projet'!$E$14+1,1))</f>
        <v>354.30160274624632</v>
      </c>
      <c r="DU58" s="60">
        <f t="shared" si="44"/>
        <v>218.8005329382452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197</v>
      </c>
      <c r="EH58" s="13">
        <f>VLOOKUP(A58,'Données projet'!$A$191:$I$211,9,0)</f>
        <v>8</v>
      </c>
      <c r="EI58" s="13">
        <f t="array" ref="EI58">INDEX(EH:EH,MIN(IF(ISNUMBER(EH58:EH254),ROW(EH58:EH254),"")))</f>
        <v>8</v>
      </c>
      <c r="EJ58" s="13">
        <f>IF('Données projet'!$A$192&gt;35,EJ57+EI58-ER57,IF(A58&lt;'Données projet'!$A$192,$EG$205^A58,IF(A58='Données projet'!$A$192,'Données projet'!$B$192,EJ57+EI58-ER57)))</f>
        <v>197</v>
      </c>
      <c r="EK58" s="18">
        <f>EJ58*VLOOKUP('Données projet'!$B$15,Paramètres!$A$1:$I$89,3,0)*VLOOKUP('Données projet'!$B$15,Paramètres!$A$1:$I$89,5,0)</f>
        <v>190.5384</v>
      </c>
      <c r="EL58" s="14">
        <f t="shared" si="45"/>
        <v>47.658965836673829</v>
      </c>
      <c r="EM58" s="22">
        <f t="shared" si="19"/>
        <v>414.86041216554025</v>
      </c>
      <c r="EN58" s="60">
        <f t="shared" si="20"/>
        <v>673.18286764601157</v>
      </c>
      <c r="EO58" s="60">
        <f ca="1">AVERAGE(OFFSET($EN$3,0,0,'Données projet'!$E$15+1,1))-AVERAGE(OFFSET($H$3,0,0,'Données projet'!$E$15+1,1))</f>
        <v>496.33873798282525</v>
      </c>
      <c r="EP58" s="60">
        <f t="shared" si="46"/>
        <v>280.25465074992246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232.5</v>
      </c>
      <c r="FC58" s="13">
        <f>VLOOKUP(A58,'Données projet'!$A$217:$I$237,9,0)</f>
        <v>6.119999999999993</v>
      </c>
      <c r="FD58" s="13">
        <f t="array" ref="FD58">INDEX(FC:FC,MIN(IF(ISNUMBER(FC58:FC254),ROW(FC58:FC254),"")))</f>
        <v>6.119999999999993</v>
      </c>
      <c r="FE58" s="13">
        <f>IF('Données projet'!$A$218&gt;35,FE57+FD58-FM57,IF(A58&lt;'Données projet'!$A$218,$FB$205^A58,IF(A58='Données projet'!$A$218,'Données projet'!$B$218,FE57+FD58-FM57)))</f>
        <v>232.50000000000011</v>
      </c>
      <c r="FF58" s="18">
        <f>FE58*VLOOKUP('Données projet'!$B$16,Paramètres!$A$1:$I$89,3,0)*VLOOKUP('Données projet'!$B$16,Paramètres!$A$1:$I$89,5,0)</f>
        <v>188.6040000000001</v>
      </c>
      <c r="FG58" s="14">
        <f t="shared" si="47"/>
        <v>47.231184731814224</v>
      </c>
      <c r="FH58" s="22">
        <f t="shared" si="22"/>
        <v>410.74628007457659</v>
      </c>
      <c r="FI58" s="60">
        <f t="shared" si="23"/>
        <v>669.06873555504797</v>
      </c>
      <c r="FJ58" s="60">
        <f ca="1">AVERAGE(OFFSET($FI$3,0,0,'Données projet'!$E$16+1,1))-AVERAGE(OFFSET($H$3,0,0,'Données projet'!$E$16+1,1))</f>
        <v>341.66430955115521</v>
      </c>
      <c r="FK58" s="60">
        <f t="shared" si="48"/>
        <v>366.15174925159192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232.5</v>
      </c>
      <c r="FX58" s="13">
        <f>VLOOKUP(A58,'Données projet'!$A$243:$I$263,9,0)</f>
        <v>6.119999999999993</v>
      </c>
      <c r="FY58" s="13">
        <f t="array" ref="FY58">INDEX(FX:FX,MIN(IF(ISNUMBER(FX58:FX254),ROW(FX58:FX254),"")))</f>
        <v>6.119999999999993</v>
      </c>
      <c r="FZ58" s="13">
        <f>IF('Données projet'!$A$244&gt;35,FZ57+FY58-GH57,IF(A58&lt;'Données projet'!$A$244,$FW$205^A58,IF(A58='Données projet'!$A$244,'Données projet'!$B$244,FZ57+FY58-GH57)))</f>
        <v>232.50000000000011</v>
      </c>
      <c r="GA58" s="18">
        <f>FZ58*VLOOKUP('Données projet'!$B$17,Paramètres!$A$1:$I$89,3,0)*VLOOKUP('Données projet'!$B$17,Paramètres!$A$1:$I$89,5,0)</f>
        <v>170.46900000000008</v>
      </c>
      <c r="GB58" s="14">
        <f t="shared" si="49"/>
        <v>43.195047135356397</v>
      </c>
      <c r="GC58" s="22">
        <f t="shared" si="25"/>
        <v>372.13154876074583</v>
      </c>
      <c r="GD58" s="60">
        <f t="shared" si="26"/>
        <v>630.45400424121726</v>
      </c>
      <c r="GE58" s="60">
        <f ca="1">AVERAGE(OFFSET($GD$3,0,0,'Données projet'!$E$17+1,1))-AVERAGE(OFFSET($H$3,0,0,'Données projet'!$E$17+1,1))</f>
        <v>314.58662400031631</v>
      </c>
      <c r="GF58" s="60">
        <f t="shared" si="50"/>
        <v>336.99073123405981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4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207.46440000000001</v>
      </c>
      <c r="P59" s="14">
        <f t="shared" si="33"/>
        <v>51.381102169014063</v>
      </c>
      <c r="Q59" s="22">
        <f t="shared" si="53"/>
        <v>450.82258294436616</v>
      </c>
      <c r="R59" s="60">
        <f t="shared" si="0"/>
        <v>709.7523988829879</v>
      </c>
      <c r="S59" s="60">
        <f ca="1">AVERAGE(OFFSET($R$3,0,0,'Données projet'!$E$9+1,1))-AVERAGE(OFFSET($H$3,0,0,'Données projet'!$E$9+1,1))</f>
        <v>516.30971934066179</v>
      </c>
      <c r="T59" s="60">
        <f t="shared" si="34"/>
        <v>290.84286505723571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5.2564102564102537</v>
      </c>
      <c r="AI59" s="14">
        <f>IF('Données projet'!$A$62&gt;35,AI58+AH59-AQ58,IF(A59&lt;'Données projet'!$A$62,$AF$205^A59,IF(A59='Données projet'!$A$62,'Données projet'!$B$62,AI58+AH59-AQ58)))</f>
        <v>212.30769230769221</v>
      </c>
      <c r="AJ59" s="14">
        <f>AI59*VLOOKUP('Données projet'!$B$10,Paramètres!$A$1:$I$89,3,0)*VLOOKUP('Données projet'!$B$10,Paramètres!$A$1:$I$89,5,0)</f>
        <v>221.90399999999991</v>
      </c>
      <c r="AK59" s="14">
        <f t="shared" si="35"/>
        <v>54.528502940168273</v>
      </c>
      <c r="AL59" s="22">
        <f t="shared" si="4"/>
        <v>481.45327595412624</v>
      </c>
      <c r="AM59" s="60">
        <f t="shared" si="5"/>
        <v>740.38309189274798</v>
      </c>
      <c r="AN59" s="60">
        <f ca="1">AVERAGE(OFFSET($AM$3,0,0,'Données projet'!$E$10+1,1))-AVERAGE(OFFSET($H$3,0,0,'Données projet'!$E$10+1,1))</f>
        <v>529.00505223594837</v>
      </c>
      <c r="AO59" s="60">
        <f t="shared" si="36"/>
        <v>321.23004033257985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5.1600000000000019</v>
      </c>
      <c r="BD59" s="13">
        <f>IF('Données projet'!$A$88&gt;35,BD58+BC59-BL58,IF(A59&lt;'Données projet'!$A$88,$BA$205^A59,IF(A59='Données projet'!$A$88,'Données projet'!$B$88,BD58+BC59-BL58)))</f>
        <v>237.66000000000011</v>
      </c>
      <c r="BE59" s="14">
        <f>BD59*VLOOKUP('Données projet'!$B$11,Paramètres!$A$1:$I$89,3,0)*VLOOKUP('Données projet'!$B$11,Paramètres!$A$1:$I$89,5,0)</f>
        <v>207.61977600000012</v>
      </c>
      <c r="BF59" s="14">
        <f t="shared" si="37"/>
        <v>51.415102296903406</v>
      </c>
      <c r="BG59" s="22">
        <f t="shared" si="7"/>
        <v>451.1524130337736</v>
      </c>
      <c r="BH59" s="60">
        <f t="shared" si="8"/>
        <v>710.08222897239534</v>
      </c>
      <c r="BI59" s="60">
        <f ca="1">AVERAGE(OFFSET($BH$3,0,0,'Données projet'!$E$11+1,1))-AVERAGE(OFFSET($H$3,0,0,'Données projet'!$E$11+1,1))</f>
        <v>363.28611056308665</v>
      </c>
      <c r="BJ59" s="60">
        <f t="shared" si="38"/>
        <v>389.43647559455974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204.6</v>
      </c>
      <c r="BZ59" s="14">
        <f>BY59*VLOOKUP('Données projet'!$B$12,Paramètres!$A$1:$I$89,3,0)*VLOOKUP('Données projet'!$B$12,Paramètres!$A$1:$I$89,5,0)</f>
        <v>220.23143999999996</v>
      </c>
      <c r="CA59" s="14">
        <f t="shared" si="39"/>
        <v>54.165184982469711</v>
      </c>
      <c r="CB59" s="22">
        <f t="shared" si="10"/>
        <v>477.9074551778013</v>
      </c>
      <c r="CC59" s="60">
        <f t="shared" si="11"/>
        <v>736.83727111642304</v>
      </c>
      <c r="CD59" s="60">
        <f ca="1">AVERAGE(OFFSET($CC$3,0,0,'Données projet'!$E$12+1,1))-AVERAGE(OFFSET($H$3,0,0,'Données projet'!$E$12+1,1))</f>
        <v>542.90832990875208</v>
      </c>
      <c r="CE59" s="60">
        <f t="shared" si="40"/>
        <v>304.94365539329362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10.542307692307702</v>
      </c>
      <c r="CT59" s="13">
        <f>IF('Données projet'!$A$140&gt;35,CT58+CS59-DB58,IF(A59&lt;'Données projet'!$A$140,$CQ$205^A59,IF(A59='Données projet'!$A$140,'Données projet'!$B$140,CT58+CS59-DB58)))</f>
        <v>274.24230769230752</v>
      </c>
      <c r="CU59" s="18">
        <f>CT59*VLOOKUP('Données projet'!$B$13,Paramètres!$A$1:$I$89,3,0)*VLOOKUP('Données projet'!$B$13,Paramètres!$A$1:$I$89,5,0)</f>
        <v>128.34539999999993</v>
      </c>
      <c r="CV59" s="14">
        <f t="shared" si="41"/>
        <v>33.61374529088544</v>
      </c>
      <c r="CW59" s="22">
        <f t="shared" si="13"/>
        <v>282.07884471495868</v>
      </c>
      <c r="CX59" s="60">
        <f t="shared" si="14"/>
        <v>541.00866065358036</v>
      </c>
      <c r="CY59" s="60">
        <f ca="1">AVERAGE(OFFSET($CX$3,0,0,'Données projet'!$E$13+1,1))-AVERAGE(OFFSET($H$3,0,0,'Données projet'!$E$13+1,1))</f>
        <v>277.77877239988635</v>
      </c>
      <c r="CZ59" s="60">
        <f t="shared" si="42"/>
        <v>164.65640238394164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4.2307692307692317</v>
      </c>
      <c r="DO59" s="13">
        <f>IF('Données projet'!$A$166&gt;35,DO58+DN59-DW58,IF(A59&lt;'Données projet'!$A$166,$DL$205^A59,IF(A59='Données projet'!$A$166,'Données projet'!$B$166,DO58+DN59-DW58)))</f>
        <v>157.43589743589735</v>
      </c>
      <c r="DP59" s="18">
        <f>DO59*VLOOKUP('Données projet'!$B$14,Paramètres!$A$1:$I$89,3,0)*VLOOKUP('Données projet'!$B$14,Paramètres!$A$1:$I$89,5,0)</f>
        <v>135.07999999999993</v>
      </c>
      <c r="DQ59" s="14">
        <f t="shared" si="43"/>
        <v>35.167566583022456</v>
      </c>
      <c r="DR59" s="22">
        <f t="shared" si="16"/>
        <v>296.51451179876398</v>
      </c>
      <c r="DS59" s="60">
        <f t="shared" si="17"/>
        <v>555.44432773738572</v>
      </c>
      <c r="DT59" s="60">
        <f ca="1">AVERAGE(OFFSET($DS$3,0,0,'Données projet'!$E$14+1,1))-AVERAGE(OFFSET($H$3,0,0,'Données projet'!$E$14+1,1))</f>
        <v>354.30160274624632</v>
      </c>
      <c r="DU59" s="60">
        <f t="shared" si="44"/>
        <v>218.8005329382452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7.6</v>
      </c>
      <c r="EJ59" s="13">
        <f>IF('Données projet'!$A$192&gt;35,EJ58+EI59-ER58,IF(A59&lt;'Données projet'!$A$192,$EG$205^A59,IF(A59='Données projet'!$A$192,'Données projet'!$B$192,EJ58+EI59-ER58)))</f>
        <v>204.6</v>
      </c>
      <c r="EK59" s="18">
        <f>EJ59*VLOOKUP('Données projet'!$B$15,Paramètres!$A$1:$I$89,3,0)*VLOOKUP('Données projet'!$B$15,Paramètres!$A$1:$I$89,5,0)</f>
        <v>197.88911999999999</v>
      </c>
      <c r="EL59" s="14">
        <f t="shared" si="45"/>
        <v>49.279974103179534</v>
      </c>
      <c r="EM59" s="22">
        <f t="shared" si="19"/>
        <v>430.48617222970438</v>
      </c>
      <c r="EN59" s="60">
        <f t="shared" si="20"/>
        <v>689.41598816832607</v>
      </c>
      <c r="EO59" s="60">
        <f ca="1">AVERAGE(OFFSET($EN$3,0,0,'Données projet'!$E$15+1,1))-AVERAGE(OFFSET($H$3,0,0,'Données projet'!$E$15+1,1))</f>
        <v>496.33873798282525</v>
      </c>
      <c r="EP59" s="60">
        <f t="shared" si="46"/>
        <v>280.25465074992246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5.1600000000000019</v>
      </c>
      <c r="FE59" s="13">
        <f>IF('Données projet'!$A$218&gt;35,FE58+FD59-FM58,IF(A59&lt;'Données projet'!$A$218,$FB$205^A59,IF(A59='Données projet'!$A$218,'Données projet'!$B$218,FE58+FD59-FM58)))</f>
        <v>237.66000000000011</v>
      </c>
      <c r="FF59" s="18">
        <f>FE59*VLOOKUP('Données projet'!$B$16,Paramètres!$A$1:$I$89,3,0)*VLOOKUP('Données projet'!$B$16,Paramètres!$A$1:$I$89,5,0)</f>
        <v>192.78979200000009</v>
      </c>
      <c r="FG59" s="14">
        <f t="shared" si="47"/>
        <v>48.15621203339888</v>
      </c>
      <c r="FH59" s="22">
        <f t="shared" si="22"/>
        <v>419.64762369150316</v>
      </c>
      <c r="FI59" s="60">
        <f t="shared" si="23"/>
        <v>678.5774396301249</v>
      </c>
      <c r="FJ59" s="60">
        <f ca="1">AVERAGE(OFFSET($FI$3,0,0,'Données projet'!$E$16+1,1))-AVERAGE(OFFSET($H$3,0,0,'Données projet'!$E$16+1,1))</f>
        <v>341.66430955115521</v>
      </c>
      <c r="FK59" s="60">
        <f t="shared" si="48"/>
        <v>366.15174925159192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5.1600000000000019</v>
      </c>
      <c r="FZ59" s="13">
        <f>IF('Données projet'!$A$244&gt;35,FZ58+FY59-GH58,IF(A59&lt;'Données projet'!$A$244,$FW$205^A59,IF(A59='Données projet'!$A$244,'Données projet'!$B$244,FZ58+FY59-GH58)))</f>
        <v>237.66000000000011</v>
      </c>
      <c r="GA59" s="18">
        <f>FZ59*VLOOKUP('Données projet'!$B$17,Paramètres!$A$1:$I$89,3,0)*VLOOKUP('Données projet'!$B$17,Paramètres!$A$1:$I$89,5,0)</f>
        <v>174.25231200000007</v>
      </c>
      <c r="GB59" s="14">
        <f t="shared" si="49"/>
        <v>44.04102629341314</v>
      </c>
      <c r="GC59" s="22">
        <f t="shared" si="25"/>
        <v>380.19423086102802</v>
      </c>
      <c r="GD59" s="60">
        <f t="shared" si="26"/>
        <v>639.1240467996497</v>
      </c>
      <c r="GE59" s="60">
        <f ca="1">AVERAGE(OFFSET($GD$3,0,0,'Données projet'!$E$17+1,1))-AVERAGE(OFFSET($H$3,0,0,'Données projet'!$E$17+1,1))</f>
        <v>314.58662400031631</v>
      </c>
      <c r="GF59" s="60">
        <f t="shared" si="50"/>
        <v>336.99073123405981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4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215.17080000000001</v>
      </c>
      <c r="P60" s="14">
        <f t="shared" si="33"/>
        <v>53.063930965723607</v>
      </c>
      <c r="Q60" s="22">
        <f t="shared" si="53"/>
        <v>467.17548976530185</v>
      </c>
      <c r="R60" s="60">
        <f t="shared" si="0"/>
        <v>726.70212981597956</v>
      </c>
      <c r="S60" s="60">
        <f ca="1">AVERAGE(OFFSET($R$3,0,0,'Données projet'!$E$9+1,1))-AVERAGE(OFFSET($H$3,0,0,'Données projet'!$E$9+1,1))</f>
        <v>516.30971934066179</v>
      </c>
      <c r="T60" s="60">
        <f t="shared" si="34"/>
        <v>290.84286505723571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5.2564102564102537</v>
      </c>
      <c r="AI60" s="14">
        <f>IF('Données projet'!$A$62&gt;35,AI59+AH60-AQ59,IF(A60&lt;'Données projet'!$A$62,$AF$205^A60,IF(A60='Données projet'!$A$62,'Données projet'!$B$62,AI59+AH60-AQ59)))</f>
        <v>217.56410256410246</v>
      </c>
      <c r="AJ60" s="14">
        <f>AI60*VLOOKUP('Données projet'!$B$10,Paramètres!$A$1:$I$89,3,0)*VLOOKUP('Données projet'!$B$10,Paramètres!$A$1:$I$89,5,0)</f>
        <v>227.39799999999991</v>
      </c>
      <c r="AK60" s="14">
        <f t="shared" si="35"/>
        <v>55.719696292134515</v>
      </c>
      <c r="AL60" s="22">
        <f t="shared" si="4"/>
        <v>493.09665437546749</v>
      </c>
      <c r="AM60" s="60">
        <f t="shared" si="5"/>
        <v>752.62329442614521</v>
      </c>
      <c r="AN60" s="60">
        <f ca="1">AVERAGE(OFFSET($AM$3,0,0,'Données projet'!$E$10+1,1))-AVERAGE(OFFSET($H$3,0,0,'Données projet'!$E$10+1,1))</f>
        <v>529.00505223594837</v>
      </c>
      <c r="AO60" s="60">
        <f t="shared" si="36"/>
        <v>321.23004033257985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5.1600000000000019</v>
      </c>
      <c r="BD60" s="13">
        <f>IF('Données projet'!$A$88&gt;35,BD59+BC60-BL59,IF(A60&lt;'Données projet'!$A$88,$BA$205^A60,IF(A60='Données projet'!$A$88,'Données projet'!$B$88,BD59+BC60-BL59)))</f>
        <v>242.82000000000011</v>
      </c>
      <c r="BE60" s="14">
        <f>BD60*VLOOKUP('Données projet'!$B$11,Paramètres!$A$1:$I$89,3,0)*VLOOKUP('Données projet'!$B$11,Paramètres!$A$1:$I$89,5,0)</f>
        <v>212.12755200000012</v>
      </c>
      <c r="BF60" s="14">
        <f t="shared" si="37"/>
        <v>52.400236231117169</v>
      </c>
      <c r="BG60" s="22">
        <f t="shared" si="7"/>
        <v>460.71923116919589</v>
      </c>
      <c r="BH60" s="60">
        <f t="shared" si="8"/>
        <v>720.24587121987361</v>
      </c>
      <c r="BI60" s="60">
        <f ca="1">AVERAGE(OFFSET($BH$3,0,0,'Données projet'!$E$11+1,1))-AVERAGE(OFFSET($H$3,0,0,'Données projet'!$E$11+1,1))</f>
        <v>363.28611056308665</v>
      </c>
      <c r="BJ60" s="60">
        <f t="shared" si="38"/>
        <v>389.43647559455974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212.2</v>
      </c>
      <c r="BZ60" s="14">
        <f>BY60*VLOOKUP('Données projet'!$B$12,Paramètres!$A$1:$I$89,3,0)*VLOOKUP('Données projet'!$B$12,Paramètres!$A$1:$I$89,5,0)</f>
        <v>228.41207999999997</v>
      </c>
      <c r="CA60" s="14">
        <f t="shared" si="39"/>
        <v>55.939197785226767</v>
      </c>
      <c r="CB60" s="22">
        <f t="shared" si="10"/>
        <v>495.24514214260324</v>
      </c>
      <c r="CC60" s="60">
        <f t="shared" si="11"/>
        <v>754.77178219328096</v>
      </c>
      <c r="CD60" s="60">
        <f ca="1">AVERAGE(OFFSET($CC$3,0,0,'Données projet'!$E$12+1,1))-AVERAGE(OFFSET($H$3,0,0,'Données projet'!$E$12+1,1))</f>
        <v>542.90832990875208</v>
      </c>
      <c r="CE60" s="60">
        <f t="shared" si="40"/>
        <v>304.94365539329362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>
        <f>VLOOKUP(A60,'Données projet'!$A$139:$I$159,2,0)</f>
        <v>284.78461538461539</v>
      </c>
      <c r="CR60" s="13">
        <f>VLOOKUP(A60,'Données projet'!$A$139:$I$159,9,0)</f>
        <v>10.542307692307702</v>
      </c>
      <c r="CS60" s="13">
        <f t="array" ref="CS60">INDEX(CR:CR,MIN(IF(ISNUMBER(CR60:CR256),ROW(CR60:CR256),"")))</f>
        <v>10.542307692307702</v>
      </c>
      <c r="CT60" s="13">
        <f>IF('Données projet'!$A$140&gt;35,CT59+CS60-DB59,IF(A60&lt;'Données projet'!$A$140,$CQ$205^A60,IF(A60='Données projet'!$A$140,'Données projet'!$B$140,CT59+CS60-DB59)))</f>
        <v>284.78461538461522</v>
      </c>
      <c r="CU60" s="18">
        <f>CT60*VLOOKUP('Données projet'!$B$13,Paramètres!$A$1:$I$89,3,0)*VLOOKUP('Données projet'!$B$13,Paramètres!$A$1:$I$89,5,0)</f>
        <v>133.27919999999992</v>
      </c>
      <c r="CV60" s="14">
        <f t="shared" si="41"/>
        <v>34.752984079426945</v>
      </c>
      <c r="CW60" s="22">
        <f t="shared" si="13"/>
        <v>292.65605393833511</v>
      </c>
      <c r="CX60" s="60">
        <f t="shared" si="14"/>
        <v>552.18269398901282</v>
      </c>
      <c r="CY60" s="60">
        <f ca="1">AVERAGE(OFFSET($CX$3,0,0,'Données projet'!$E$13+1,1))-AVERAGE(OFFSET($H$3,0,0,'Données projet'!$E$13+1,1))</f>
        <v>277.77877239988635</v>
      </c>
      <c r="CZ60" s="60">
        <f t="shared" si="42"/>
        <v>164.65640238394164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4.2307692307692317</v>
      </c>
      <c r="DO60" s="13">
        <f>IF('Données projet'!$A$166&gt;35,DO59+DN60-DW59,IF(A60&lt;'Données projet'!$A$166,$DL$205^A60,IF(A60='Données projet'!$A$166,'Données projet'!$B$166,DO59+DN60-DW59)))</f>
        <v>161.66666666666657</v>
      </c>
      <c r="DP60" s="18">
        <f>DO60*VLOOKUP('Données projet'!$B$14,Paramètres!$A$1:$I$89,3,0)*VLOOKUP('Données projet'!$B$14,Paramètres!$A$1:$I$89,5,0)</f>
        <v>138.70999999999995</v>
      </c>
      <c r="DQ60" s="14">
        <f t="shared" si="43"/>
        <v>36.00132558429457</v>
      </c>
      <c r="DR60" s="22">
        <f t="shared" si="16"/>
        <v>304.2888920593129</v>
      </c>
      <c r="DS60" s="60">
        <f t="shared" si="17"/>
        <v>563.81553210999061</v>
      </c>
      <c r="DT60" s="60">
        <f ca="1">AVERAGE(OFFSET($DS$3,0,0,'Données projet'!$E$14+1,1))-AVERAGE(OFFSET($H$3,0,0,'Données projet'!$E$14+1,1))</f>
        <v>354.30160274624632</v>
      </c>
      <c r="DU60" s="60">
        <f t="shared" si="44"/>
        <v>218.8005329382452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7.6</v>
      </c>
      <c r="EJ60" s="13">
        <f>IF('Données projet'!$A$192&gt;35,EJ59+EI60-ER59,IF(A60&lt;'Données projet'!$A$192,$EG$205^A60,IF(A60='Données projet'!$A$192,'Données projet'!$B$192,EJ59+EI60-ER59)))</f>
        <v>212.2</v>
      </c>
      <c r="EK60" s="18">
        <f>EJ60*VLOOKUP('Données projet'!$B$15,Paramètres!$A$1:$I$89,3,0)*VLOOKUP('Données projet'!$B$15,Paramètres!$A$1:$I$89,5,0)</f>
        <v>205.23983999999999</v>
      </c>
      <c r="EL60" s="14">
        <f t="shared" si="45"/>
        <v>50.893986960458122</v>
      </c>
      <c r="EM60" s="22">
        <f t="shared" si="19"/>
        <v>446.0997486227979</v>
      </c>
      <c r="EN60" s="60">
        <f t="shared" si="20"/>
        <v>705.62638867347562</v>
      </c>
      <c r="EO60" s="60">
        <f ca="1">AVERAGE(OFFSET($EN$3,0,0,'Données projet'!$E$15+1,1))-AVERAGE(OFFSET($H$3,0,0,'Données projet'!$E$15+1,1))</f>
        <v>496.33873798282525</v>
      </c>
      <c r="EP60" s="60">
        <f t="shared" si="46"/>
        <v>280.25465074992246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5.1600000000000019</v>
      </c>
      <c r="FE60" s="13">
        <f>IF('Données projet'!$A$218&gt;35,FE59+FD60-FM59,IF(A60&lt;'Données projet'!$A$218,$FB$205^A60,IF(A60='Données projet'!$A$218,'Données projet'!$B$218,FE59+FD60-FM59)))</f>
        <v>242.82000000000011</v>
      </c>
      <c r="FF60" s="18">
        <f>FE60*VLOOKUP('Données projet'!$B$16,Paramètres!$A$1:$I$89,3,0)*VLOOKUP('Données projet'!$B$16,Paramètres!$A$1:$I$89,5,0)</f>
        <v>196.97558400000011</v>
      </c>
      <c r="FG60" s="14">
        <f t="shared" si="47"/>
        <v>49.078904326090317</v>
      </c>
      <c r="FH60" s="22">
        <f t="shared" si="22"/>
        <v>428.54490050127418</v>
      </c>
      <c r="FI60" s="60">
        <f t="shared" si="23"/>
        <v>688.0715405519519</v>
      </c>
      <c r="FJ60" s="60">
        <f ca="1">AVERAGE(OFFSET($FI$3,0,0,'Données projet'!$E$16+1,1))-AVERAGE(OFFSET($H$3,0,0,'Données projet'!$E$16+1,1))</f>
        <v>341.66430955115521</v>
      </c>
      <c r="FK60" s="60">
        <f t="shared" si="48"/>
        <v>366.15174925159192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5.1600000000000019</v>
      </c>
      <c r="FZ60" s="13">
        <f>IF('Données projet'!$A$244&gt;35,FZ59+FY60-GH59,IF(A60&lt;'Données projet'!$A$244,$FW$205^A60,IF(A60='Données projet'!$A$244,'Données projet'!$B$244,FZ59+FY60-GH59)))</f>
        <v>242.82000000000011</v>
      </c>
      <c r="GA60" s="18">
        <f>FZ60*VLOOKUP('Données projet'!$B$17,Paramètres!$A$1:$I$89,3,0)*VLOOKUP('Données projet'!$B$17,Paramètres!$A$1:$I$89,5,0)</f>
        <v>178.03562400000007</v>
      </c>
      <c r="GB60" s="14">
        <f t="shared" si="49"/>
        <v>44.884869980598666</v>
      </c>
      <c r="GC60" s="22">
        <f t="shared" si="25"/>
        <v>388.25319368287614</v>
      </c>
      <c r="GD60" s="60">
        <f t="shared" si="26"/>
        <v>647.77983373355391</v>
      </c>
      <c r="GE60" s="60">
        <f ca="1">AVERAGE(OFFSET($GD$3,0,0,'Données projet'!$E$17+1,1))-AVERAGE(OFFSET($H$3,0,0,'Données projet'!$E$17+1,1))</f>
        <v>314.58662400031631</v>
      </c>
      <c r="GF60" s="60">
        <f t="shared" si="50"/>
        <v>336.99073123405981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4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222.87720000000002</v>
      </c>
      <c r="P61" s="14">
        <f t="shared" si="33"/>
        <v>54.739757243913829</v>
      </c>
      <c r="Q61" s="22">
        <f t="shared" si="53"/>
        <v>483.51620053314986</v>
      </c>
      <c r="R61" s="60">
        <f t="shared" si="0"/>
        <v>743.62931113183822</v>
      </c>
      <c r="S61" s="60">
        <f ca="1">AVERAGE(OFFSET($R$3,0,0,'Données projet'!$E$9+1,1))-AVERAGE(OFFSET($H$3,0,0,'Données projet'!$E$9+1,1))</f>
        <v>516.30971934066179</v>
      </c>
      <c r="T61" s="60">
        <f t="shared" si="34"/>
        <v>290.84286505723571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5.2564102564102537</v>
      </c>
      <c r="AI61" s="14">
        <f>IF('Données projet'!$A$62&gt;35,AI60+AH61-AQ60,IF(A61&lt;'Données projet'!$A$62,$AF$205^A61,IF(A61='Données projet'!$A$62,'Données projet'!$B$62,AI60+AH61-AQ60)))</f>
        <v>222.8205128205127</v>
      </c>
      <c r="AJ61" s="14">
        <f>AI61*VLOOKUP('Données projet'!$B$10,Paramètres!$A$1:$I$89,3,0)*VLOOKUP('Données projet'!$B$10,Paramètres!$A$1:$I$89,5,0)</f>
        <v>232.89199999999991</v>
      </c>
      <c r="AK61" s="14">
        <f t="shared" si="35"/>
        <v>56.907544064397435</v>
      </c>
      <c r="AL61" s="22">
        <f t="shared" si="4"/>
        <v>504.73420591215864</v>
      </c>
      <c r="AM61" s="60">
        <f t="shared" si="5"/>
        <v>764.84731651084712</v>
      </c>
      <c r="AN61" s="60">
        <f ca="1">AVERAGE(OFFSET($AM$3,0,0,'Données projet'!$E$10+1,1))-AVERAGE(OFFSET($H$3,0,0,'Données projet'!$E$10+1,1))</f>
        <v>529.00505223594837</v>
      </c>
      <c r="AO61" s="60">
        <f t="shared" si="36"/>
        <v>321.23004033257985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5.1600000000000019</v>
      </c>
      <c r="BD61" s="13">
        <f>IF('Données projet'!$A$88&gt;35,BD60+BC61-BL60,IF(A61&lt;'Données projet'!$A$88,$BA$205^A61,IF(A61='Données projet'!$A$88,'Données projet'!$B$88,BD60+BC61-BL60)))</f>
        <v>247.9800000000001</v>
      </c>
      <c r="BE61" s="14">
        <f>BD61*VLOOKUP('Données projet'!$B$11,Paramètres!$A$1:$I$89,3,0)*VLOOKUP('Données projet'!$B$11,Paramètres!$A$1:$I$89,5,0)</f>
        <v>216.63532800000013</v>
      </c>
      <c r="BF61" s="14">
        <f t="shared" si="37"/>
        <v>53.382936218727075</v>
      </c>
      <c r="BG61" s="22">
        <f t="shared" si="7"/>
        <v>470.28181018094989</v>
      </c>
      <c r="BH61" s="60">
        <f t="shared" si="8"/>
        <v>730.39492077963837</v>
      </c>
      <c r="BI61" s="60">
        <f ca="1">AVERAGE(OFFSET($BH$3,0,0,'Données projet'!$E$11+1,1))-AVERAGE(OFFSET($H$3,0,0,'Données projet'!$E$11+1,1))</f>
        <v>363.28611056308665</v>
      </c>
      <c r="BJ61" s="60">
        <f t="shared" si="38"/>
        <v>389.43647559455974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219.79999999999998</v>
      </c>
      <c r="BZ61" s="14">
        <f>BY61*VLOOKUP('Données projet'!$B$12,Paramètres!$A$1:$I$89,3,0)*VLOOKUP('Données projet'!$B$12,Paramètres!$A$1:$I$89,5,0)</f>
        <v>236.59271999999999</v>
      </c>
      <c r="CA61" s="14">
        <f t="shared" si="39"/>
        <v>57.705828638299394</v>
      </c>
      <c r="CB61" s="22">
        <f t="shared" si="10"/>
        <v>512.56997221170479</v>
      </c>
      <c r="CC61" s="60">
        <f t="shared" si="11"/>
        <v>772.68308281039322</v>
      </c>
      <c r="CD61" s="60">
        <f ca="1">AVERAGE(OFFSET($CC$3,0,0,'Données projet'!$E$12+1,1))-AVERAGE(OFFSET($H$3,0,0,'Données projet'!$E$12+1,1))</f>
        <v>542.90832990875208</v>
      </c>
      <c r="CE61" s="60">
        <f t="shared" si="40"/>
        <v>304.94365539329362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10.984615384615381</v>
      </c>
      <c r="CT61" s="13">
        <f>IF('Données projet'!$A$140&gt;35,CT60+CS61-DB60,IF(A61&lt;'Données projet'!$A$140,$CQ$205^A61,IF(A61='Données projet'!$A$140,'Données projet'!$B$140,CT60+CS61-DB60)))</f>
        <v>295.7692307692306</v>
      </c>
      <c r="CU61" s="18">
        <f>CT61*VLOOKUP('Données projet'!$B$13,Paramètres!$A$1:$I$89,3,0)*VLOOKUP('Données projet'!$B$13,Paramètres!$A$1:$I$89,5,0)</f>
        <v>138.41999999999993</v>
      </c>
      <c r="CV61" s="14">
        <f t="shared" si="41"/>
        <v>35.934810934702796</v>
      </c>
      <c r="CW61" s="22">
        <f t="shared" si="13"/>
        <v>303.66796237794057</v>
      </c>
      <c r="CX61" s="60">
        <f t="shared" si="14"/>
        <v>563.78107297662905</v>
      </c>
      <c r="CY61" s="60">
        <f ca="1">AVERAGE(OFFSET($CX$3,0,0,'Données projet'!$E$13+1,1))-AVERAGE(OFFSET($H$3,0,0,'Données projet'!$E$13+1,1))</f>
        <v>277.77877239988635</v>
      </c>
      <c r="CZ61" s="60">
        <f t="shared" si="42"/>
        <v>164.65640238394164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4.2307692307692317</v>
      </c>
      <c r="DO61" s="13">
        <f>IF('Données projet'!$A$166&gt;35,DO60+DN61-DW60,IF(A61&lt;'Données projet'!$A$166,$DL$205^A61,IF(A61='Données projet'!$A$166,'Données projet'!$B$166,DO60+DN61-DW60)))</f>
        <v>165.8974358974358</v>
      </c>
      <c r="DP61" s="18">
        <f>DO61*VLOOKUP('Données projet'!$B$14,Paramètres!$A$1:$I$89,3,0)*VLOOKUP('Données projet'!$B$14,Paramètres!$A$1:$I$89,5,0)</f>
        <v>142.33999999999992</v>
      </c>
      <c r="DQ61" s="14">
        <f t="shared" si="43"/>
        <v>36.832548385780335</v>
      </c>
      <c r="DR61" s="22">
        <f t="shared" si="16"/>
        <v>312.05885510523393</v>
      </c>
      <c r="DS61" s="60">
        <f t="shared" si="17"/>
        <v>572.1719657039223</v>
      </c>
      <c r="DT61" s="60">
        <f ca="1">AVERAGE(OFFSET($DS$3,0,0,'Données projet'!$E$14+1,1))-AVERAGE(OFFSET($H$3,0,0,'Données projet'!$E$14+1,1))</f>
        <v>354.30160274624632</v>
      </c>
      <c r="DU61" s="60">
        <f t="shared" si="44"/>
        <v>218.8005329382452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7.6</v>
      </c>
      <c r="EJ61" s="13">
        <f>IF('Données projet'!$A$192&gt;35,EJ60+EI61-ER60,IF(A61&lt;'Données projet'!$A$192,$EG$205^A61,IF(A61='Données projet'!$A$192,'Données projet'!$B$192,EJ60+EI61-ER60)))</f>
        <v>219.79999999999998</v>
      </c>
      <c r="EK61" s="18">
        <f>EJ61*VLOOKUP('Données projet'!$B$15,Paramètres!$A$1:$I$89,3,0)*VLOOKUP('Données projet'!$B$15,Paramètres!$A$1:$I$89,5,0)</f>
        <v>212.59055999999998</v>
      </c>
      <c r="EL61" s="14">
        <f t="shared" si="45"/>
        <v>52.501283653296404</v>
      </c>
      <c r="EM61" s="22">
        <f t="shared" si="19"/>
        <v>461.70162769615786</v>
      </c>
      <c r="EN61" s="60">
        <f t="shared" si="20"/>
        <v>721.81473829484628</v>
      </c>
      <c r="EO61" s="60">
        <f ca="1">AVERAGE(OFFSET($EN$3,0,0,'Données projet'!$E$15+1,1))-AVERAGE(OFFSET($H$3,0,0,'Données projet'!$E$15+1,1))</f>
        <v>496.33873798282525</v>
      </c>
      <c r="EP61" s="60">
        <f t="shared" si="46"/>
        <v>280.25465074992246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5.1600000000000019</v>
      </c>
      <c r="FE61" s="13">
        <f>IF('Données projet'!$A$218&gt;35,FE60+FD61-FM60,IF(A61&lt;'Données projet'!$A$218,$FB$205^A61,IF(A61='Données projet'!$A$218,'Données projet'!$B$218,FE60+FD61-FM60)))</f>
        <v>247.9800000000001</v>
      </c>
      <c r="FF61" s="18">
        <f>FE61*VLOOKUP('Données projet'!$B$16,Paramètres!$A$1:$I$89,3,0)*VLOOKUP('Données projet'!$B$16,Paramètres!$A$1:$I$89,5,0)</f>
        <v>201.1613760000001</v>
      </c>
      <c r="FG61" s="14">
        <f t="shared" si="47"/>
        <v>49.999316945232593</v>
      </c>
      <c r="FH61" s="22">
        <f t="shared" si="22"/>
        <v>437.43820687961357</v>
      </c>
      <c r="FI61" s="60">
        <f t="shared" si="23"/>
        <v>697.55131747830205</v>
      </c>
      <c r="FJ61" s="60">
        <f ca="1">AVERAGE(OFFSET($FI$3,0,0,'Données projet'!$E$16+1,1))-AVERAGE(OFFSET($H$3,0,0,'Données projet'!$E$16+1,1))</f>
        <v>341.66430955115521</v>
      </c>
      <c r="FK61" s="60">
        <f t="shared" si="48"/>
        <v>366.15174925159192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5.1600000000000019</v>
      </c>
      <c r="FZ61" s="13">
        <f>IF('Données projet'!$A$244&gt;35,FZ60+FY61-GH60,IF(A61&lt;'Données projet'!$A$244,$FW$205^A61,IF(A61='Données projet'!$A$244,'Données projet'!$B$244,FZ60+FY61-GH60)))</f>
        <v>247.9800000000001</v>
      </c>
      <c r="GA61" s="18">
        <f>FZ61*VLOOKUP('Données projet'!$B$17,Paramètres!$A$1:$I$89,3,0)*VLOOKUP('Données projet'!$B$17,Paramètres!$A$1:$I$89,5,0)</f>
        <v>181.81893600000006</v>
      </c>
      <c r="GB61" s="14">
        <f t="shared" si="49"/>
        <v>45.726628803579182</v>
      </c>
      <c r="GC61" s="22">
        <f t="shared" si="25"/>
        <v>396.30852536623382</v>
      </c>
      <c r="GD61" s="60">
        <f t="shared" si="26"/>
        <v>656.42163596492219</v>
      </c>
      <c r="GE61" s="60">
        <f ca="1">AVERAGE(OFFSET($GD$3,0,0,'Données projet'!$E$17+1,1))-AVERAGE(OFFSET($H$3,0,0,'Données projet'!$E$17+1,1))</f>
        <v>314.58662400031631</v>
      </c>
      <c r="GF61" s="60">
        <f t="shared" si="50"/>
        <v>336.99073123405981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4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230.58360000000002</v>
      </c>
      <c r="P62" s="14">
        <f t="shared" si="33"/>
        <v>56.408850878327968</v>
      </c>
      <c r="Q62" s="22">
        <f t="shared" si="53"/>
        <v>499.8451852797545</v>
      </c>
      <c r="R62" s="60">
        <f t="shared" si="0"/>
        <v>760.53459247359729</v>
      </c>
      <c r="S62" s="60">
        <f ca="1">AVERAGE(OFFSET($R$3,0,0,'Données projet'!$E$9+1,1))-AVERAGE(OFFSET($H$3,0,0,'Données projet'!$E$9+1,1))</f>
        <v>516.30971934066179</v>
      </c>
      <c r="T62" s="60">
        <f t="shared" si="34"/>
        <v>290.84286505723571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5.2564102564102537</v>
      </c>
      <c r="AI62" s="14">
        <f>IF('Données projet'!$A$62&gt;35,AI61+AH62-AQ61,IF(A62&lt;'Données projet'!$A$62,$AF$205^A62,IF(A62='Données projet'!$A$62,'Données projet'!$B$62,AI61+AH62-AQ61)))</f>
        <v>228.07692307692295</v>
      </c>
      <c r="AJ62" s="14">
        <f>AI62*VLOOKUP('Données projet'!$B$10,Paramètres!$A$1:$I$89,3,0)*VLOOKUP('Données projet'!$B$10,Paramètres!$A$1:$I$89,5,0)</f>
        <v>238.38599999999991</v>
      </c>
      <c r="AK62" s="14">
        <f t="shared" si="35"/>
        <v>58.092134262616966</v>
      </c>
      <c r="AL62" s="22">
        <f t="shared" si="4"/>
        <v>516.3660838407244</v>
      </c>
      <c r="AM62" s="60">
        <f t="shared" si="5"/>
        <v>777.05549103456724</v>
      </c>
      <c r="AN62" s="60">
        <f ca="1">AVERAGE(OFFSET($AM$3,0,0,'Données projet'!$E$10+1,1))-AVERAGE(OFFSET($H$3,0,0,'Données projet'!$E$10+1,1))</f>
        <v>529.00505223594837</v>
      </c>
      <c r="AO62" s="60">
        <f t="shared" si="36"/>
        <v>321.23004033257985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5.1600000000000019</v>
      </c>
      <c r="BD62" s="13">
        <f>IF('Données projet'!$A$88&gt;35,BD61+BC62-BL61,IF(A62&lt;'Données projet'!$A$88,$BA$205^A62,IF(A62='Données projet'!$A$88,'Données projet'!$B$88,BD61+BC62-BL61)))</f>
        <v>253.1400000000001</v>
      </c>
      <c r="BE62" s="14">
        <f>BD62*VLOOKUP('Données projet'!$B$11,Paramètres!$A$1:$I$89,3,0)*VLOOKUP('Données projet'!$B$11,Paramètres!$A$1:$I$89,5,0)</f>
        <v>221.14310400000014</v>
      </c>
      <c r="BF62" s="14">
        <f t="shared" si="37"/>
        <v>54.36325874060109</v>
      </c>
      <c r="BG62" s="22">
        <f t="shared" si="7"/>
        <v>479.84024843988044</v>
      </c>
      <c r="BH62" s="60">
        <f t="shared" si="8"/>
        <v>740.52965563372322</v>
      </c>
      <c r="BI62" s="60">
        <f ca="1">AVERAGE(OFFSET($BH$3,0,0,'Données projet'!$E$11+1,1))-AVERAGE(OFFSET($H$3,0,0,'Données projet'!$E$11+1,1))</f>
        <v>363.28611056308665</v>
      </c>
      <c r="BJ62" s="60">
        <f t="shared" si="38"/>
        <v>389.43647559455974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227.39999999999998</v>
      </c>
      <c r="BZ62" s="14">
        <f>BY62*VLOOKUP('Données projet'!$B$12,Paramètres!$A$1:$I$89,3,0)*VLOOKUP('Données projet'!$B$12,Paramètres!$A$1:$I$89,5,0)</f>
        <v>244.77335999999997</v>
      </c>
      <c r="CA62" s="14">
        <f t="shared" si="39"/>
        <v>59.465362039582196</v>
      </c>
      <c r="CB62" s="22">
        <f t="shared" si="10"/>
        <v>529.88244088560566</v>
      </c>
      <c r="CC62" s="60">
        <f t="shared" si="11"/>
        <v>790.5718480794485</v>
      </c>
      <c r="CD62" s="60">
        <f ca="1">AVERAGE(OFFSET($CC$3,0,0,'Données projet'!$E$12+1,1))-AVERAGE(OFFSET($H$3,0,0,'Données projet'!$E$12+1,1))</f>
        <v>542.90832990875208</v>
      </c>
      <c r="CE62" s="60">
        <f t="shared" si="40"/>
        <v>304.94365539329362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10.984615384615381</v>
      </c>
      <c r="CT62" s="13">
        <f>IF('Données projet'!$A$140&gt;35,CT61+CS62-DB61,IF(A62&lt;'Données projet'!$A$140,$CQ$205^A62,IF(A62='Données projet'!$A$140,'Données projet'!$B$140,CT61+CS62-DB61)))</f>
        <v>306.75384615384598</v>
      </c>
      <c r="CU62" s="18">
        <f>CT62*VLOOKUP('Données projet'!$B$13,Paramètres!$A$1:$I$89,3,0)*VLOOKUP('Données projet'!$B$13,Paramètres!$A$1:$I$89,5,0)</f>
        <v>143.56079999999992</v>
      </c>
      <c r="CV62" s="14">
        <f t="shared" si="41"/>
        <v>37.111538546158371</v>
      </c>
      <c r="CW62" s="22">
        <f t="shared" si="13"/>
        <v>314.67098963455902</v>
      </c>
      <c r="CX62" s="60">
        <f t="shared" si="14"/>
        <v>575.3603968284018</v>
      </c>
      <c r="CY62" s="60">
        <f ca="1">AVERAGE(OFFSET($CX$3,0,0,'Données projet'!$E$13+1,1))-AVERAGE(OFFSET($H$3,0,0,'Données projet'!$E$13+1,1))</f>
        <v>277.77877239988635</v>
      </c>
      <c r="CZ62" s="60">
        <f t="shared" si="42"/>
        <v>164.65640238394164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4.2307692307692317</v>
      </c>
      <c r="DO62" s="13">
        <f>IF('Données projet'!$A$166&gt;35,DO61+DN62-DW61,IF(A62&lt;'Données projet'!$A$166,$DL$205^A62,IF(A62='Données projet'!$A$166,'Données projet'!$B$166,DO61+DN62-DW61)))</f>
        <v>170.12820512820502</v>
      </c>
      <c r="DP62" s="18">
        <f>DO62*VLOOKUP('Données projet'!$B$14,Paramètres!$A$1:$I$89,3,0)*VLOOKUP('Données projet'!$B$14,Paramètres!$A$1:$I$89,5,0)</f>
        <v>145.96999999999994</v>
      </c>
      <c r="DQ62" s="14">
        <f t="shared" si="43"/>
        <v>37.661307103837487</v>
      </c>
      <c r="DR62" s="22">
        <f t="shared" si="16"/>
        <v>319.82452653918352</v>
      </c>
      <c r="DS62" s="60">
        <f t="shared" si="17"/>
        <v>580.51393373302631</v>
      </c>
      <c r="DT62" s="60">
        <f ca="1">AVERAGE(OFFSET($DS$3,0,0,'Données projet'!$E$14+1,1))-AVERAGE(OFFSET($H$3,0,0,'Données projet'!$E$14+1,1))</f>
        <v>354.30160274624632</v>
      </c>
      <c r="DU62" s="60">
        <f t="shared" si="44"/>
        <v>218.8005329382452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7.6</v>
      </c>
      <c r="EJ62" s="13">
        <f>IF('Données projet'!$A$192&gt;35,EJ61+EI62-ER61,IF(A62&lt;'Données projet'!$A$192,$EG$205^A62,IF(A62='Données projet'!$A$192,'Données projet'!$B$192,EJ61+EI62-ER61)))</f>
        <v>227.39999999999998</v>
      </c>
      <c r="EK62" s="18">
        <f>EJ62*VLOOKUP('Données projet'!$B$15,Paramètres!$A$1:$I$89,3,0)*VLOOKUP('Données projet'!$B$15,Paramètres!$A$1:$I$89,5,0)</f>
        <v>219.94127999999995</v>
      </c>
      <c r="EL62" s="14">
        <f t="shared" si="45"/>
        <v>54.102123020446285</v>
      </c>
      <c r="EM62" s="22">
        <f t="shared" si="19"/>
        <v>477.29226026061059</v>
      </c>
      <c r="EN62" s="60">
        <f t="shared" si="20"/>
        <v>737.98166745445337</v>
      </c>
      <c r="EO62" s="60">
        <f ca="1">AVERAGE(OFFSET($EN$3,0,0,'Données projet'!$E$15+1,1))-AVERAGE(OFFSET($H$3,0,0,'Données projet'!$E$15+1,1))</f>
        <v>496.33873798282525</v>
      </c>
      <c r="EP62" s="60">
        <f t="shared" si="46"/>
        <v>280.25465074992246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5.1600000000000019</v>
      </c>
      <c r="FE62" s="13">
        <f>IF('Données projet'!$A$218&gt;35,FE61+FD62-FM61,IF(A62&lt;'Données projet'!$A$218,$FB$205^A62,IF(A62='Données projet'!$A$218,'Données projet'!$B$218,FE61+FD62-FM61)))</f>
        <v>253.1400000000001</v>
      </c>
      <c r="FF62" s="18">
        <f>FE62*VLOOKUP('Données projet'!$B$16,Paramètres!$A$1:$I$89,3,0)*VLOOKUP('Données projet'!$B$16,Paramètres!$A$1:$I$89,5,0)</f>
        <v>205.3471680000001</v>
      </c>
      <c r="FG62" s="14">
        <f t="shared" si="47"/>
        <v>50.917502791715386</v>
      </c>
      <c r="FH62" s="22">
        <f t="shared" si="22"/>
        <v>446.32763496223782</v>
      </c>
      <c r="FI62" s="60">
        <f t="shared" si="23"/>
        <v>707.01704215608061</v>
      </c>
      <c r="FJ62" s="60">
        <f ca="1">AVERAGE(OFFSET($FI$3,0,0,'Données projet'!$E$16+1,1))-AVERAGE(OFFSET($H$3,0,0,'Données projet'!$E$16+1,1))</f>
        <v>341.66430955115521</v>
      </c>
      <c r="FK62" s="60">
        <f t="shared" si="48"/>
        <v>366.15174925159192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5.1600000000000019</v>
      </c>
      <c r="FZ62" s="13">
        <f>IF('Données projet'!$A$244&gt;35,FZ61+FY62-GH61,IF(A62&lt;'Données projet'!$A$244,$FW$205^A62,IF(A62='Données projet'!$A$244,'Données projet'!$B$244,FZ61+FY62-GH61)))</f>
        <v>253.1400000000001</v>
      </c>
      <c r="GA62" s="18">
        <f>FZ62*VLOOKUP('Données projet'!$B$17,Paramètres!$A$1:$I$89,3,0)*VLOOKUP('Données projet'!$B$17,Paramètres!$A$1:$I$89,5,0)</f>
        <v>185.60224800000006</v>
      </c>
      <c r="GB62" s="14">
        <f t="shared" si="49"/>
        <v>46.5663511426025</v>
      </c>
      <c r="GC62" s="22">
        <f t="shared" si="25"/>
        <v>404.36031017336609</v>
      </c>
      <c r="GD62" s="60">
        <f t="shared" si="26"/>
        <v>665.04971736720881</v>
      </c>
      <c r="GE62" s="60">
        <f ca="1">AVERAGE(OFFSET($GD$3,0,0,'Données projet'!$E$17+1,1))-AVERAGE(OFFSET($H$3,0,0,'Données projet'!$E$17+1,1))</f>
        <v>314.58662400031631</v>
      </c>
      <c r="GF62" s="60">
        <f t="shared" si="50"/>
        <v>336.99073123405981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4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238.29000000000002</v>
      </c>
      <c r="P63" s="14">
        <f t="shared" si="33"/>
        <v>58.071462681001513</v>
      </c>
      <c r="Q63" s="22">
        <f t="shared" si="53"/>
        <v>516.16288083607753</v>
      </c>
      <c r="R63" s="60">
        <f t="shared" si="0"/>
        <v>777.41858716755496</v>
      </c>
      <c r="S63" s="60">
        <f ca="1">AVERAGE(OFFSET($R$3,0,0,'Données projet'!$E$9+1,1))-AVERAGE(OFFSET($H$3,0,0,'Données projet'!$E$9+1,1))</f>
        <v>516.30971934066179</v>
      </c>
      <c r="T63" s="60">
        <f t="shared" si="34"/>
        <v>290.84286505723571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233.33333333333331</v>
      </c>
      <c r="AG63" s="13">
        <f>VLOOKUP(A63,'Données projet'!$A$61:$I$81,9,0)</f>
        <v>5.2564102564102537</v>
      </c>
      <c r="AH63" s="13">
        <f t="array" ref="AH63">INDEX(AG:AG,MIN(IF(ISNUMBER(AG63:AG259),ROW(AG63:AG259),"")))</f>
        <v>5.2564102564102537</v>
      </c>
      <c r="AI63" s="14">
        <f>IF('Données projet'!$A$62&gt;35,AI62+AH63-AQ62,IF(A63&lt;'Données projet'!$A$62,$AF$205^A63,IF(A63='Données projet'!$A$62,'Données projet'!$B$62,AI62+AH63-AQ62)))</f>
        <v>233.3333333333332</v>
      </c>
      <c r="AJ63" s="14">
        <f>AI63*VLOOKUP('Données projet'!$B$10,Paramètres!$A$1:$I$89,3,0)*VLOOKUP('Données projet'!$B$10,Paramètres!$A$1:$I$89,5,0)</f>
        <v>243.87999999999988</v>
      </c>
      <c r="AK63" s="14">
        <f t="shared" si="35"/>
        <v>59.2735506045045</v>
      </c>
      <c r="AL63" s="22">
        <f t="shared" si="4"/>
        <v>527.99243396951181</v>
      </c>
      <c r="AM63" s="60">
        <f t="shared" si="5"/>
        <v>789.24814030098923</v>
      </c>
      <c r="AN63" s="60">
        <f ca="1">AVERAGE(OFFSET($AM$3,0,0,'Données projet'!$E$10+1,1))-AVERAGE(OFFSET($H$3,0,0,'Données projet'!$E$10+1,1))</f>
        <v>529.00505223594837</v>
      </c>
      <c r="AO63" s="60">
        <f t="shared" si="36"/>
        <v>321.23004033257985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24.358974358974358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258.3</v>
      </c>
      <c r="BB63" s="13">
        <f>VLOOKUP(A63,'Données projet'!$A$87:$I$107,9,0)</f>
        <v>5.1600000000000019</v>
      </c>
      <c r="BC63" s="13">
        <f t="array" ref="BC63">INDEX(BB:BB,MIN(IF(ISNUMBER(BB63:BB259),ROW(BB63:BB259),"")))</f>
        <v>5.1600000000000019</v>
      </c>
      <c r="BD63" s="13">
        <f>IF('Données projet'!$A$88&gt;35,BD62+BC63-BL62,IF(A63&lt;'Données projet'!$A$88,$BA$205^A63,IF(A63='Données projet'!$A$88,'Données projet'!$B$88,BD62+BC63-BL62)))</f>
        <v>258.30000000000013</v>
      </c>
      <c r="BE63" s="14">
        <f>BD63*VLOOKUP('Données projet'!$B$11,Paramètres!$A$1:$I$89,3,0)*VLOOKUP('Données projet'!$B$11,Paramètres!$A$1:$I$89,5,0)</f>
        <v>225.65088000000014</v>
      </c>
      <c r="BF63" s="14">
        <f t="shared" si="37"/>
        <v>55.341257843368382</v>
      </c>
      <c r="BG63" s="22">
        <f t="shared" si="7"/>
        <v>489.39464007720022</v>
      </c>
      <c r="BH63" s="60">
        <f t="shared" si="8"/>
        <v>750.65034640867771</v>
      </c>
      <c r="BI63" s="60">
        <f ca="1">AVERAGE(OFFSET($BH$3,0,0,'Données projet'!$E$11+1,1))-AVERAGE(OFFSET($H$3,0,0,'Données projet'!$E$11+1,1))</f>
        <v>363.28611056308665</v>
      </c>
      <c r="BJ63" s="60">
        <f t="shared" si="38"/>
        <v>389.43647559455974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25.200000000000003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235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234.99999999999997</v>
      </c>
      <c r="BZ63" s="14">
        <f>BY63*VLOOKUP('Données projet'!$B$12,Paramètres!$A$1:$I$89,3,0)*VLOOKUP('Données projet'!$B$12,Paramètres!$A$1:$I$89,5,0)</f>
        <v>252.95399999999998</v>
      </c>
      <c r="CA63" s="14">
        <f t="shared" si="39"/>
        <v>61.218062391350081</v>
      </c>
      <c r="CB63" s="22">
        <f t="shared" si="10"/>
        <v>547.18300866493462</v>
      </c>
      <c r="CC63" s="60">
        <f t="shared" si="11"/>
        <v>808.43871499641205</v>
      </c>
      <c r="CD63" s="60">
        <f ca="1">AVERAGE(OFFSET($CC$3,0,0,'Données projet'!$E$12+1,1))-AVERAGE(OFFSET($H$3,0,0,'Données projet'!$E$12+1,1))</f>
        <v>542.90832990875208</v>
      </c>
      <c r="CE63" s="60">
        <f t="shared" si="40"/>
        <v>304.94365539329362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10.984615384615381</v>
      </c>
      <c r="CT63" s="13">
        <f>IF('Données projet'!$A$140&gt;35,CT62+CS63-DB62,IF(A63&lt;'Données projet'!$A$140,$CQ$205^A63,IF(A63='Données projet'!$A$140,'Données projet'!$B$140,CT62+CS63-DB62)))</f>
        <v>317.73846153846137</v>
      </c>
      <c r="CU63" s="18">
        <f>CT63*VLOOKUP('Données projet'!$B$13,Paramètres!$A$1:$I$89,3,0)*VLOOKUP('Données projet'!$B$13,Paramètres!$A$1:$I$89,5,0)</f>
        <v>148.70159999999993</v>
      </c>
      <c r="CV63" s="14">
        <f t="shared" si="41"/>
        <v>38.283370432550541</v>
      </c>
      <c r="CW63" s="22">
        <f t="shared" si="13"/>
        <v>325.66549017002541</v>
      </c>
      <c r="CX63" s="60">
        <f t="shared" si="14"/>
        <v>586.92119650150289</v>
      </c>
      <c r="CY63" s="60">
        <f ca="1">AVERAGE(OFFSET($CX$3,0,0,'Données projet'!$E$13+1,1))-AVERAGE(OFFSET($H$3,0,0,'Données projet'!$E$13+1,1))</f>
        <v>277.77877239988635</v>
      </c>
      <c r="CZ63" s="60">
        <f t="shared" si="42"/>
        <v>164.65640238394164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174.35897435897436</v>
      </c>
      <c r="DM63" s="13">
        <f>VLOOKUP(A63,'Données projet'!$A$165:$I$185,9,0)</f>
        <v>4.2307692307692317</v>
      </c>
      <c r="DN63" s="13">
        <f t="array" ref="DN63">INDEX(DM:DM,MIN(IF(ISNUMBER(DM63:DM259),ROW(DM63:DM259),"")))</f>
        <v>4.2307692307692317</v>
      </c>
      <c r="DO63" s="13">
        <f>IF('Données projet'!$A$166&gt;35,DO62+DN63-DW62,IF(A63&lt;'Données projet'!$A$166,$DL$205^A63,IF(A63='Données projet'!$A$166,'Données projet'!$B$166,DO62+DN63-DW62)))</f>
        <v>174.35897435897425</v>
      </c>
      <c r="DP63" s="18">
        <f>DO63*VLOOKUP('Données projet'!$B$14,Paramètres!$A$1:$I$89,3,0)*VLOOKUP('Données projet'!$B$14,Paramètres!$A$1:$I$89,5,0)</f>
        <v>149.59999999999991</v>
      </c>
      <c r="DQ63" s="14">
        <f t="shared" si="43"/>
        <v>38.487670063585483</v>
      </c>
      <c r="DR63" s="22">
        <f t="shared" si="16"/>
        <v>327.58602536074454</v>
      </c>
      <c r="DS63" s="60">
        <f t="shared" si="17"/>
        <v>588.84173169222208</v>
      </c>
      <c r="DT63" s="60">
        <f ca="1">AVERAGE(OFFSET($DS$3,0,0,'Données projet'!$E$14+1,1))-AVERAGE(OFFSET($H$3,0,0,'Données projet'!$E$14+1,1))</f>
        <v>354.30160274624632</v>
      </c>
      <c r="DU63" s="60">
        <f t="shared" si="44"/>
        <v>218.8005329382452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19.23076923076923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235</v>
      </c>
      <c r="EH63" s="13">
        <f>VLOOKUP(A63,'Données projet'!$A$191:$I$211,9,0)</f>
        <v>7.6</v>
      </c>
      <c r="EI63" s="13">
        <f t="array" ref="EI63">INDEX(EH:EH,MIN(IF(ISNUMBER(EH63:EH259),ROW(EH63:EH259),"")))</f>
        <v>7.6</v>
      </c>
      <c r="EJ63" s="13">
        <f>IF('Données projet'!$A$192&gt;35,EJ62+EI63-ER62,IF(A63&lt;'Données projet'!$A$192,$EG$205^A63,IF(A63='Données projet'!$A$192,'Données projet'!$B$192,EJ62+EI63-ER62)))</f>
        <v>234.99999999999997</v>
      </c>
      <c r="EK63" s="18">
        <f>EJ63*VLOOKUP('Données projet'!$B$15,Paramètres!$A$1:$I$89,3,0)*VLOOKUP('Données projet'!$B$15,Paramètres!$A$1:$I$89,5,0)</f>
        <v>227.292</v>
      </c>
      <c r="EL63" s="14">
        <f t="shared" si="45"/>
        <v>55.6967456174837</v>
      </c>
      <c r="EM63" s="22">
        <f t="shared" si="19"/>
        <v>492.87206528378402</v>
      </c>
      <c r="EN63" s="60">
        <f t="shared" si="20"/>
        <v>754.12777161526151</v>
      </c>
      <c r="EO63" s="60">
        <f ca="1">AVERAGE(OFFSET($EN$3,0,0,'Données projet'!$E$15+1,1))-AVERAGE(OFFSET($H$3,0,0,'Données projet'!$E$15+1,1))</f>
        <v>496.33873798282525</v>
      </c>
      <c r="EP63" s="60">
        <f t="shared" si="46"/>
        <v>280.25465074992246</v>
      </c>
      <c r="EQ63" s="16">
        <f>IF(ISNA(VLOOKUP(A63,'Données projet'!$A$191:$I$211,3,0)),0,VLOOKUP(A63,'Données projet'!$A$191:$I$211,3,0))</f>
        <v>4</v>
      </c>
      <c r="ER63" s="16">
        <f>IF(ISNA(VLOOKUP(A63,'Données projet'!$A$191:$I$211,4,0)),0,VLOOKUP(A63,'Données projet'!$A$191:$I$211,4,0))</f>
        <v>42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258.3</v>
      </c>
      <c r="FC63" s="13">
        <f>VLOOKUP(A63,'Données projet'!$A$217:$I$237,9,0)</f>
        <v>5.1600000000000019</v>
      </c>
      <c r="FD63" s="13">
        <f t="array" ref="FD63">INDEX(FC:FC,MIN(IF(ISNUMBER(FC63:FC259),ROW(FC63:FC259),"")))</f>
        <v>5.1600000000000019</v>
      </c>
      <c r="FE63" s="13">
        <f>IF('Données projet'!$A$218&gt;35,FE62+FD63-FM62,IF(A63&lt;'Données projet'!$A$218,$FB$205^A63,IF(A63='Données projet'!$A$218,'Données projet'!$B$218,FE62+FD63-FM62)))</f>
        <v>258.30000000000013</v>
      </c>
      <c r="FF63" s="18">
        <f>FE63*VLOOKUP('Données projet'!$B$16,Paramètres!$A$1:$I$89,3,0)*VLOOKUP('Données projet'!$B$16,Paramètres!$A$1:$I$89,5,0)</f>
        <v>209.53296000000009</v>
      </c>
      <c r="FG63" s="14">
        <f t="shared" si="47"/>
        <v>51.833512486481119</v>
      </c>
      <c r="FH63" s="22">
        <f t="shared" si="22"/>
        <v>455.21327291395477</v>
      </c>
      <c r="FI63" s="60">
        <f t="shared" si="23"/>
        <v>716.46897924543225</v>
      </c>
      <c r="FJ63" s="60">
        <f ca="1">AVERAGE(OFFSET($FI$3,0,0,'Données projet'!$E$16+1,1))-AVERAGE(OFFSET($H$3,0,0,'Données projet'!$E$16+1,1))</f>
        <v>341.66430955115521</v>
      </c>
      <c r="FK63" s="60">
        <f t="shared" si="48"/>
        <v>366.15174925159192</v>
      </c>
      <c r="FL63" s="16">
        <f>IF(ISNA(VLOOKUP(A63,'Données projet'!$A$217:$I$237,3,0)),0,VLOOKUP(A63,'Données projet'!$A$217:$I$237,3,0))</f>
        <v>5</v>
      </c>
      <c r="FM63" s="16">
        <f>IF(ISNA(VLOOKUP(A63,'Données projet'!$A$217:$I$237,4,0)),0,VLOOKUP(A63,'Données projet'!$A$217:$I$237,4,0))</f>
        <v>25.200000000000003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258.3</v>
      </c>
      <c r="FX63" s="13">
        <f>VLOOKUP(A63,'Données projet'!$A$243:$I$263,9,0)</f>
        <v>5.1600000000000019</v>
      </c>
      <c r="FY63" s="13">
        <f t="array" ref="FY63">INDEX(FX:FX,MIN(IF(ISNUMBER(FX63:FX259),ROW(FX63:FX259),"")))</f>
        <v>5.1600000000000019</v>
      </c>
      <c r="FZ63" s="13">
        <f>IF('Données projet'!$A$244&gt;35,FZ62+FY63-GH62,IF(A63&lt;'Données projet'!$A$244,$FW$205^A63,IF(A63='Données projet'!$A$244,'Données projet'!$B$244,FZ62+FY63-GH62)))</f>
        <v>258.30000000000013</v>
      </c>
      <c r="GA63" s="18">
        <f>FZ63*VLOOKUP('Données projet'!$B$17,Paramètres!$A$1:$I$89,3,0)*VLOOKUP('Données projet'!$B$17,Paramètres!$A$1:$I$89,5,0)</f>
        <v>189.38556000000008</v>
      </c>
      <c r="GB63" s="14">
        <f t="shared" si="49"/>
        <v>47.404083292801978</v>
      </c>
      <c r="GC63" s="22">
        <f t="shared" si="25"/>
        <v>412.40862873496354</v>
      </c>
      <c r="GD63" s="60">
        <f t="shared" si="26"/>
        <v>673.66433506644103</v>
      </c>
      <c r="GE63" s="60">
        <f ca="1">AVERAGE(OFFSET($GD$3,0,0,'Données projet'!$E$17+1,1))-AVERAGE(OFFSET($H$3,0,0,'Données projet'!$E$17+1,1))</f>
        <v>314.58662400031631</v>
      </c>
      <c r="GF63" s="60">
        <f t="shared" si="50"/>
        <v>336.99073123405981</v>
      </c>
      <c r="GG63" s="16">
        <f>IF(ISNA(VLOOKUP(A63,'Données projet'!$A$243:$I$263,3,0)),0,VLOOKUP(A63,'Données projet'!$A$243:$I$263,3,0))</f>
        <v>5</v>
      </c>
      <c r="GH63" s="16">
        <f>IF(ISNA(VLOOKUP(A63,'Données projet'!$A$243:$I$263,4,0)),0,VLOOKUP(A63,'Données projet'!$A$243:$I$263,4,0))</f>
        <v>25.200000000000003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4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203.00279999999995</v>
      </c>
      <c r="P64" s="14">
        <f t="shared" si="33"/>
        <v>50.403518824343074</v>
      </c>
      <c r="Q64" s="22">
        <f t="shared" si="53"/>
        <v>441.3493386190641</v>
      </c>
      <c r="R64" s="60">
        <f t="shared" si="0"/>
        <v>703.16152006419338</v>
      </c>
      <c r="S64" s="60">
        <f ca="1">AVERAGE(OFFSET($R$3,0,0,'Données projet'!$E$9+1,1))-AVERAGE(OFFSET($H$3,0,0,'Données projet'!$E$9+1,1))</f>
        <v>516.30971934066179</v>
      </c>
      <c r="T64" s="60">
        <f t="shared" si="34"/>
        <v>290.84286505723571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5.0000000000000053</v>
      </c>
      <c r="AI64" s="14">
        <f>IF('Données projet'!$A$62&gt;35,AI63+AH64-AQ63,IF(A64&lt;'Données projet'!$A$62,$AF$205^A64,IF(A64='Données projet'!$A$62,'Données projet'!$B$62,AI63+AH64-AQ63)))</f>
        <v>213.97435897435884</v>
      </c>
      <c r="AJ64" s="14">
        <f>AI64*VLOOKUP('Données projet'!$B$10,Paramètres!$A$1:$I$89,3,0)*VLOOKUP('Données projet'!$B$10,Paramètres!$A$1:$I$89,5,0)</f>
        <v>223.64599999999987</v>
      </c>
      <c r="AK64" s="14">
        <f t="shared" si="35"/>
        <v>54.906566144961104</v>
      </c>
      <c r="AL64" s="22">
        <f t="shared" si="4"/>
        <v>485.14571936914029</v>
      </c>
      <c r="AM64" s="60">
        <f t="shared" si="5"/>
        <v>746.95790081426958</v>
      </c>
      <c r="AN64" s="60">
        <f ca="1">AVERAGE(OFFSET($AM$3,0,0,'Données projet'!$E$10+1,1))-AVERAGE(OFFSET($H$3,0,0,'Données projet'!$E$10+1,1))</f>
        <v>529.00505223594837</v>
      </c>
      <c r="AO64" s="60">
        <f t="shared" si="36"/>
        <v>321.23004033257985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4.3399999999999981</v>
      </c>
      <c r="BD64" s="13">
        <f>IF('Données projet'!$A$88&gt;35,BD63+BC64-BL63,IF(A64&lt;'Données projet'!$A$88,$BA$205^A64,IF(A64='Données projet'!$A$88,'Données projet'!$B$88,BD63+BC64-BL63)))</f>
        <v>237.44000000000011</v>
      </c>
      <c r="BE64" s="14">
        <f>BD64*VLOOKUP('Données projet'!$B$11,Paramètres!$A$1:$I$89,3,0)*VLOOKUP('Données projet'!$B$11,Paramètres!$A$1:$I$89,5,0)</f>
        <v>207.42758400000014</v>
      </c>
      <c r="BF64" s="14">
        <f t="shared" si="37"/>
        <v>51.373045479526681</v>
      </c>
      <c r="BG64" s="22">
        <f t="shared" si="7"/>
        <v>450.74442967684257</v>
      </c>
      <c r="BH64" s="60">
        <f t="shared" si="8"/>
        <v>712.55661112197186</v>
      </c>
      <c r="BI64" s="60">
        <f ca="1">AVERAGE(OFFSET($BH$3,0,0,'Données projet'!$E$11+1,1))-AVERAGE(OFFSET($H$3,0,0,'Données projet'!$E$11+1,1))</f>
        <v>363.28611056308665</v>
      </c>
      <c r="BJ64" s="60">
        <f t="shared" si="38"/>
        <v>389.43647559455974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215.49527999999992</v>
      </c>
      <c r="CA64" s="14">
        <f t="shared" si="39"/>
        <v>53.134631326269272</v>
      </c>
      <c r="CB64" s="22">
        <f t="shared" si="10"/>
        <v>467.86376222658549</v>
      </c>
      <c r="CC64" s="60">
        <f t="shared" si="11"/>
        <v>729.67594367171478</v>
      </c>
      <c r="CD64" s="60">
        <f ca="1">AVERAGE(OFFSET($CC$3,0,0,'Données projet'!$E$12+1,1))-AVERAGE(OFFSET($H$3,0,0,'Données projet'!$E$12+1,1))</f>
        <v>542.90832990875208</v>
      </c>
      <c r="CE64" s="60">
        <f t="shared" si="40"/>
        <v>304.94365539329362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10.984615384615381</v>
      </c>
      <c r="CT64" s="13">
        <f>IF('Données projet'!$A$140&gt;35,CT63+CS64-DB63,IF(A64&lt;'Données projet'!$A$140,$CQ$205^A64,IF(A64='Données projet'!$A$140,'Données projet'!$B$140,CT63+CS64-DB63)))</f>
        <v>328.72307692307675</v>
      </c>
      <c r="CU64" s="18">
        <f>CT64*VLOOKUP('Données projet'!$B$13,Paramètres!$A$1:$I$89,3,0)*VLOOKUP('Données projet'!$B$13,Paramètres!$A$1:$I$89,5,0)</f>
        <v>153.84239999999991</v>
      </c>
      <c r="CV64" s="14">
        <f t="shared" si="41"/>
        <v>39.450495242764717</v>
      </c>
      <c r="CW64" s="22">
        <f t="shared" si="13"/>
        <v>336.65179254781509</v>
      </c>
      <c r="CX64" s="60">
        <f t="shared" si="14"/>
        <v>598.46397399294437</v>
      </c>
      <c r="CY64" s="60">
        <f ca="1">AVERAGE(OFFSET($CX$3,0,0,'Données projet'!$E$13+1,1))-AVERAGE(OFFSET($H$3,0,0,'Données projet'!$E$13+1,1))</f>
        <v>277.77877239988635</v>
      </c>
      <c r="CZ64" s="60">
        <f t="shared" si="42"/>
        <v>164.65640238394164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3.9743589743589722</v>
      </c>
      <c r="DO64" s="13">
        <f>IF('Données projet'!$A$166&gt;35,DO63+DN64-DW63,IF(A64&lt;'Données projet'!$A$166,$DL$205^A64,IF(A64='Données projet'!$A$166,'Données projet'!$B$166,DO63+DN64-DW63)))</f>
        <v>159.102564102564</v>
      </c>
      <c r="DP64" s="18">
        <f>DO64*VLOOKUP('Données projet'!$B$14,Paramètres!$A$1:$I$89,3,0)*VLOOKUP('Données projet'!$B$14,Paramètres!$A$1:$I$89,5,0)</f>
        <v>136.50999999999993</v>
      </c>
      <c r="DQ64" s="14">
        <f t="shared" si="43"/>
        <v>35.49632463497089</v>
      </c>
      <c r="DR64" s="22">
        <f t="shared" si="16"/>
        <v>299.57768207257419</v>
      </c>
      <c r="DS64" s="60">
        <f t="shared" si="17"/>
        <v>561.38986351770359</v>
      </c>
      <c r="DT64" s="60">
        <f ca="1">AVERAGE(OFFSET($DS$3,0,0,'Données projet'!$E$14+1,1))-AVERAGE(OFFSET($H$3,0,0,'Données projet'!$E$14+1,1))</f>
        <v>354.30160274624632</v>
      </c>
      <c r="DU64" s="60">
        <f t="shared" si="44"/>
        <v>218.8005329382452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7.2</v>
      </c>
      <c r="EJ64" s="13">
        <f>IF('Données projet'!$A$192&gt;35,EJ63+EI64-ER63,IF(A64&lt;'Données projet'!$A$192,$EG$205^A64,IF(A64='Données projet'!$A$192,'Données projet'!$B$192,EJ63+EI64-ER63)))</f>
        <v>200.19999999999996</v>
      </c>
      <c r="EK64" s="18">
        <f>EJ64*VLOOKUP('Données projet'!$B$15,Paramètres!$A$1:$I$89,3,0)*VLOOKUP('Données projet'!$B$15,Paramètres!$A$1:$I$89,5,0)</f>
        <v>193.63343999999998</v>
      </c>
      <c r="EL64" s="14">
        <f t="shared" si="45"/>
        <v>48.342367086681229</v>
      </c>
      <c r="EM64" s="22">
        <f t="shared" si="19"/>
        <v>421.44119734263637</v>
      </c>
      <c r="EN64" s="60">
        <f t="shared" si="20"/>
        <v>683.25337878776577</v>
      </c>
      <c r="EO64" s="60">
        <f ca="1">AVERAGE(OFFSET($EN$3,0,0,'Données projet'!$E$15+1,1))-AVERAGE(OFFSET($H$3,0,0,'Données projet'!$E$15+1,1))</f>
        <v>496.33873798282525</v>
      </c>
      <c r="EP64" s="60">
        <f t="shared" si="46"/>
        <v>280.25465074992246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4.3399999999999981</v>
      </c>
      <c r="FE64" s="13">
        <f>IF('Données projet'!$A$218&gt;35,FE63+FD64-FM63,IF(A64&lt;'Données projet'!$A$218,$FB$205^A64,IF(A64='Données projet'!$A$218,'Données projet'!$B$218,FE63+FD64-FM63)))</f>
        <v>237.44000000000011</v>
      </c>
      <c r="FF64" s="18">
        <f>FE64*VLOOKUP('Données projet'!$B$16,Paramètres!$A$1:$I$89,3,0)*VLOOKUP('Données projet'!$B$16,Paramètres!$A$1:$I$89,5,0)</f>
        <v>192.6113280000001</v>
      </c>
      <c r="FG64" s="14">
        <f t="shared" si="47"/>
        <v>48.116820941588038</v>
      </c>
      <c r="FH64" s="22">
        <f t="shared" si="22"/>
        <v>419.2681927399326</v>
      </c>
      <c r="FI64" s="60">
        <f t="shared" si="23"/>
        <v>681.08037418506194</v>
      </c>
      <c r="FJ64" s="60">
        <f ca="1">AVERAGE(OFFSET($FI$3,0,0,'Données projet'!$E$16+1,1))-AVERAGE(OFFSET($H$3,0,0,'Données projet'!$E$16+1,1))</f>
        <v>341.66430955115521</v>
      </c>
      <c r="FK64" s="60">
        <f t="shared" si="48"/>
        <v>366.15174925159192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4.3399999999999981</v>
      </c>
      <c r="FZ64" s="13">
        <f>IF('Données projet'!$A$244&gt;35,FZ63+FY64-GH63,IF(A64&lt;'Données projet'!$A$244,$FW$205^A64,IF(A64='Données projet'!$A$244,'Données projet'!$B$244,FZ63+FY64-GH63)))</f>
        <v>237.44000000000011</v>
      </c>
      <c r="GA64" s="18">
        <f>FZ64*VLOOKUP('Données projet'!$B$17,Paramètres!$A$1:$I$89,3,0)*VLOOKUP('Données projet'!$B$17,Paramètres!$A$1:$I$89,5,0)</f>
        <v>174.09100800000007</v>
      </c>
      <c r="GB64" s="14">
        <f t="shared" si="49"/>
        <v>44.005001364605072</v>
      </c>
      <c r="GC64" s="22">
        <f t="shared" si="25"/>
        <v>379.85054964335399</v>
      </c>
      <c r="GD64" s="60">
        <f t="shared" si="26"/>
        <v>641.66273108848327</v>
      </c>
      <c r="GE64" s="60">
        <f ca="1">AVERAGE(OFFSET($GD$3,0,0,'Données projet'!$E$17+1,1))-AVERAGE(OFFSET($H$3,0,0,'Données projet'!$E$17+1,1))</f>
        <v>314.58662400031631</v>
      </c>
      <c r="GF64" s="60">
        <f t="shared" si="50"/>
        <v>336.99073123405981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4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210.30359999999996</v>
      </c>
      <c r="P65" s="14">
        <f t="shared" si="33"/>
        <v>52.001924357524459</v>
      </c>
      <c r="Q65" s="22">
        <f t="shared" si="53"/>
        <v>456.84878825602163</v>
      </c>
      <c r="R65" s="60">
        <f t="shared" si="0"/>
        <v>719.20779121567296</v>
      </c>
      <c r="S65" s="60">
        <f ca="1">AVERAGE(OFFSET($R$3,0,0,'Données projet'!$E$9+1,1))-AVERAGE(OFFSET($H$3,0,0,'Données projet'!$E$9+1,1))</f>
        <v>516.30971934066179</v>
      </c>
      <c r="T65" s="60">
        <f t="shared" si="34"/>
        <v>290.84286505723571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5.0000000000000053</v>
      </c>
      <c r="AI65" s="14">
        <f>IF('Données projet'!$A$62&gt;35,AI64+AH65-AQ64,IF(A65&lt;'Données projet'!$A$62,$AF$205^A65,IF(A65='Données projet'!$A$62,'Données projet'!$B$62,AI64+AH65-AQ64)))</f>
        <v>218.97435897435884</v>
      </c>
      <c r="AJ65" s="14">
        <f>AI65*VLOOKUP('Données projet'!$B$10,Paramètres!$A$1:$I$89,3,0)*VLOOKUP('Données projet'!$B$10,Paramètres!$A$1:$I$89,5,0)</f>
        <v>228.87199999999987</v>
      </c>
      <c r="AK65" s="14">
        <f t="shared" si="35"/>
        <v>56.038711813998113</v>
      </c>
      <c r="AL65" s="22">
        <f t="shared" si="4"/>
        <v>496.21948974271317</v>
      </c>
      <c r="AM65" s="60">
        <f t="shared" si="5"/>
        <v>758.57849270236443</v>
      </c>
      <c r="AN65" s="60">
        <f ca="1">AVERAGE(OFFSET($AM$3,0,0,'Données projet'!$E$10+1,1))-AVERAGE(OFFSET($H$3,0,0,'Données projet'!$E$10+1,1))</f>
        <v>529.00505223594837</v>
      </c>
      <c r="AO65" s="60">
        <f t="shared" si="36"/>
        <v>321.23004033257985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4.3399999999999981</v>
      </c>
      <c r="BD65" s="13">
        <f>IF('Données projet'!$A$88&gt;35,BD64+BC65-BL64,IF(A65&lt;'Données projet'!$A$88,$BA$205^A65,IF(A65='Données projet'!$A$88,'Données projet'!$B$88,BD64+BC65-BL64)))</f>
        <v>241.78000000000011</v>
      </c>
      <c r="BE65" s="14">
        <f>BD65*VLOOKUP('Données projet'!$B$11,Paramètres!$A$1:$I$89,3,0)*VLOOKUP('Données projet'!$B$11,Paramètres!$A$1:$I$89,5,0)</f>
        <v>211.21900800000012</v>
      </c>
      <c r="BF65" s="14">
        <f t="shared" si="37"/>
        <v>52.201879814931679</v>
      </c>
      <c r="BG65" s="22">
        <f t="shared" si="7"/>
        <v>458.79137961100622</v>
      </c>
      <c r="BH65" s="60">
        <f t="shared" si="8"/>
        <v>721.15038257065748</v>
      </c>
      <c r="BI65" s="60">
        <f ca="1">AVERAGE(OFFSET($BH$3,0,0,'Données projet'!$E$11+1,1))-AVERAGE(OFFSET($H$3,0,0,'Données projet'!$E$11+1,1))</f>
        <v>363.28611056308665</v>
      </c>
      <c r="BJ65" s="60">
        <f t="shared" si="38"/>
        <v>389.43647559455974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223.24535999999995</v>
      </c>
      <c r="CA65" s="14">
        <f t="shared" si="39"/>
        <v>54.819646394591118</v>
      </c>
      <c r="CB65" s="22">
        <f t="shared" si="10"/>
        <v>484.29655280391279</v>
      </c>
      <c r="CC65" s="60">
        <f t="shared" si="11"/>
        <v>746.65555576356405</v>
      </c>
      <c r="CD65" s="60">
        <f ca="1">AVERAGE(OFFSET($CC$3,0,0,'Données projet'!$E$12+1,1))-AVERAGE(OFFSET($H$3,0,0,'Données projet'!$E$12+1,1))</f>
        <v>542.90832990875208</v>
      </c>
      <c r="CE65" s="60">
        <f t="shared" si="40"/>
        <v>304.94365539329362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10.984615384615381</v>
      </c>
      <c r="CT65" s="13">
        <f>IF('Données projet'!$A$140&gt;35,CT64+CS65-DB64,IF(A65&lt;'Données projet'!$A$140,$CQ$205^A65,IF(A65='Données projet'!$A$140,'Données projet'!$B$140,CT64+CS65-DB64)))</f>
        <v>339.70769230769213</v>
      </c>
      <c r="CU65" s="18">
        <f>CT65*VLOOKUP('Données projet'!$B$13,Paramètres!$A$1:$I$89,3,0)*VLOOKUP('Données projet'!$B$13,Paramètres!$A$1:$I$89,5,0)</f>
        <v>158.98319999999993</v>
      </c>
      <c r="CV65" s="14">
        <f t="shared" si="41"/>
        <v>40.613088302497808</v>
      </c>
      <c r="CW65" s="22">
        <f t="shared" si="13"/>
        <v>347.63020212685018</v>
      </c>
      <c r="CX65" s="60">
        <f t="shared" si="14"/>
        <v>609.98920508650144</v>
      </c>
      <c r="CY65" s="60">
        <f ca="1">AVERAGE(OFFSET($CX$3,0,0,'Données projet'!$E$13+1,1))-AVERAGE(OFFSET($H$3,0,0,'Données projet'!$E$13+1,1))</f>
        <v>277.77877239988635</v>
      </c>
      <c r="CZ65" s="60">
        <f t="shared" si="42"/>
        <v>164.65640238394164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3.9743589743589722</v>
      </c>
      <c r="DO65" s="13">
        <f>IF('Données projet'!$A$166&gt;35,DO64+DN65-DW64,IF(A65&lt;'Données projet'!$A$166,$DL$205^A65,IF(A65='Données projet'!$A$166,'Données projet'!$B$166,DO64+DN65-DW64)))</f>
        <v>163.07692307692298</v>
      </c>
      <c r="DP65" s="18">
        <f>DO65*VLOOKUP('Données projet'!$B$14,Paramètres!$A$1:$I$89,3,0)*VLOOKUP('Données projet'!$B$14,Paramètres!$A$1:$I$89,5,0)</f>
        <v>139.91999999999993</v>
      </c>
      <c r="DQ65" s="14">
        <f t="shared" si="43"/>
        <v>36.278678008775699</v>
      </c>
      <c r="DR65" s="22">
        <f t="shared" si="16"/>
        <v>306.87936419861757</v>
      </c>
      <c r="DS65" s="60">
        <f t="shared" si="17"/>
        <v>569.23836715826883</v>
      </c>
      <c r="DT65" s="60">
        <f ca="1">AVERAGE(OFFSET($DS$3,0,0,'Données projet'!$E$14+1,1))-AVERAGE(OFFSET($H$3,0,0,'Données projet'!$E$14+1,1))</f>
        <v>354.30160274624632</v>
      </c>
      <c r="DU65" s="60">
        <f t="shared" si="44"/>
        <v>218.8005329382452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7.2</v>
      </c>
      <c r="EJ65" s="13">
        <f>IF('Données projet'!$A$192&gt;35,EJ64+EI65-ER64,IF(A65&lt;'Données projet'!$A$192,$EG$205^A65,IF(A65='Données projet'!$A$192,'Données projet'!$B$192,EJ64+EI65-ER64)))</f>
        <v>207.39999999999995</v>
      </c>
      <c r="EK65" s="18">
        <f>EJ65*VLOOKUP('Données projet'!$B$15,Paramètres!$A$1:$I$89,3,0)*VLOOKUP('Données projet'!$B$15,Paramètres!$A$1:$I$89,5,0)</f>
        <v>200.59727999999996</v>
      </c>
      <c r="EL65" s="14">
        <f t="shared" si="45"/>
        <v>49.875409002022977</v>
      </c>
      <c r="EM65" s="22">
        <f t="shared" si="19"/>
        <v>436.23993334518991</v>
      </c>
      <c r="EN65" s="60">
        <f t="shared" si="20"/>
        <v>698.59893630484123</v>
      </c>
      <c r="EO65" s="60">
        <f ca="1">AVERAGE(OFFSET($EN$3,0,0,'Données projet'!$E$15+1,1))-AVERAGE(OFFSET($H$3,0,0,'Données projet'!$E$15+1,1))</f>
        <v>496.33873798282525</v>
      </c>
      <c r="EP65" s="60">
        <f t="shared" si="46"/>
        <v>280.25465074992246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4.3399999999999981</v>
      </c>
      <c r="FE65" s="13">
        <f>IF('Données projet'!$A$218&gt;35,FE64+FD65-FM64,IF(A65&lt;'Données projet'!$A$218,$FB$205^A65,IF(A65='Données projet'!$A$218,'Données projet'!$B$218,FE64+FD65-FM64)))</f>
        <v>241.78000000000011</v>
      </c>
      <c r="FF65" s="18">
        <f>FE65*VLOOKUP('Données projet'!$B$16,Paramètres!$A$1:$I$89,3,0)*VLOOKUP('Données projet'!$B$16,Paramètres!$A$1:$I$89,5,0)</f>
        <v>196.13193600000011</v>
      </c>
      <c r="FG65" s="14">
        <f t="shared" si="47"/>
        <v>48.893120515317094</v>
      </c>
      <c r="FH65" s="22">
        <f t="shared" si="22"/>
        <v>426.75197343084409</v>
      </c>
      <c r="FI65" s="60">
        <f t="shared" si="23"/>
        <v>689.11097639049535</v>
      </c>
      <c r="FJ65" s="60">
        <f ca="1">AVERAGE(OFFSET($FI$3,0,0,'Données projet'!$E$16+1,1))-AVERAGE(OFFSET($H$3,0,0,'Données projet'!$E$16+1,1))</f>
        <v>341.66430955115521</v>
      </c>
      <c r="FK65" s="60">
        <f t="shared" si="48"/>
        <v>366.15174925159192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4.3399999999999981</v>
      </c>
      <c r="FZ65" s="13">
        <f>IF('Données projet'!$A$244&gt;35,FZ64+FY65-GH64,IF(A65&lt;'Données projet'!$A$244,$FW$205^A65,IF(A65='Données projet'!$A$244,'Données projet'!$B$244,FZ64+FY65-GH64)))</f>
        <v>241.78000000000011</v>
      </c>
      <c r="GA65" s="18">
        <f>FZ65*VLOOKUP('Données projet'!$B$17,Paramètres!$A$1:$I$89,3,0)*VLOOKUP('Données projet'!$B$17,Paramètres!$A$1:$I$89,5,0)</f>
        <v>177.27309600000007</v>
      </c>
      <c r="GB65" s="14">
        <f t="shared" si="49"/>
        <v>44.714962312414976</v>
      </c>
      <c r="GC65" s="22">
        <f t="shared" si="25"/>
        <v>386.62920156078945</v>
      </c>
      <c r="GD65" s="60">
        <f t="shared" si="26"/>
        <v>648.98820452044083</v>
      </c>
      <c r="GE65" s="60">
        <f ca="1">AVERAGE(OFFSET($GD$3,0,0,'Données projet'!$E$17+1,1))-AVERAGE(OFFSET($H$3,0,0,'Données projet'!$E$17+1,1))</f>
        <v>314.58662400031631</v>
      </c>
      <c r="GF65" s="60">
        <f t="shared" si="50"/>
        <v>336.99073123405981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4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217.60439999999994</v>
      </c>
      <c r="P66" s="14">
        <f t="shared" si="33"/>
        <v>53.593882578706356</v>
      </c>
      <c r="Q66" s="22">
        <f t="shared" si="53"/>
        <v>472.33700882458015</v>
      </c>
      <c r="R66" s="60">
        <f t="shared" si="0"/>
        <v>735.23334716798627</v>
      </c>
      <c r="S66" s="60">
        <f ca="1">AVERAGE(OFFSET($R$3,0,0,'Données projet'!$E$9+1,1))-AVERAGE(OFFSET($H$3,0,0,'Données projet'!$E$9+1,1))</f>
        <v>516.30971934066179</v>
      </c>
      <c r="T66" s="60">
        <f t="shared" si="34"/>
        <v>290.84286505723571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5.0000000000000053</v>
      </c>
      <c r="AI66" s="14">
        <f>IF('Données projet'!$A$62&gt;35,AI65+AH66-AQ65,IF(A66&lt;'Données projet'!$A$62,$AF$205^A66,IF(A66='Données projet'!$A$62,'Données projet'!$B$62,AI65+AH66-AQ65)))</f>
        <v>223.97435897435884</v>
      </c>
      <c r="AJ66" s="14">
        <f>AI66*VLOOKUP('Données projet'!$B$10,Paramètres!$A$1:$I$89,3,0)*VLOOKUP('Données projet'!$B$10,Paramètres!$A$1:$I$89,5,0)</f>
        <v>234.09799999999987</v>
      </c>
      <c r="AK66" s="14">
        <f t="shared" si="35"/>
        <v>57.167852134096286</v>
      </c>
      <c r="AL66" s="22">
        <f t="shared" si="4"/>
        <v>507.28802580021755</v>
      </c>
      <c r="AM66" s="60">
        <f t="shared" si="5"/>
        <v>770.18436414362372</v>
      </c>
      <c r="AN66" s="60">
        <f ca="1">AVERAGE(OFFSET($AM$3,0,0,'Données projet'!$E$10+1,1))-AVERAGE(OFFSET($H$3,0,0,'Données projet'!$E$10+1,1))</f>
        <v>529.00505223594837</v>
      </c>
      <c r="AO66" s="60">
        <f t="shared" si="36"/>
        <v>321.23004033257985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4.3399999999999981</v>
      </c>
      <c r="BD66" s="13">
        <f>IF('Données projet'!$A$88&gt;35,BD65+BC66-BL65,IF(A66&lt;'Données projet'!$A$88,$BA$205^A66,IF(A66='Données projet'!$A$88,'Données projet'!$B$88,BD65+BC66-BL65)))</f>
        <v>246.12000000000012</v>
      </c>
      <c r="BE66" s="14">
        <f>BD66*VLOOKUP('Données projet'!$B$11,Paramètres!$A$1:$I$89,3,0)*VLOOKUP('Données projet'!$B$11,Paramètres!$A$1:$I$89,5,0)</f>
        <v>215.01043200000015</v>
      </c>
      <c r="BF66" s="14">
        <f t="shared" si="37"/>
        <v>53.028984090604766</v>
      </c>
      <c r="BG66" s="22">
        <f t="shared" si="7"/>
        <v>466.83531635780349</v>
      </c>
      <c r="BH66" s="60">
        <f t="shared" si="8"/>
        <v>729.73165470120966</v>
      </c>
      <c r="BI66" s="60">
        <f ca="1">AVERAGE(OFFSET($BH$3,0,0,'Données projet'!$E$11+1,1))-AVERAGE(OFFSET($H$3,0,0,'Données projet'!$E$11+1,1))</f>
        <v>363.28611056308665</v>
      </c>
      <c r="BJ66" s="60">
        <f t="shared" si="38"/>
        <v>389.43647559455974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230.99543999999995</v>
      </c>
      <c r="CA66" s="14">
        <f t="shared" si="39"/>
        <v>56.497864803589785</v>
      </c>
      <c r="CB66" s="22">
        <f t="shared" si="10"/>
        <v>500.71750586625211</v>
      </c>
      <c r="CC66" s="60">
        <f t="shared" si="11"/>
        <v>763.61384420965828</v>
      </c>
      <c r="CD66" s="60">
        <f ca="1">AVERAGE(OFFSET($CC$3,0,0,'Données projet'!$E$12+1,1))-AVERAGE(OFFSET($H$3,0,0,'Données projet'!$E$12+1,1))</f>
        <v>542.90832990875208</v>
      </c>
      <c r="CE66" s="60">
        <f t="shared" si="40"/>
        <v>304.94365539329362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>
        <f>VLOOKUP(A66,'Données projet'!$A$139:$I$159,2,0)</f>
        <v>350.69230769230768</v>
      </c>
      <c r="CR66" s="13">
        <f>VLOOKUP(A66,'Données projet'!$A$139:$I$159,9,0)</f>
        <v>10.984615384615381</v>
      </c>
      <c r="CS66" s="13">
        <f t="array" ref="CS66">INDEX(CR:CR,MIN(IF(ISNUMBER(CR66:CR262),ROW(CR66:CR262),"")))</f>
        <v>10.984615384615381</v>
      </c>
      <c r="CT66" s="13">
        <f>IF('Données projet'!$A$140&gt;35,CT65+CS66-DB65,IF(A66&lt;'Données projet'!$A$140,$CQ$205^A66,IF(A66='Données projet'!$A$140,'Données projet'!$B$140,CT65+CS66-DB65)))</f>
        <v>350.69230769230751</v>
      </c>
      <c r="CU66" s="18">
        <f>CT66*VLOOKUP('Données projet'!$B$13,Paramètres!$A$1:$I$89,3,0)*VLOOKUP('Données projet'!$B$13,Paramètres!$A$1:$I$89,5,0)</f>
        <v>164.12399999999991</v>
      </c>
      <c r="CV66" s="14">
        <f t="shared" si="41"/>
        <v>41.771312955270531</v>
      </c>
      <c r="CW66" s="22">
        <f t="shared" si="13"/>
        <v>358.60100339709601</v>
      </c>
      <c r="CX66" s="60">
        <f t="shared" si="14"/>
        <v>621.49734174050218</v>
      </c>
      <c r="CY66" s="60">
        <f ca="1">AVERAGE(OFFSET($CX$3,0,0,'Données projet'!$E$13+1,1))-AVERAGE(OFFSET($H$3,0,0,'Données projet'!$E$13+1,1))</f>
        <v>277.77877239988635</v>
      </c>
      <c r="CZ66" s="60">
        <f t="shared" si="42"/>
        <v>164.65640238394164</v>
      </c>
      <c r="DA66" s="16">
        <f>IF(ISNA(VLOOKUP(A66,'Données projet'!$A$139:$I$159,3,0)),0,VLOOKUP(A66,'Données projet'!$A$139:$I$159,3,0))</f>
        <v>2</v>
      </c>
      <c r="DB66" s="16">
        <f>IF(ISNA(VLOOKUP(A66,'Données projet'!$A$139:$I$159,4,0)),0,VLOOKUP(A66,'Données projet'!$A$139:$I$159,4,0))</f>
        <v>108.08461538461538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3.9743589743589722</v>
      </c>
      <c r="DO66" s="13">
        <f>IF('Données projet'!$A$166&gt;35,DO65+DN66-DW65,IF(A66&lt;'Données projet'!$A$166,$DL$205^A66,IF(A66='Données projet'!$A$166,'Données projet'!$B$166,DO65+DN66-DW65)))</f>
        <v>167.05128205128196</v>
      </c>
      <c r="DP66" s="18">
        <f>DO66*VLOOKUP('Données projet'!$B$14,Paramètres!$A$1:$I$89,3,0)*VLOOKUP('Données projet'!$B$14,Paramètres!$A$1:$I$89,5,0)</f>
        <v>143.32999999999993</v>
      </c>
      <c r="DQ66" s="14">
        <f t="shared" si="43"/>
        <v>37.058814921526867</v>
      </c>
      <c r="DR66" s="22">
        <f t="shared" si="16"/>
        <v>314.17718598832579</v>
      </c>
      <c r="DS66" s="60">
        <f t="shared" si="17"/>
        <v>577.07352433173196</v>
      </c>
      <c r="DT66" s="60">
        <f ca="1">AVERAGE(OFFSET($DS$3,0,0,'Données projet'!$E$14+1,1))-AVERAGE(OFFSET($H$3,0,0,'Données projet'!$E$14+1,1))</f>
        <v>354.30160274624632</v>
      </c>
      <c r="DU66" s="60">
        <f t="shared" si="44"/>
        <v>218.8005329382452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7.2</v>
      </c>
      <c r="EJ66" s="13">
        <f>IF('Données projet'!$A$192&gt;35,EJ65+EI66-ER65,IF(A66&lt;'Données projet'!$A$192,$EG$205^A66,IF(A66='Données projet'!$A$192,'Données projet'!$B$192,EJ65+EI66-ER65)))</f>
        <v>214.59999999999994</v>
      </c>
      <c r="EK66" s="18">
        <f>EJ66*VLOOKUP('Données projet'!$B$15,Paramètres!$A$1:$I$89,3,0)*VLOOKUP('Données projet'!$B$15,Paramètres!$A$1:$I$89,5,0)</f>
        <v>207.56111999999996</v>
      </c>
      <c r="EL66" s="14">
        <f t="shared" si="45"/>
        <v>51.40226725537714</v>
      </c>
      <c r="EM66" s="22">
        <f t="shared" si="19"/>
        <v>451.02789946978169</v>
      </c>
      <c r="EN66" s="60">
        <f t="shared" si="20"/>
        <v>713.9242378131878</v>
      </c>
      <c r="EO66" s="60">
        <f ca="1">AVERAGE(OFFSET($EN$3,0,0,'Données projet'!$E$15+1,1))-AVERAGE(OFFSET($H$3,0,0,'Données projet'!$E$15+1,1))</f>
        <v>496.33873798282525</v>
      </c>
      <c r="EP66" s="60">
        <f t="shared" si="46"/>
        <v>280.25465074992246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4.3399999999999981</v>
      </c>
      <c r="FE66" s="13">
        <f>IF('Données projet'!$A$218&gt;35,FE65+FD66-FM65,IF(A66&lt;'Données projet'!$A$218,$FB$205^A66,IF(A66='Données projet'!$A$218,'Données projet'!$B$218,FE65+FD66-FM65)))</f>
        <v>246.12000000000012</v>
      </c>
      <c r="FF66" s="18">
        <f>FE66*VLOOKUP('Données projet'!$B$16,Paramètres!$A$1:$I$89,3,0)*VLOOKUP('Données projet'!$B$16,Paramètres!$A$1:$I$89,5,0)</f>
        <v>199.65254400000012</v>
      </c>
      <c r="FG66" s="14">
        <f t="shared" si="47"/>
        <v>49.667799687266168</v>
      </c>
      <c r="FH66" s="22">
        <f t="shared" si="22"/>
        <v>434.23293192198884</v>
      </c>
      <c r="FI66" s="60">
        <f t="shared" si="23"/>
        <v>697.12927026539501</v>
      </c>
      <c r="FJ66" s="60">
        <f ca="1">AVERAGE(OFFSET($FI$3,0,0,'Données projet'!$E$16+1,1))-AVERAGE(OFFSET($H$3,0,0,'Données projet'!$E$16+1,1))</f>
        <v>341.66430955115521</v>
      </c>
      <c r="FK66" s="60">
        <f t="shared" si="48"/>
        <v>366.15174925159192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4.3399999999999981</v>
      </c>
      <c r="FZ66" s="13">
        <f>IF('Données projet'!$A$244&gt;35,FZ65+FY66-GH65,IF(A66&lt;'Données projet'!$A$244,$FW$205^A66,IF(A66='Données projet'!$A$244,'Données projet'!$B$244,FZ65+FY66-GH65)))</f>
        <v>246.12000000000012</v>
      </c>
      <c r="GA66" s="18">
        <f>FZ66*VLOOKUP('Données projet'!$B$17,Paramètres!$A$1:$I$89,3,0)*VLOOKUP('Données projet'!$B$17,Paramètres!$A$1:$I$89,5,0)</f>
        <v>180.45518400000009</v>
      </c>
      <c r="GB66" s="14">
        <f t="shared" si="49"/>
        <v>45.423441329766014</v>
      </c>
      <c r="GC66" s="22">
        <f t="shared" si="25"/>
        <v>393.40527244934259</v>
      </c>
      <c r="GD66" s="60">
        <f t="shared" si="26"/>
        <v>656.30161079274876</v>
      </c>
      <c r="GE66" s="60">
        <f ca="1">AVERAGE(OFFSET($GD$3,0,0,'Données projet'!$E$17+1,1))-AVERAGE(OFFSET($H$3,0,0,'Données projet'!$E$17+1,1))</f>
        <v>314.58662400031631</v>
      </c>
      <c r="GF66" s="60">
        <f t="shared" si="50"/>
        <v>336.99073123405981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4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224.90519999999995</v>
      </c>
      <c r="P67" s="14">
        <f t="shared" si="33"/>
        <v>55.17963460003309</v>
      </c>
      <c r="Q67" s="22">
        <f t="shared" ref="Q67:Q98" si="54">(O67+P67)*0.475*44/12</f>
        <v>487.81442026172425</v>
      </c>
      <c r="R67" s="60">
        <f t="shared" ref="R67:R130" si="55">Q67+(I67+J67)*44/12</f>
        <v>751.23877242127901</v>
      </c>
      <c r="S67" s="60">
        <f ca="1">AVERAGE(OFFSET($R$3,0,0,'Données projet'!$E$9+1,1))-AVERAGE(OFFSET($H$3,0,0,'Données projet'!$E$9+1,1))</f>
        <v>516.30971934066179</v>
      </c>
      <c r="T67" s="60">
        <f t="shared" si="34"/>
        <v>290.84286505723571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5.0000000000000053</v>
      </c>
      <c r="AI67" s="14">
        <f>IF('Données projet'!$A$62&gt;35,AI66+AH67-AQ66,IF(A67&lt;'Données projet'!$A$62,$AF$205^A67,IF(A67='Données projet'!$A$62,'Données projet'!$B$62,AI66+AH67-AQ66)))</f>
        <v>228.97435897435884</v>
      </c>
      <c r="AJ67" s="14">
        <f>AI67*VLOOKUP('Données projet'!$B$10,Paramètres!$A$1:$I$89,3,0)*VLOOKUP('Données projet'!$B$10,Paramètres!$A$1:$I$89,5,0)</f>
        <v>239.32399999999987</v>
      </c>
      <c r="AK67" s="14">
        <f t="shared" si="35"/>
        <v>58.294061921376255</v>
      </c>
      <c r="AL67" s="22">
        <f t="shared" si="4"/>
        <v>518.35145784639667</v>
      </c>
      <c r="AM67" s="60">
        <f t="shared" si="5"/>
        <v>781.77581000595137</v>
      </c>
      <c r="AN67" s="60">
        <f ca="1">AVERAGE(OFFSET($AM$3,0,0,'Données projet'!$E$10+1,1))-AVERAGE(OFFSET($H$3,0,0,'Données projet'!$E$10+1,1))</f>
        <v>529.00505223594837</v>
      </c>
      <c r="AO67" s="60">
        <f t="shared" si="36"/>
        <v>321.23004033257985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4.3399999999999981</v>
      </c>
      <c r="BD67" s="13">
        <f>IF('Données projet'!$A$88&gt;35,BD66+BC67-BL66,IF(A67&lt;'Données projet'!$A$88,$BA$205^A67,IF(A67='Données projet'!$A$88,'Données projet'!$B$88,BD66+BC67-BL66)))</f>
        <v>250.46000000000012</v>
      </c>
      <c r="BE67" s="14">
        <f>BD67*VLOOKUP('Données projet'!$B$11,Paramètres!$A$1:$I$89,3,0)*VLOOKUP('Données projet'!$B$11,Paramètres!$A$1:$I$89,5,0)</f>
        <v>218.80185600000013</v>
      </c>
      <c r="BF67" s="14">
        <f t="shared" si="37"/>
        <v>53.854392333532836</v>
      </c>
      <c r="BG67" s="22">
        <f t="shared" si="7"/>
        <v>474.87629918090329</v>
      </c>
      <c r="BH67" s="60">
        <f t="shared" si="8"/>
        <v>738.30065134045799</v>
      </c>
      <c r="BI67" s="60">
        <f ca="1">AVERAGE(OFFSET($BH$3,0,0,'Données projet'!$E$11+1,1))-AVERAGE(OFFSET($H$3,0,0,'Données projet'!$E$11+1,1))</f>
        <v>363.28611056308665</v>
      </c>
      <c r="BJ67" s="60">
        <f t="shared" si="38"/>
        <v>389.43647559455974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238.74551999999991</v>
      </c>
      <c r="CA67" s="14">
        <f t="shared" si="39"/>
        <v>58.169540730060781</v>
      </c>
      <c r="CB67" s="22">
        <f t="shared" si="10"/>
        <v>517.12706410485578</v>
      </c>
      <c r="CC67" s="60">
        <f t="shared" si="11"/>
        <v>780.55141626441059</v>
      </c>
      <c r="CD67" s="60">
        <f ca="1">AVERAGE(OFFSET($CC$3,0,0,'Données projet'!$E$12+1,1))-AVERAGE(OFFSET($H$3,0,0,'Données projet'!$E$12+1,1))</f>
        <v>542.90832990875208</v>
      </c>
      <c r="CE67" s="60">
        <f t="shared" si="40"/>
        <v>304.94365539329362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9.6897435897435908</v>
      </c>
      <c r="CT67" s="13">
        <f>IF('Données projet'!$A$140&gt;35,CT66+CS67-DB66,IF(A67&lt;'Données projet'!$A$140,$CQ$205^A67,IF(A67='Données projet'!$A$140,'Données projet'!$B$140,CT66+CS67-DB66)))</f>
        <v>252.29743589743575</v>
      </c>
      <c r="CU67" s="18">
        <f>CT67*VLOOKUP('Données projet'!$B$13,Paramètres!$A$1:$I$89,3,0)*VLOOKUP('Données projet'!$B$13,Paramètres!$A$1:$I$89,5,0)</f>
        <v>118.07519999999992</v>
      </c>
      <c r="CV67" s="14">
        <f t="shared" si="41"/>
        <v>31.225649693095828</v>
      </c>
      <c r="CW67" s="22">
        <f t="shared" si="13"/>
        <v>260.03231321547509</v>
      </c>
      <c r="CX67" s="60">
        <f t="shared" si="14"/>
        <v>523.45666537502984</v>
      </c>
      <c r="CY67" s="60">
        <f ca="1">AVERAGE(OFFSET($CX$3,0,0,'Données projet'!$E$13+1,1))-AVERAGE(OFFSET($H$3,0,0,'Données projet'!$E$13+1,1))</f>
        <v>277.77877239988635</v>
      </c>
      <c r="CZ67" s="60">
        <f t="shared" si="42"/>
        <v>164.65640238394164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3.9743589743589722</v>
      </c>
      <c r="DO67" s="13">
        <f>IF('Données projet'!$A$166&gt;35,DO66+DN67-DW66,IF(A67&lt;'Données projet'!$A$166,$DL$205^A67,IF(A67='Données projet'!$A$166,'Données projet'!$B$166,DO66+DN67-DW66)))</f>
        <v>171.02564102564094</v>
      </c>
      <c r="DP67" s="18">
        <f>DO67*VLOOKUP('Données projet'!$B$14,Paramètres!$A$1:$I$89,3,0)*VLOOKUP('Données projet'!$B$14,Paramètres!$A$1:$I$89,5,0)</f>
        <v>146.73999999999995</v>
      </c>
      <c r="DQ67" s="14">
        <f t="shared" si="43"/>
        <v>37.836794173430199</v>
      </c>
      <c r="DR67" s="22">
        <f t="shared" si="16"/>
        <v>321.4712498520575</v>
      </c>
      <c r="DS67" s="60">
        <f t="shared" si="17"/>
        <v>584.89560201161225</v>
      </c>
      <c r="DT67" s="60">
        <f ca="1">AVERAGE(OFFSET($DS$3,0,0,'Données projet'!$E$14+1,1))-AVERAGE(OFFSET($H$3,0,0,'Données projet'!$E$14+1,1))</f>
        <v>354.30160274624632</v>
      </c>
      <c r="DU67" s="60">
        <f t="shared" si="44"/>
        <v>218.8005329382452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7.2</v>
      </c>
      <c r="EJ67" s="13">
        <f>IF('Données projet'!$A$192&gt;35,EJ66+EI67-ER66,IF(A67&lt;'Données projet'!$A$192,$EG$205^A67,IF(A67='Données projet'!$A$192,'Données projet'!$B$192,EJ66+EI67-ER66)))</f>
        <v>221.79999999999993</v>
      </c>
      <c r="EK67" s="18">
        <f>EJ67*VLOOKUP('Données projet'!$B$15,Paramètres!$A$1:$I$89,3,0)*VLOOKUP('Données projet'!$B$15,Paramètres!$A$1:$I$89,5,0)</f>
        <v>214.52495999999994</v>
      </c>
      <c r="EL67" s="14">
        <f t="shared" si="45"/>
        <v>52.923173099085716</v>
      </c>
      <c r="EM67" s="22">
        <f t="shared" si="19"/>
        <v>465.80549848090754</v>
      </c>
      <c r="EN67" s="60">
        <f t="shared" si="20"/>
        <v>729.22985064046225</v>
      </c>
      <c r="EO67" s="60">
        <f ca="1">AVERAGE(OFFSET($EN$3,0,0,'Données projet'!$E$15+1,1))-AVERAGE(OFFSET($H$3,0,0,'Données projet'!$E$15+1,1))</f>
        <v>496.33873798282525</v>
      </c>
      <c r="EP67" s="60">
        <f t="shared" si="46"/>
        <v>280.25465074992246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4.3399999999999981</v>
      </c>
      <c r="FE67" s="13">
        <f>IF('Données projet'!$A$218&gt;35,FE66+FD67-FM66,IF(A67&lt;'Données projet'!$A$218,$FB$205^A67,IF(A67='Données projet'!$A$218,'Données projet'!$B$218,FE66+FD67-FM66)))</f>
        <v>250.46000000000012</v>
      </c>
      <c r="FF67" s="18">
        <f>FE67*VLOOKUP('Données projet'!$B$16,Paramètres!$A$1:$I$89,3,0)*VLOOKUP('Données projet'!$B$16,Paramètres!$A$1:$I$89,5,0)</f>
        <v>203.1731520000001</v>
      </c>
      <c r="FG67" s="14">
        <f t="shared" si="47"/>
        <v>50.440890327658714</v>
      </c>
      <c r="FH67" s="22">
        <f t="shared" si="22"/>
        <v>441.71112372067245</v>
      </c>
      <c r="FI67" s="60">
        <f t="shared" si="23"/>
        <v>705.1354758802272</v>
      </c>
      <c r="FJ67" s="60">
        <f ca="1">AVERAGE(OFFSET($FI$3,0,0,'Données projet'!$E$16+1,1))-AVERAGE(OFFSET($H$3,0,0,'Données projet'!$E$16+1,1))</f>
        <v>341.66430955115521</v>
      </c>
      <c r="FK67" s="60">
        <f t="shared" si="48"/>
        <v>366.15174925159192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4.3399999999999981</v>
      </c>
      <c r="FZ67" s="13">
        <f>IF('Données projet'!$A$244&gt;35,FZ66+FY67-GH66,IF(A67&lt;'Données projet'!$A$244,$FW$205^A67,IF(A67='Données projet'!$A$244,'Données projet'!$B$244,FZ66+FY67-GH66)))</f>
        <v>250.46000000000012</v>
      </c>
      <c r="GA67" s="18">
        <f>FZ67*VLOOKUP('Données projet'!$B$17,Paramètres!$A$1:$I$89,3,0)*VLOOKUP('Données projet'!$B$17,Paramètres!$A$1:$I$89,5,0)</f>
        <v>183.63727200000011</v>
      </c>
      <c r="GB67" s="14">
        <f t="shared" si="49"/>
        <v>46.130467563413795</v>
      </c>
      <c r="GC67" s="22">
        <f t="shared" si="25"/>
        <v>400.17881307294584</v>
      </c>
      <c r="GD67" s="60">
        <f t="shared" si="26"/>
        <v>663.6031652325006</v>
      </c>
      <c r="GE67" s="60">
        <f ca="1">AVERAGE(OFFSET($GD$3,0,0,'Données projet'!$E$17+1,1))-AVERAGE(OFFSET($H$3,0,0,'Données projet'!$E$17+1,1))</f>
        <v>314.58662400031631</v>
      </c>
      <c r="GF67" s="60">
        <f t="shared" si="50"/>
        <v>336.99073123405981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4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232.2059999999999</v>
      </c>
      <c r="P68" s="14">
        <f t="shared" si="33"/>
        <v>56.759404991217522</v>
      </c>
      <c r="Q68" s="22">
        <f t="shared" si="54"/>
        <v>503.281413693037</v>
      </c>
      <c r="R68" s="60">
        <f t="shared" si="55"/>
        <v>767.2246198094922</v>
      </c>
      <c r="S68" s="60">
        <f ca="1">AVERAGE(OFFSET($R$3,0,0,'Données projet'!$E$9+1,1))-AVERAGE(OFFSET($H$3,0,0,'Données projet'!$E$9+1,1))</f>
        <v>516.30971934066179</v>
      </c>
      <c r="T68" s="60">
        <f t="shared" si="34"/>
        <v>290.84286505723571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233.97435897435898</v>
      </c>
      <c r="AG68" s="13">
        <f>VLOOKUP(A68,'Données projet'!$A$61:$I$81,9,0)</f>
        <v>5.0000000000000053</v>
      </c>
      <c r="AH68" s="13">
        <f t="array" ref="AH68">INDEX(AG:AG,MIN(IF(ISNUMBER(AG68:AG264),ROW(AG68:AG264),"")))</f>
        <v>5.0000000000000053</v>
      </c>
      <c r="AI68" s="14">
        <f>IF('Données projet'!$A$62&gt;35,AI67+AH68-AQ67,IF(A68&lt;'Données projet'!$A$62,$AF$205^A68,IF(A68='Données projet'!$A$62,'Données projet'!$B$62,AI67+AH68-AQ67)))</f>
        <v>233.97435897435884</v>
      </c>
      <c r="AJ68" s="14">
        <f>AI68*VLOOKUP('Données projet'!$B$10,Paramètres!$A$1:$I$89,3,0)*VLOOKUP('Données projet'!$B$10,Paramètres!$A$1:$I$89,5,0)</f>
        <v>244.5499999999999</v>
      </c>
      <c r="AK68" s="14">
        <f t="shared" si="35"/>
        <v>59.417412537913442</v>
      </c>
      <c r="AL68" s="22">
        <f t="shared" ref="AL68:AL131" si="58">(AJ68+AK68)*0.475*44/12</f>
        <v>529.40991017019905</v>
      </c>
      <c r="AM68" s="60">
        <f t="shared" ref="AM68:AM131" si="59">AL68+(AD68+AE68)*44/12</f>
        <v>793.35311628665431</v>
      </c>
      <c r="AN68" s="60">
        <f ca="1">AVERAGE(OFFSET($AM$3,0,0,'Données projet'!$E$10+1,1))-AVERAGE(OFFSET($H$3,0,0,'Données projet'!$E$10+1,1))</f>
        <v>529.00505223594837</v>
      </c>
      <c r="AO68" s="60">
        <f t="shared" si="36"/>
        <v>321.23004033257985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254.8</v>
      </c>
      <c r="BB68" s="13">
        <f>VLOOKUP(A68,'Données projet'!$A$87:$I$107,9,0)</f>
        <v>4.3399999999999981</v>
      </c>
      <c r="BC68" s="13">
        <f t="array" ref="BC68">INDEX(BB:BB,MIN(IF(ISNUMBER(BB68:BB264),ROW(BB68:BB264),"")))</f>
        <v>4.3399999999999981</v>
      </c>
      <c r="BD68" s="13">
        <f>IF('Données projet'!$A$88&gt;35,BD67+BC68-BL67,IF(A68&lt;'Données projet'!$A$88,$BA$205^A68,IF(A68='Données projet'!$A$88,'Données projet'!$B$88,BD67+BC68-BL67)))</f>
        <v>254.80000000000013</v>
      </c>
      <c r="BE68" s="14">
        <f>BD68*VLOOKUP('Données projet'!$B$11,Paramètres!$A$1:$I$89,3,0)*VLOOKUP('Données projet'!$B$11,Paramètres!$A$1:$I$89,5,0)</f>
        <v>222.59328000000014</v>
      </c>
      <c r="BF68" s="14">
        <f t="shared" si="37"/>
        <v>54.678137323894518</v>
      </c>
      <c r="BG68" s="22">
        <f t="shared" ref="BG68:BG131" si="61">(BE68+BF68)*0.475*44/12</f>
        <v>482.91438517244984</v>
      </c>
      <c r="BH68" s="60">
        <f t="shared" ref="BH68:BH131" si="62">BG68+(AY68+AZ68)*44/12</f>
        <v>746.85759128890504</v>
      </c>
      <c r="BI68" s="60">
        <f ca="1">AVERAGE(OFFSET($BH$3,0,0,'Données projet'!$E$11+1,1))-AVERAGE(OFFSET($H$3,0,0,'Données projet'!$E$11+1,1))</f>
        <v>363.28611056308665</v>
      </c>
      <c r="BJ68" s="60">
        <f t="shared" si="38"/>
        <v>389.43647559455974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246.49559999999991</v>
      </c>
      <c r="CA68" s="14">
        <f t="shared" si="39"/>
        <v>59.834910912017278</v>
      </c>
      <c r="CB68" s="22">
        <f t="shared" ref="CB68:CB131" si="64">(BZ68+CA68)*0.475*44/12</f>
        <v>533.52563983842992</v>
      </c>
      <c r="CC68" s="60">
        <f t="shared" ref="CC68:CC131" si="65">CB68+(BT68+BU68)*44/12</f>
        <v>797.46884595488518</v>
      </c>
      <c r="CD68" s="60">
        <f ca="1">AVERAGE(OFFSET($CC$3,0,0,'Données projet'!$E$12+1,1))-AVERAGE(OFFSET($H$3,0,0,'Données projet'!$E$12+1,1))</f>
        <v>542.90832990875208</v>
      </c>
      <c r="CE68" s="60">
        <f t="shared" si="40"/>
        <v>304.94365539329362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9.6897435897435908</v>
      </c>
      <c r="CT68" s="13">
        <f>IF('Données projet'!$A$140&gt;35,CT67+CS68-DB67,IF(A68&lt;'Données projet'!$A$140,$CQ$205^A68,IF(A68='Données projet'!$A$140,'Données projet'!$B$140,CT67+CS68-DB67)))</f>
        <v>261.98717948717933</v>
      </c>
      <c r="CU68" s="18">
        <f>CT68*VLOOKUP('Données projet'!$B$13,Paramètres!$A$1:$I$89,3,0)*VLOOKUP('Données projet'!$B$13,Paramètres!$A$1:$I$89,5,0)</f>
        <v>122.60999999999993</v>
      </c>
      <c r="CV68" s="14">
        <f t="shared" si="41"/>
        <v>32.282974526111182</v>
      </c>
      <c r="CW68" s="22">
        <f t="shared" ref="CW68:CW131" si="67">(CU68+CV68)*0.475*44/12</f>
        <v>269.77193063297682</v>
      </c>
      <c r="CX68" s="60">
        <f t="shared" ref="CX68:CX131" si="68">CW68+(CO68+CP68)*44/12</f>
        <v>533.71513674943208</v>
      </c>
      <c r="CY68" s="60">
        <f ca="1">AVERAGE(OFFSET($CX$3,0,0,'Données projet'!$E$13+1,1))-AVERAGE(OFFSET($H$3,0,0,'Données projet'!$E$13+1,1))</f>
        <v>277.77877239988635</v>
      </c>
      <c r="CZ68" s="60">
        <f t="shared" si="42"/>
        <v>164.65640238394164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175</v>
      </c>
      <c r="DM68" s="13">
        <f>VLOOKUP(A68,'Données projet'!$A$165:$I$185,9,0)</f>
        <v>3.9743589743589722</v>
      </c>
      <c r="DN68" s="13">
        <f t="array" ref="DN68">INDEX(DM:DM,MIN(IF(ISNUMBER(DM68:DM264),ROW(DM68:DM264),"")))</f>
        <v>3.9743589743589722</v>
      </c>
      <c r="DO68" s="13">
        <f>IF('Données projet'!$A$166&gt;35,DO67+DN68-DW67,IF(A68&lt;'Données projet'!$A$166,$DL$205^A68,IF(A68='Données projet'!$A$166,'Données projet'!$B$166,DO67+DN68-DW67)))</f>
        <v>174.99999999999991</v>
      </c>
      <c r="DP68" s="18">
        <f>DO68*VLOOKUP('Données projet'!$B$14,Paramètres!$A$1:$I$89,3,0)*VLOOKUP('Données projet'!$B$14,Paramètres!$A$1:$I$89,5,0)</f>
        <v>150.14999999999995</v>
      </c>
      <c r="DQ68" s="14">
        <f t="shared" si="43"/>
        <v>38.612671675922336</v>
      </c>
      <c r="DR68" s="22">
        <f t="shared" ref="DR68:DR131" si="70">(DP68+DQ68)*0.475*44/12</f>
        <v>328.76165316889802</v>
      </c>
      <c r="DS68" s="60">
        <f t="shared" ref="DS68:DS131" si="71">DR68+(DJ68+DK68)*44/12</f>
        <v>592.70485928535322</v>
      </c>
      <c r="DT68" s="60">
        <f ca="1">AVERAGE(OFFSET($DS$3,0,0,'Données projet'!$E$14+1,1))-AVERAGE(OFFSET($H$3,0,0,'Données projet'!$E$14+1,1))</f>
        <v>354.30160274624632</v>
      </c>
      <c r="DU68" s="60">
        <f t="shared" si="44"/>
        <v>218.8005329382452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229</v>
      </c>
      <c r="EH68" s="13">
        <f>VLOOKUP(A68,'Données projet'!$A$191:$I$211,9,0)</f>
        <v>7.2</v>
      </c>
      <c r="EI68" s="13">
        <f t="array" ref="EI68">INDEX(EH:EH,MIN(IF(ISNUMBER(EH68:EH264),ROW(EH68:EH264),"")))</f>
        <v>7.2</v>
      </c>
      <c r="EJ68" s="13">
        <f>IF('Données projet'!$A$192&gt;35,EJ67+EI68-ER67,IF(A68&lt;'Données projet'!$A$192,$EG$205^A68,IF(A68='Données projet'!$A$192,'Données projet'!$B$192,EJ67+EI68-ER67)))</f>
        <v>228.99999999999991</v>
      </c>
      <c r="EK68" s="18">
        <f>EJ68*VLOOKUP('Données projet'!$B$15,Paramètres!$A$1:$I$89,3,0)*VLOOKUP('Données projet'!$B$15,Paramètres!$A$1:$I$89,5,0)</f>
        <v>221.48879999999991</v>
      </c>
      <c r="EL68" s="14">
        <f t="shared" si="45"/>
        <v>54.43834191952984</v>
      </c>
      <c r="EM68" s="22">
        <f t="shared" ref="EM68:EM131" si="73">(EK68+EL68)*0.475*44/12</f>
        <v>480.57310550984766</v>
      </c>
      <c r="EN68" s="60">
        <f t="shared" ref="EN68:EN131" si="74">EM68+(EE68+EF68)*44/12</f>
        <v>744.51631162630292</v>
      </c>
      <c r="EO68" s="60">
        <f ca="1">AVERAGE(OFFSET($EN$3,0,0,'Données projet'!$E$15+1,1))-AVERAGE(OFFSET($H$3,0,0,'Données projet'!$E$15+1,1))</f>
        <v>496.33873798282525</v>
      </c>
      <c r="EP68" s="60">
        <f t="shared" si="46"/>
        <v>280.25465074992246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254.8</v>
      </c>
      <c r="FC68" s="13">
        <f>VLOOKUP(A68,'Données projet'!$A$217:$I$237,9,0)</f>
        <v>4.3399999999999981</v>
      </c>
      <c r="FD68" s="13">
        <f t="array" ref="FD68">INDEX(FC:FC,MIN(IF(ISNUMBER(FC68:FC264),ROW(FC68:FC264),"")))</f>
        <v>4.3399999999999981</v>
      </c>
      <c r="FE68" s="13">
        <f>IF('Données projet'!$A$218&gt;35,FE67+FD68-FM67,IF(A68&lt;'Données projet'!$A$218,$FB$205^A68,IF(A68='Données projet'!$A$218,'Données projet'!$B$218,FE67+FD68-FM67)))</f>
        <v>254.80000000000013</v>
      </c>
      <c r="FF68" s="18">
        <f>FE68*VLOOKUP('Données projet'!$B$16,Paramètres!$A$1:$I$89,3,0)*VLOOKUP('Données projet'!$B$16,Paramètres!$A$1:$I$89,5,0)</f>
        <v>206.69376000000011</v>
      </c>
      <c r="FG68" s="14">
        <f t="shared" si="47"/>
        <v>51.212423138937325</v>
      </c>
      <c r="FH68" s="22">
        <f t="shared" ref="FH68:FH131" si="76">(FF68+FG68)*0.475*44/12</f>
        <v>449.186602300316</v>
      </c>
      <c r="FI68" s="60">
        <f t="shared" ref="FI68:FI131" si="77">FH68+(EZ68+FA68)*44/12</f>
        <v>713.1298084167712</v>
      </c>
      <c r="FJ68" s="60">
        <f ca="1">AVERAGE(OFFSET($FI$3,0,0,'Données projet'!$E$16+1,1))-AVERAGE(OFFSET($H$3,0,0,'Données projet'!$E$16+1,1))</f>
        <v>341.66430955115521</v>
      </c>
      <c r="FK68" s="60">
        <f t="shared" si="48"/>
        <v>366.15174925159192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254.8</v>
      </c>
      <c r="FX68" s="13">
        <f>VLOOKUP(A68,'Données projet'!$A$243:$I$263,9,0)</f>
        <v>4.3399999999999981</v>
      </c>
      <c r="FY68" s="13">
        <f t="array" ref="FY68">INDEX(FX:FX,MIN(IF(ISNUMBER(FX68:FX264),ROW(FX68:FX264),"")))</f>
        <v>4.3399999999999981</v>
      </c>
      <c r="FZ68" s="13">
        <f>IF('Données projet'!$A$244&gt;35,FZ67+FY68-GH67,IF(A68&lt;'Données projet'!$A$244,$FW$205^A68,IF(A68='Données projet'!$A$244,'Données projet'!$B$244,FZ67+FY68-GH67)))</f>
        <v>254.80000000000013</v>
      </c>
      <c r="GA68" s="18">
        <f>FZ68*VLOOKUP('Données projet'!$B$17,Paramètres!$A$1:$I$89,3,0)*VLOOKUP('Données projet'!$B$17,Paramètres!$A$1:$I$89,5,0)</f>
        <v>186.8193600000001</v>
      </c>
      <c r="GB68" s="14">
        <f t="shared" si="49"/>
        <v>46.836069092125975</v>
      </c>
      <c r="GC68" s="22">
        <f t="shared" ref="GC68:GC131" si="79">(GA68+GB68)*0.475*44/12</f>
        <v>406.94987233545288</v>
      </c>
      <c r="GD68" s="60">
        <f t="shared" ref="GD68:GD131" si="80">GC68+(FU68+FV68)*44/12</f>
        <v>670.89307845190808</v>
      </c>
      <c r="GE68" s="60">
        <f ca="1">AVERAGE(OFFSET($GD$3,0,0,'Données projet'!$E$17+1,1))-AVERAGE(OFFSET($H$3,0,0,'Données projet'!$E$17+1,1))</f>
        <v>314.58662400031631</v>
      </c>
      <c r="GF68" s="60">
        <f t="shared" si="50"/>
        <v>336.99073123405981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4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239.10119999999995</v>
      </c>
      <c r="P69" s="14">
        <f t="shared" ref="P69:P132" si="87">EXP(-1.0587+0.8836*LN(O69)+0.284)</f>
        <v>58.246107075777331</v>
      </c>
      <c r="Q69" s="22">
        <f t="shared" si="54"/>
        <v>517.87989315697871</v>
      </c>
      <c r="R69" s="60">
        <f t="shared" si="55"/>
        <v>782.33295227416579</v>
      </c>
      <c r="S69" s="60">
        <f ca="1">AVERAGE(OFFSET($R$3,0,0,'Données projet'!$E$9+1,1))-AVERAGE(OFFSET($H$3,0,0,'Données projet'!$E$9+1,1))</f>
        <v>516.30971934066179</v>
      </c>
      <c r="T69" s="60">
        <f t="shared" ref="T69:T132" si="88">$T$3</f>
        <v>290.84286505723571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4.8717948717948669</v>
      </c>
      <c r="AI69" s="14">
        <f>IF('Données projet'!$A$62&gt;35,AI68+AH69-AQ68,IF(A69&lt;'Données projet'!$A$62,$AF$205^A69,IF(A69='Données projet'!$A$62,'Données projet'!$B$62,AI68+AH69-AQ68)))</f>
        <v>238.8461538461537</v>
      </c>
      <c r="AJ69" s="14">
        <f>AI69*VLOOKUP('Données projet'!$B$10,Paramètres!$A$1:$I$89,3,0)*VLOOKUP('Données projet'!$B$10,Paramètres!$A$1:$I$89,5,0)</f>
        <v>249.64199999999988</v>
      </c>
      <c r="AK69" s="14">
        <f t="shared" ref="AK69:AK132" si="89">EXP(-1.0587+0.8836*LN(AJ69)+0.284)</f>
        <v>60.509274148016289</v>
      </c>
      <c r="AL69" s="22">
        <f t="shared" si="58"/>
        <v>540.18013580779473</v>
      </c>
      <c r="AM69" s="60">
        <f t="shared" si="59"/>
        <v>804.63319492498181</v>
      </c>
      <c r="AN69" s="60">
        <f ca="1">AVERAGE(OFFSET($AM$3,0,0,'Données projet'!$E$10+1,1))-AVERAGE(OFFSET($H$3,0,0,'Données projet'!$E$10+1,1))</f>
        <v>529.00505223594837</v>
      </c>
      <c r="AO69" s="60">
        <f t="shared" ref="AO69:AO132" si="90">$AO$3</f>
        <v>321.23004033257985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3.7599999999999909</v>
      </c>
      <c r="BD69" s="13">
        <f>IF('Données projet'!$A$88&gt;35,BD68+BC69-BL68,IF(A69&lt;'Données projet'!$A$88,$BA$205^A69,IF(A69='Données projet'!$A$88,'Données projet'!$B$88,BD68+BC69-BL68)))</f>
        <v>258.56000000000012</v>
      </c>
      <c r="BE69" s="14">
        <f>BD69*VLOOKUP('Données projet'!$B$11,Paramètres!$A$1:$I$89,3,0)*VLOOKUP('Données projet'!$B$11,Paramètres!$A$1:$I$89,5,0)</f>
        <v>225.87801600000014</v>
      </c>
      <c r="BF69" s="14">
        <f t="shared" ref="BF69:BF132" si="91">EXP(-1.0587+0.8836*LN(BE69)+0.284)</f>
        <v>55.390476328358808</v>
      </c>
      <c r="BG69" s="22">
        <f t="shared" si="61"/>
        <v>489.87595747189181</v>
      </c>
      <c r="BH69" s="60">
        <f t="shared" si="62"/>
        <v>754.32901658907895</v>
      </c>
      <c r="BI69" s="60">
        <f ca="1">AVERAGE(OFFSET($BH$3,0,0,'Données projet'!$E$11+1,1))-AVERAGE(OFFSET($H$3,0,0,'Données projet'!$E$11+1,1))</f>
        <v>363.28611056308665</v>
      </c>
      <c r="BJ69" s="60">
        <f t="shared" ref="BJ69:BJ132" si="92">$BJ$3</f>
        <v>389.43647559455974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235.79999999999993</v>
      </c>
      <c r="BZ69" s="14">
        <f>BY69*VLOOKUP('Données projet'!$B$12,Paramètres!$A$1:$I$89,3,0)*VLOOKUP('Données projet'!$B$12,Paramètres!$A$1:$I$89,5,0)</f>
        <v>253.81511999999992</v>
      </c>
      <c r="CA69" s="14">
        <f t="shared" ref="CA69:CA132" si="93">EXP(-1.0587+0.8836*LN(BZ69)+0.284)</f>
        <v>61.402169885153235</v>
      </c>
      <c r="CB69" s="22">
        <f t="shared" si="64"/>
        <v>549.00344654997514</v>
      </c>
      <c r="CC69" s="60">
        <f t="shared" si="65"/>
        <v>813.45650566716222</v>
      </c>
      <c r="CD69" s="60">
        <f ca="1">AVERAGE(OFFSET($CC$3,0,0,'Données projet'!$E$12+1,1))-AVERAGE(OFFSET($H$3,0,0,'Données projet'!$E$12+1,1))</f>
        <v>542.90832990875208</v>
      </c>
      <c r="CE69" s="60">
        <f t="shared" ref="CE69:CE132" si="94">$CE$3</f>
        <v>304.94365539329362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9.6897435897435908</v>
      </c>
      <c r="CT69" s="13">
        <f>IF('Données projet'!$A$140&gt;35,CT68+CS69-DB68,IF(A69&lt;'Données projet'!$A$140,$CQ$205^A69,IF(A69='Données projet'!$A$140,'Données projet'!$B$140,CT68+CS69-DB68)))</f>
        <v>271.67692307692295</v>
      </c>
      <c r="CU69" s="18">
        <f>CT69*VLOOKUP('Données projet'!$B$13,Paramètres!$A$1:$I$89,3,0)*VLOOKUP('Données projet'!$B$13,Paramètres!$A$1:$I$89,5,0)</f>
        <v>127.14479999999995</v>
      </c>
      <c r="CV69" s="14">
        <f t="shared" ref="CV69:CV132" si="95">EXP(-1.0587+0.8836*LN(CU69)+0.284)</f>
        <v>33.335756139335082</v>
      </c>
      <c r="CW69" s="22">
        <f t="shared" si="67"/>
        <v>279.50363527600848</v>
      </c>
      <c r="CX69" s="60">
        <f t="shared" si="68"/>
        <v>543.95669439319556</v>
      </c>
      <c r="CY69" s="60">
        <f ca="1">AVERAGE(OFFSET($CX$3,0,0,'Données projet'!$E$13+1,1))-AVERAGE(OFFSET($H$3,0,0,'Données projet'!$E$13+1,1))</f>
        <v>277.77877239988635</v>
      </c>
      <c r="CZ69" s="60">
        <f t="shared" ref="CZ69:CZ132" si="96">$CZ$3</f>
        <v>164.65640238394164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3.8461538461538454</v>
      </c>
      <c r="DO69" s="13">
        <f>IF('Données projet'!$A$166&gt;35,DO68+DN69-DW68,IF(A69&lt;'Données projet'!$A$166,$DL$205^A69,IF(A69='Données projet'!$A$166,'Données projet'!$B$166,DO68+DN69-DW68)))</f>
        <v>178.84615384615375</v>
      </c>
      <c r="DP69" s="18">
        <f>DO69*VLOOKUP('Données projet'!$B$14,Paramètres!$A$1:$I$89,3,0)*VLOOKUP('Données projet'!$B$14,Paramètres!$A$1:$I$89,5,0)</f>
        <v>153.44999999999993</v>
      </c>
      <c r="DQ69" s="14">
        <f t="shared" ref="DQ69:DQ132" si="97">EXP(-1.0587+0.8836*LN(DP69)+0.284)</f>
        <v>39.36156987993818</v>
      </c>
      <c r="DR69" s="22">
        <f t="shared" si="70"/>
        <v>335.81348420755882</v>
      </c>
      <c r="DS69" s="60">
        <f t="shared" si="71"/>
        <v>600.26654332474595</v>
      </c>
      <c r="DT69" s="60">
        <f ca="1">AVERAGE(OFFSET($DS$3,0,0,'Données projet'!$E$14+1,1))-AVERAGE(OFFSET($H$3,0,0,'Données projet'!$E$14+1,1))</f>
        <v>354.30160274624632</v>
      </c>
      <c r="DU69" s="60">
        <f t="shared" ref="DU69:DU132" si="98">$DU$3</f>
        <v>218.8005329382452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6.8</v>
      </c>
      <c r="EJ69" s="13">
        <f>IF('Données projet'!$A$192&gt;35,EJ68+EI69-ER68,IF(A69&lt;'Données projet'!$A$192,$EG$205^A69,IF(A69='Données projet'!$A$192,'Données projet'!$B$192,EJ68+EI69-ER68)))</f>
        <v>235.79999999999993</v>
      </c>
      <c r="EK69" s="18">
        <f>EJ69*VLOOKUP('Données projet'!$B$15,Paramètres!$A$1:$I$89,3,0)*VLOOKUP('Données projet'!$B$15,Paramètres!$A$1:$I$89,5,0)</f>
        <v>228.06575999999993</v>
      </c>
      <c r="EL69" s="14">
        <f t="shared" ref="EL69:EL132" si="99">EXP(-1.0587+0.8836*LN(EK69)+0.284)</f>
        <v>55.864248276798108</v>
      </c>
      <c r="EM69" s="22">
        <f t="shared" si="73"/>
        <v>494.51143108208981</v>
      </c>
      <c r="EN69" s="60">
        <f t="shared" si="74"/>
        <v>758.96449019927695</v>
      </c>
      <c r="EO69" s="60">
        <f ca="1">AVERAGE(OFFSET($EN$3,0,0,'Données projet'!$E$15+1,1))-AVERAGE(OFFSET($H$3,0,0,'Données projet'!$E$15+1,1))</f>
        <v>496.33873798282525</v>
      </c>
      <c r="EP69" s="60">
        <f t="shared" ref="EP69:EP132" si="100">$EP$3</f>
        <v>280.25465074992246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3.7599999999999909</v>
      </c>
      <c r="FE69" s="13">
        <f>IF('Données projet'!$A$218&gt;35,FE68+FD69-FM68,IF(A69&lt;'Données projet'!$A$218,$FB$205^A69,IF(A69='Données projet'!$A$218,'Données projet'!$B$218,FE68+FD69-FM68)))</f>
        <v>258.56000000000012</v>
      </c>
      <c r="FF69" s="18">
        <f>FE69*VLOOKUP('Données projet'!$B$16,Paramètres!$A$1:$I$89,3,0)*VLOOKUP('Données projet'!$B$16,Paramètres!$A$1:$I$89,5,0)</f>
        <v>209.7438720000001</v>
      </c>
      <c r="FG69" s="14">
        <f t="shared" ref="FG69:FG132" si="101">EXP(-1.0587+0.8836*LN(FF69)+0.284)</f>
        <v>51.879611311403657</v>
      </c>
      <c r="FH69" s="22">
        <f t="shared" si="76"/>
        <v>455.66090010069485</v>
      </c>
      <c r="FI69" s="60">
        <f t="shared" si="77"/>
        <v>720.11395921788198</v>
      </c>
      <c r="FJ69" s="60">
        <f ca="1">AVERAGE(OFFSET($FI$3,0,0,'Données projet'!$E$16+1,1))-AVERAGE(OFFSET($H$3,0,0,'Données projet'!$E$16+1,1))</f>
        <v>341.66430955115521</v>
      </c>
      <c r="FK69" s="60">
        <f t="shared" ref="FK69:FK132" si="102">$FK$3</f>
        <v>366.15174925159192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3.7599999999999909</v>
      </c>
      <c r="FZ69" s="13">
        <f>IF('Données projet'!$A$244&gt;35,FZ68+FY69-GH68,IF(A69&lt;'Données projet'!$A$244,$FW$205^A69,IF(A69='Données projet'!$A$244,'Données projet'!$B$244,FZ68+FY69-GH68)))</f>
        <v>258.56000000000012</v>
      </c>
      <c r="GA69" s="18">
        <f>FZ69*VLOOKUP('Données projet'!$B$17,Paramètres!$A$1:$I$89,3,0)*VLOOKUP('Données projet'!$B$17,Paramètres!$A$1:$I$89,5,0)</f>
        <v>189.57619200000008</v>
      </c>
      <c r="GB69" s="14">
        <f t="shared" ref="GB69:GB132" si="103">EXP(-1.0587+0.8836*LN(GA69)+0.284)</f>
        <v>47.446242745856559</v>
      </c>
      <c r="GC69" s="22">
        <f t="shared" si="79"/>
        <v>412.8140738490336</v>
      </c>
      <c r="GD69" s="60">
        <f t="shared" si="80"/>
        <v>677.26713296622074</v>
      </c>
      <c r="GE69" s="60">
        <f ca="1">AVERAGE(OFFSET($GD$3,0,0,'Données projet'!$E$17+1,1))-AVERAGE(OFFSET($H$3,0,0,'Données projet'!$E$17+1,1))</f>
        <v>314.58662400031631</v>
      </c>
      <c r="GF69" s="60">
        <f t="shared" ref="GF69:GF132" si="104">$GF$3</f>
        <v>336.99073123405981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4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245.99639999999997</v>
      </c>
      <c r="P70" s="14">
        <f t="shared" si="87"/>
        <v>59.72782632026442</v>
      </c>
      <c r="Q70" s="22">
        <f t="shared" si="54"/>
        <v>532.46969417446041</v>
      </c>
      <c r="R70" s="60">
        <f t="shared" si="55"/>
        <v>797.42376148267726</v>
      </c>
      <c r="S70" s="60">
        <f ca="1">AVERAGE(OFFSET($R$3,0,0,'Données projet'!$E$9+1,1))-AVERAGE(OFFSET($H$3,0,0,'Données projet'!$E$9+1,1))</f>
        <v>516.30971934066179</v>
      </c>
      <c r="T70" s="60">
        <f t="shared" si="88"/>
        <v>290.84286505723571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4.8717948717948669</v>
      </c>
      <c r="AI70" s="14">
        <f>IF('Données projet'!$A$62&gt;35,AI69+AH70-AQ69,IF(A70&lt;'Données projet'!$A$62,$AF$205^A70,IF(A70='Données projet'!$A$62,'Données projet'!$B$62,AI69+AH70-AQ69)))</f>
        <v>243.71794871794856</v>
      </c>
      <c r="AJ70" s="14">
        <f>AI70*VLOOKUP('Données projet'!$B$10,Paramètres!$A$1:$I$89,3,0)*VLOOKUP('Données projet'!$B$10,Paramètres!$A$1:$I$89,5,0)</f>
        <v>254.73399999999987</v>
      </c>
      <c r="AK70" s="14">
        <f t="shared" si="89"/>
        <v>61.598546307129801</v>
      </c>
      <c r="AL70" s="22">
        <f t="shared" si="58"/>
        <v>550.94585148491763</v>
      </c>
      <c r="AM70" s="60">
        <f t="shared" si="59"/>
        <v>815.89991879313447</v>
      </c>
      <c r="AN70" s="60">
        <f ca="1">AVERAGE(OFFSET($AM$3,0,0,'Données projet'!$E$10+1,1))-AVERAGE(OFFSET($H$3,0,0,'Données projet'!$E$10+1,1))</f>
        <v>529.00505223594837</v>
      </c>
      <c r="AO70" s="60">
        <f t="shared" si="90"/>
        <v>321.23004033257985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3.7599999999999909</v>
      </c>
      <c r="BD70" s="13">
        <f>IF('Données projet'!$A$88&gt;35,BD69+BC70-BL69,IF(A70&lt;'Données projet'!$A$88,$BA$205^A70,IF(A70='Données projet'!$A$88,'Données projet'!$B$88,BD69+BC70-BL69)))</f>
        <v>262.32000000000011</v>
      </c>
      <c r="BE70" s="14">
        <f>BD70*VLOOKUP('Données projet'!$B$11,Paramètres!$A$1:$I$89,3,0)*VLOOKUP('Données projet'!$B$11,Paramètres!$A$1:$I$89,5,0)</f>
        <v>229.1627520000001</v>
      </c>
      <c r="BF70" s="14">
        <f t="shared" si="91"/>
        <v>56.101610533032222</v>
      </c>
      <c r="BG70" s="22">
        <f t="shared" si="61"/>
        <v>496.83543141169798</v>
      </c>
      <c r="BH70" s="60">
        <f t="shared" si="62"/>
        <v>761.78949871991495</v>
      </c>
      <c r="BI70" s="60">
        <f ca="1">AVERAGE(OFFSET($BH$3,0,0,'Données projet'!$E$11+1,1))-AVERAGE(OFFSET($H$3,0,0,'Données projet'!$E$11+1,1))</f>
        <v>363.28611056308665</v>
      </c>
      <c r="BJ70" s="60">
        <f t="shared" si="92"/>
        <v>389.43647559455974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242.59999999999994</v>
      </c>
      <c r="BZ70" s="14">
        <f>BY70*VLOOKUP('Données projet'!$B$12,Paramètres!$A$1:$I$89,3,0)*VLOOKUP('Données projet'!$B$12,Paramètres!$A$1:$I$89,5,0)</f>
        <v>261.13463999999993</v>
      </c>
      <c r="CA70" s="14">
        <f t="shared" si="93"/>
        <v>62.964176023241265</v>
      </c>
      <c r="CB70" s="22">
        <f t="shared" si="64"/>
        <v>564.47210457381163</v>
      </c>
      <c r="CC70" s="60">
        <f t="shared" si="65"/>
        <v>829.42617188202848</v>
      </c>
      <c r="CD70" s="60">
        <f ca="1">AVERAGE(OFFSET($CC$3,0,0,'Données projet'!$E$12+1,1))-AVERAGE(OFFSET($H$3,0,0,'Données projet'!$E$12+1,1))</f>
        <v>542.90832990875208</v>
      </c>
      <c r="CE70" s="60">
        <f t="shared" si="94"/>
        <v>304.94365539329362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9.6897435897435908</v>
      </c>
      <c r="CT70" s="13">
        <f>IF('Données projet'!$A$140&gt;35,CT69+CS70-DB69,IF(A70&lt;'Données projet'!$A$140,$CQ$205^A70,IF(A70='Données projet'!$A$140,'Données projet'!$B$140,CT69+CS70-DB69)))</f>
        <v>281.36666666666656</v>
      </c>
      <c r="CU70" s="18">
        <f>CT70*VLOOKUP('Données projet'!$B$13,Paramètres!$A$1:$I$89,3,0)*VLOOKUP('Données projet'!$B$13,Paramètres!$A$1:$I$89,5,0)</f>
        <v>131.67959999999997</v>
      </c>
      <c r="CV70" s="14">
        <f t="shared" si="95"/>
        <v>34.38417513752983</v>
      </c>
      <c r="CW70" s="22">
        <f t="shared" si="67"/>
        <v>289.22774169786436</v>
      </c>
      <c r="CX70" s="60">
        <f t="shared" si="68"/>
        <v>554.18180900608127</v>
      </c>
      <c r="CY70" s="60">
        <f ca="1">AVERAGE(OFFSET($CX$3,0,0,'Données projet'!$E$13+1,1))-AVERAGE(OFFSET($H$3,0,0,'Données projet'!$E$13+1,1))</f>
        <v>277.77877239988635</v>
      </c>
      <c r="CZ70" s="60">
        <f t="shared" si="96"/>
        <v>164.65640238394164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3.8461538461538454</v>
      </c>
      <c r="DO70" s="13">
        <f>IF('Données projet'!$A$166&gt;35,DO69+DN70-DW69,IF(A70&lt;'Données projet'!$A$166,$DL$205^A70,IF(A70='Données projet'!$A$166,'Données projet'!$B$166,DO69+DN70-DW69)))</f>
        <v>182.69230769230759</v>
      </c>
      <c r="DP70" s="18">
        <f>DO70*VLOOKUP('Données projet'!$B$14,Paramètres!$A$1:$I$89,3,0)*VLOOKUP('Données projet'!$B$14,Paramètres!$A$1:$I$89,5,0)</f>
        <v>156.74999999999994</v>
      </c>
      <c r="DQ70" s="14">
        <f t="shared" si="97"/>
        <v>40.108595614480713</v>
      </c>
      <c r="DR70" s="22">
        <f t="shared" si="70"/>
        <v>342.86205402855381</v>
      </c>
      <c r="DS70" s="60">
        <f t="shared" si="71"/>
        <v>607.81612133677072</v>
      </c>
      <c r="DT70" s="60">
        <f ca="1">AVERAGE(OFFSET($DS$3,0,0,'Données projet'!$E$14+1,1))-AVERAGE(OFFSET($H$3,0,0,'Données projet'!$E$14+1,1))</f>
        <v>354.30160274624632</v>
      </c>
      <c r="DU70" s="60">
        <f t="shared" si="98"/>
        <v>218.8005329382452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6.8</v>
      </c>
      <c r="EJ70" s="13">
        <f>IF('Données projet'!$A$192&gt;35,EJ69+EI70-ER69,IF(A70&lt;'Données projet'!$A$192,$EG$205^A70,IF(A70='Données projet'!$A$192,'Données projet'!$B$192,EJ69+EI70-ER69)))</f>
        <v>242.59999999999994</v>
      </c>
      <c r="EK70" s="18">
        <f>EJ70*VLOOKUP('Données projet'!$B$15,Paramètres!$A$1:$I$89,3,0)*VLOOKUP('Données projet'!$B$15,Paramètres!$A$1:$I$89,5,0)</f>
        <v>234.64271999999994</v>
      </c>
      <c r="EL70" s="14">
        <f t="shared" si="99"/>
        <v>57.285375557336316</v>
      </c>
      <c r="EM70" s="22">
        <f t="shared" si="73"/>
        <v>508.44143309569387</v>
      </c>
      <c r="EN70" s="60">
        <f t="shared" si="74"/>
        <v>773.39550040391077</v>
      </c>
      <c r="EO70" s="60">
        <f ca="1">AVERAGE(OFFSET($EN$3,0,0,'Données projet'!$E$15+1,1))-AVERAGE(OFFSET($H$3,0,0,'Données projet'!$E$15+1,1))</f>
        <v>496.33873798282525</v>
      </c>
      <c r="EP70" s="60">
        <f t="shared" si="100"/>
        <v>280.25465074992246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3.7599999999999909</v>
      </c>
      <c r="FE70" s="13">
        <f>IF('Données projet'!$A$218&gt;35,FE69+FD70-FM69,IF(A70&lt;'Données projet'!$A$218,$FB$205^A70,IF(A70='Données projet'!$A$218,'Données projet'!$B$218,FE69+FD70-FM69)))</f>
        <v>262.32000000000011</v>
      </c>
      <c r="FF70" s="18">
        <f>FE70*VLOOKUP('Données projet'!$B$16,Paramètres!$A$1:$I$89,3,0)*VLOOKUP('Données projet'!$B$16,Paramètres!$A$1:$I$89,5,0)</f>
        <v>212.79398400000008</v>
      </c>
      <c r="FG70" s="14">
        <f t="shared" si="101"/>
        <v>52.545671049001854</v>
      </c>
      <c r="FH70" s="22">
        <f t="shared" si="76"/>
        <v>462.13323254367833</v>
      </c>
      <c r="FI70" s="60">
        <f t="shared" si="77"/>
        <v>727.0872998518953</v>
      </c>
      <c r="FJ70" s="60">
        <f ca="1">AVERAGE(OFFSET($FI$3,0,0,'Données projet'!$E$16+1,1))-AVERAGE(OFFSET($H$3,0,0,'Données projet'!$E$16+1,1))</f>
        <v>341.66430955115521</v>
      </c>
      <c r="FK70" s="60">
        <f t="shared" si="102"/>
        <v>366.15174925159192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3.7599999999999909</v>
      </c>
      <c r="FZ70" s="13">
        <f>IF('Données projet'!$A$244&gt;35,FZ69+FY70-GH69,IF(A70&lt;'Données projet'!$A$244,$FW$205^A70,IF(A70='Données projet'!$A$244,'Données projet'!$B$244,FZ69+FY70-GH69)))</f>
        <v>262.32000000000011</v>
      </c>
      <c r="GA70" s="18">
        <f>FZ70*VLOOKUP('Données projet'!$B$17,Paramètres!$A$1:$I$89,3,0)*VLOOKUP('Données projet'!$B$17,Paramètres!$A$1:$I$89,5,0)</f>
        <v>192.33302400000008</v>
      </c>
      <c r="GB70" s="14">
        <f t="shared" si="103"/>
        <v>48.055384395041912</v>
      </c>
      <c r="GC70" s="22">
        <f t="shared" si="79"/>
        <v>418.6764779546981</v>
      </c>
      <c r="GD70" s="60">
        <f t="shared" si="80"/>
        <v>683.63054526291501</v>
      </c>
      <c r="GE70" s="60">
        <f ca="1">AVERAGE(OFFSET($GD$3,0,0,'Données projet'!$E$17+1,1))-AVERAGE(OFFSET($H$3,0,0,'Données projet'!$E$17+1,1))</f>
        <v>314.58662400031631</v>
      </c>
      <c r="GF70" s="60">
        <f t="shared" si="104"/>
        <v>336.99073123405981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4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252.89159999999998</v>
      </c>
      <c r="P71" s="14">
        <f t="shared" si="87"/>
        <v>61.204718436590312</v>
      </c>
      <c r="Q71" s="22">
        <f t="shared" si="54"/>
        <v>547.05108794372802</v>
      </c>
      <c r="R71" s="60">
        <f t="shared" si="55"/>
        <v>812.49747207094686</v>
      </c>
      <c r="S71" s="60">
        <f ca="1">AVERAGE(OFFSET($R$3,0,0,'Données projet'!$E$9+1,1))-AVERAGE(OFFSET($H$3,0,0,'Données projet'!$E$9+1,1))</f>
        <v>516.30971934066179</v>
      </c>
      <c r="T71" s="60">
        <f t="shared" si="88"/>
        <v>290.84286505723571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4.8717948717948669</v>
      </c>
      <c r="AI71" s="14">
        <f>IF('Données projet'!$A$62&gt;35,AI70+AH71-AQ70,IF(A71&lt;'Données projet'!$A$62,$AF$205^A71,IF(A71='Données projet'!$A$62,'Données projet'!$B$62,AI70+AH71-AQ70)))</f>
        <v>248.58974358974342</v>
      </c>
      <c r="AJ71" s="14">
        <f>AI71*VLOOKUP('Données projet'!$B$10,Paramètres!$A$1:$I$89,3,0)*VLOOKUP('Données projet'!$B$10,Paramètres!$A$1:$I$89,5,0)</f>
        <v>259.82599999999985</v>
      </c>
      <c r="AK71" s="14">
        <f t="shared" si="89"/>
        <v>62.685286742684056</v>
      </c>
      <c r="AL71" s="22">
        <f t="shared" si="58"/>
        <v>561.70715774350776</v>
      </c>
      <c r="AM71" s="60">
        <f t="shared" si="59"/>
        <v>827.1535418707266</v>
      </c>
      <c r="AN71" s="60">
        <f ca="1">AVERAGE(OFFSET($AM$3,0,0,'Données projet'!$E$10+1,1))-AVERAGE(OFFSET($H$3,0,0,'Données projet'!$E$10+1,1))</f>
        <v>529.00505223594837</v>
      </c>
      <c r="AO71" s="60">
        <f t="shared" si="90"/>
        <v>321.23004033257985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3.7599999999999909</v>
      </c>
      <c r="BD71" s="13">
        <f>IF('Données projet'!$A$88&gt;35,BD70+BC71-BL70,IF(A71&lt;'Données projet'!$A$88,$BA$205^A71,IF(A71='Données projet'!$A$88,'Données projet'!$B$88,BD70+BC71-BL70)))</f>
        <v>266.0800000000001</v>
      </c>
      <c r="BE71" s="14">
        <f>BD71*VLOOKUP('Données projet'!$B$11,Paramètres!$A$1:$I$89,3,0)*VLOOKUP('Données projet'!$B$11,Paramètres!$A$1:$I$89,5,0)</f>
        <v>232.44748800000013</v>
      </c>
      <c r="BF71" s="14">
        <f t="shared" si="91"/>
        <v>56.811559202463812</v>
      </c>
      <c r="BG71" s="22">
        <f t="shared" si="61"/>
        <v>503.79284054429132</v>
      </c>
      <c r="BH71" s="60">
        <f t="shared" si="62"/>
        <v>769.2392246715101</v>
      </c>
      <c r="BI71" s="60">
        <f ca="1">AVERAGE(OFFSET($BH$3,0,0,'Données projet'!$E$11+1,1))-AVERAGE(OFFSET($H$3,0,0,'Données projet'!$E$11+1,1))</f>
        <v>363.28611056308665</v>
      </c>
      <c r="BJ71" s="60">
        <f t="shared" si="92"/>
        <v>389.43647559455974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249.39999999999995</v>
      </c>
      <c r="BZ71" s="14">
        <f>BY71*VLOOKUP('Données projet'!$B$12,Paramètres!$A$1:$I$89,3,0)*VLOOKUP('Données projet'!$B$12,Paramètres!$A$1:$I$89,5,0)</f>
        <v>268.45415999999994</v>
      </c>
      <c r="CA71" s="14">
        <f t="shared" si="93"/>
        <v>64.521093475436089</v>
      </c>
      <c r="CB71" s="22">
        <f t="shared" si="64"/>
        <v>579.93189980305101</v>
      </c>
      <c r="CC71" s="60">
        <f t="shared" si="65"/>
        <v>845.37828393026984</v>
      </c>
      <c r="CD71" s="60">
        <f ca="1">AVERAGE(OFFSET($CC$3,0,0,'Données projet'!$E$12+1,1))-AVERAGE(OFFSET($H$3,0,0,'Données projet'!$E$12+1,1))</f>
        <v>542.90832990875208</v>
      </c>
      <c r="CE71" s="60">
        <f t="shared" si="94"/>
        <v>304.94365539329362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9.6897435897435908</v>
      </c>
      <c r="CT71" s="13">
        <f>IF('Données projet'!$A$140&gt;35,CT70+CS71-DB70,IF(A71&lt;'Données projet'!$A$140,$CQ$205^A71,IF(A71='Données projet'!$A$140,'Données projet'!$B$140,CT70+CS71-DB70)))</f>
        <v>291.05641025641017</v>
      </c>
      <c r="CU71" s="18">
        <f>CT71*VLOOKUP('Données projet'!$B$13,Paramètres!$A$1:$I$89,3,0)*VLOOKUP('Données projet'!$B$13,Paramètres!$A$1:$I$89,5,0)</f>
        <v>136.21439999999996</v>
      </c>
      <c r="CV71" s="14">
        <f t="shared" si="95"/>
        <v>35.428398980540805</v>
      </c>
      <c r="CW71" s="22">
        <f t="shared" si="67"/>
        <v>298.94454155777515</v>
      </c>
      <c r="CX71" s="60">
        <f t="shared" si="68"/>
        <v>564.39092568499404</v>
      </c>
      <c r="CY71" s="60">
        <f ca="1">AVERAGE(OFFSET($CX$3,0,0,'Données projet'!$E$13+1,1))-AVERAGE(OFFSET($H$3,0,0,'Données projet'!$E$13+1,1))</f>
        <v>277.77877239988635</v>
      </c>
      <c r="CZ71" s="60">
        <f t="shared" si="96"/>
        <v>164.65640238394164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3.8461538461538454</v>
      </c>
      <c r="DO71" s="13">
        <f>IF('Données projet'!$A$166&gt;35,DO70+DN71-DW70,IF(A71&lt;'Données projet'!$A$166,$DL$205^A71,IF(A71='Données projet'!$A$166,'Données projet'!$B$166,DO70+DN71-DW70)))</f>
        <v>186.53846153846143</v>
      </c>
      <c r="DP71" s="18">
        <f>DO71*VLOOKUP('Données projet'!$B$14,Paramètres!$A$1:$I$89,3,0)*VLOOKUP('Données projet'!$B$14,Paramètres!$A$1:$I$89,5,0)</f>
        <v>160.04999999999993</v>
      </c>
      <c r="DQ71" s="14">
        <f t="shared" si="97"/>
        <v>40.853792841174261</v>
      </c>
      <c r="DR71" s="22">
        <f t="shared" si="70"/>
        <v>349.90743919837837</v>
      </c>
      <c r="DS71" s="60">
        <f t="shared" si="71"/>
        <v>615.3538233255972</v>
      </c>
      <c r="DT71" s="60">
        <f ca="1">AVERAGE(OFFSET($DS$3,0,0,'Données projet'!$E$14+1,1))-AVERAGE(OFFSET($H$3,0,0,'Données projet'!$E$14+1,1))</f>
        <v>354.30160274624632</v>
      </c>
      <c r="DU71" s="60">
        <f t="shared" si="98"/>
        <v>218.8005329382452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6.8</v>
      </c>
      <c r="EJ71" s="13">
        <f>IF('Données projet'!$A$192&gt;35,EJ70+EI71-ER70,IF(A71&lt;'Données projet'!$A$192,$EG$205^A71,IF(A71='Données projet'!$A$192,'Données projet'!$B$192,EJ70+EI71-ER70)))</f>
        <v>249.39999999999995</v>
      </c>
      <c r="EK71" s="18">
        <f>EJ71*VLOOKUP('Données projet'!$B$15,Paramètres!$A$1:$I$89,3,0)*VLOOKUP('Données projet'!$B$15,Paramètres!$A$1:$I$89,5,0)</f>
        <v>241.21967999999995</v>
      </c>
      <c r="EL71" s="14">
        <f t="shared" si="99"/>
        <v>58.701873105526744</v>
      </c>
      <c r="EM71" s="22">
        <f t="shared" si="73"/>
        <v>522.36337165879229</v>
      </c>
      <c r="EN71" s="60">
        <f t="shared" si="74"/>
        <v>787.80975578601112</v>
      </c>
      <c r="EO71" s="60">
        <f ca="1">AVERAGE(OFFSET($EN$3,0,0,'Données projet'!$E$15+1,1))-AVERAGE(OFFSET($H$3,0,0,'Données projet'!$E$15+1,1))</f>
        <v>496.33873798282525</v>
      </c>
      <c r="EP71" s="60">
        <f t="shared" si="100"/>
        <v>280.25465074992246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3.7599999999999909</v>
      </c>
      <c r="FE71" s="13">
        <f>IF('Données projet'!$A$218&gt;35,FE70+FD71-FM70,IF(A71&lt;'Données projet'!$A$218,$FB$205^A71,IF(A71='Données projet'!$A$218,'Données projet'!$B$218,FE70+FD71-FM70)))</f>
        <v>266.0800000000001</v>
      </c>
      <c r="FF71" s="18">
        <f>FE71*VLOOKUP('Données projet'!$B$16,Paramètres!$A$1:$I$89,3,0)*VLOOKUP('Données projet'!$B$16,Paramètres!$A$1:$I$89,5,0)</f>
        <v>215.84409600000012</v>
      </c>
      <c r="FG71" s="14">
        <f t="shared" si="101"/>
        <v>53.210620395218292</v>
      </c>
      <c r="FH71" s="22">
        <f t="shared" si="76"/>
        <v>468.60363105500534</v>
      </c>
      <c r="FI71" s="60">
        <f t="shared" si="77"/>
        <v>734.05001518222412</v>
      </c>
      <c r="FJ71" s="60">
        <f ca="1">AVERAGE(OFFSET($FI$3,0,0,'Données projet'!$E$16+1,1))-AVERAGE(OFFSET($H$3,0,0,'Données projet'!$E$16+1,1))</f>
        <v>341.66430955115521</v>
      </c>
      <c r="FK71" s="60">
        <f t="shared" si="102"/>
        <v>366.15174925159192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3.7599999999999909</v>
      </c>
      <c r="FZ71" s="13">
        <f>IF('Données projet'!$A$244&gt;35,FZ70+FY71-GH70,IF(A71&lt;'Données projet'!$A$244,$FW$205^A71,IF(A71='Données projet'!$A$244,'Données projet'!$B$244,FZ70+FY71-GH70)))</f>
        <v>266.0800000000001</v>
      </c>
      <c r="GA71" s="18">
        <f>FZ71*VLOOKUP('Données projet'!$B$17,Paramètres!$A$1:$I$89,3,0)*VLOOKUP('Données projet'!$B$17,Paramètres!$A$1:$I$89,5,0)</f>
        <v>195.08985600000005</v>
      </c>
      <c r="GB71" s="14">
        <f t="shared" si="103"/>
        <v>48.663510541263612</v>
      </c>
      <c r="GC71" s="22">
        <f t="shared" si="79"/>
        <v>424.53711339270086</v>
      </c>
      <c r="GD71" s="60">
        <f t="shared" si="80"/>
        <v>689.98349751991964</v>
      </c>
      <c r="GE71" s="60">
        <f ca="1">AVERAGE(OFFSET($GD$3,0,0,'Données projet'!$E$17+1,1))-AVERAGE(OFFSET($H$3,0,0,'Données projet'!$E$17+1,1))</f>
        <v>314.58662400031631</v>
      </c>
      <c r="GF71" s="60">
        <f t="shared" si="104"/>
        <v>336.99073123405981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4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259.78679999999997</v>
      </c>
      <c r="P72" s="14">
        <f t="shared" si="87"/>
        <v>62.676930162260739</v>
      </c>
      <c r="Q72" s="22">
        <f t="shared" si="54"/>
        <v>561.62433003260401</v>
      </c>
      <c r="R72" s="60">
        <f t="shared" si="55"/>
        <v>827.55449038267056</v>
      </c>
      <c r="S72" s="60">
        <f ca="1">AVERAGE(OFFSET($R$3,0,0,'Données projet'!$E$9+1,1))-AVERAGE(OFFSET($H$3,0,0,'Données projet'!$E$9+1,1))</f>
        <v>516.30971934066179</v>
      </c>
      <c r="T72" s="60">
        <f t="shared" si="88"/>
        <v>290.84286505723571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4.8717948717948669</v>
      </c>
      <c r="AI72" s="14">
        <f>IF('Données projet'!$A$62&gt;35,AI71+AH72-AQ71,IF(A72&lt;'Données projet'!$A$62,$AF$205^A72,IF(A72='Données projet'!$A$62,'Données projet'!$B$62,AI71+AH72-AQ71)))</f>
        <v>253.46153846153828</v>
      </c>
      <c r="AJ72" s="14">
        <f>AI72*VLOOKUP('Données projet'!$B$10,Paramètres!$A$1:$I$89,3,0)*VLOOKUP('Données projet'!$B$10,Paramètres!$A$1:$I$89,5,0)</f>
        <v>264.91799999999984</v>
      </c>
      <c r="AK72" s="14">
        <f t="shared" si="89"/>
        <v>63.769550790039318</v>
      </c>
      <c r="AL72" s="22">
        <f t="shared" si="58"/>
        <v>572.4641509593182</v>
      </c>
      <c r="AM72" s="60">
        <f t="shared" si="59"/>
        <v>838.39431130938476</v>
      </c>
      <c r="AN72" s="60">
        <f ca="1">AVERAGE(OFFSET($AM$3,0,0,'Données projet'!$E$10+1,1))-AVERAGE(OFFSET($H$3,0,0,'Données projet'!$E$10+1,1))</f>
        <v>529.00505223594837</v>
      </c>
      <c r="AO72" s="60">
        <f t="shared" si="90"/>
        <v>321.23004033257985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3.7599999999999909</v>
      </c>
      <c r="BD72" s="13">
        <f>IF('Données projet'!$A$88&gt;35,BD71+BC72-BL71,IF(A72&lt;'Données projet'!$A$88,$BA$205^A72,IF(A72='Données projet'!$A$88,'Données projet'!$B$88,BD71+BC72-BL71)))</f>
        <v>269.84000000000009</v>
      </c>
      <c r="BE72" s="14">
        <f>BD72*VLOOKUP('Données projet'!$B$11,Paramètres!$A$1:$I$89,3,0)*VLOOKUP('Données projet'!$B$11,Paramètres!$A$1:$I$89,5,0)</f>
        <v>235.73222400000009</v>
      </c>
      <c r="BF72" s="14">
        <f t="shared" si="91"/>
        <v>57.520341025473186</v>
      </c>
      <c r="BG72" s="22">
        <f t="shared" si="61"/>
        <v>510.7482174193658</v>
      </c>
      <c r="BH72" s="60">
        <f t="shared" si="62"/>
        <v>776.67837776943236</v>
      </c>
      <c r="BI72" s="60">
        <f ca="1">AVERAGE(OFFSET($BH$3,0,0,'Données projet'!$E$11+1,1))-AVERAGE(OFFSET($H$3,0,0,'Données projet'!$E$11+1,1))</f>
        <v>363.28611056308665</v>
      </c>
      <c r="BJ72" s="60">
        <f t="shared" si="92"/>
        <v>389.43647559455974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256.19999999999993</v>
      </c>
      <c r="BZ72" s="14">
        <f>BY72*VLOOKUP('Données projet'!$B$12,Paramètres!$A$1:$I$89,3,0)*VLOOKUP('Données projet'!$B$12,Paramètres!$A$1:$I$89,5,0)</f>
        <v>275.7736799999999</v>
      </c>
      <c r="CA72" s="14">
        <f t="shared" si="93"/>
        <v>66.073076930208813</v>
      </c>
      <c r="CB72" s="22">
        <f t="shared" si="64"/>
        <v>595.38310165344672</v>
      </c>
      <c r="CC72" s="60">
        <f t="shared" si="65"/>
        <v>861.31326200351327</v>
      </c>
      <c r="CD72" s="60">
        <f ca="1">AVERAGE(OFFSET($CC$3,0,0,'Données projet'!$E$12+1,1))-AVERAGE(OFFSET($H$3,0,0,'Données projet'!$E$12+1,1))</f>
        <v>542.90832990875208</v>
      </c>
      <c r="CE72" s="60">
        <f t="shared" si="94"/>
        <v>304.94365539329362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300.74615384615385</v>
      </c>
      <c r="CR72" s="13">
        <f>VLOOKUP(A72,'Données projet'!$A$139:$I$159,9,0)</f>
        <v>9.6897435897435908</v>
      </c>
      <c r="CS72" s="13">
        <f t="array" ref="CS72">INDEX(CR:CR,MIN(IF(ISNUMBER(CR72:CR268),ROW(CR72:CR268),"")))</f>
        <v>9.6897435897435908</v>
      </c>
      <c r="CT72" s="13">
        <f>IF('Données projet'!$A$140&gt;35,CT71+CS72-DB71,IF(A72&lt;'Données projet'!$A$140,$CQ$205^A72,IF(A72='Données projet'!$A$140,'Données projet'!$B$140,CT71+CS72-DB71)))</f>
        <v>300.74615384615379</v>
      </c>
      <c r="CU72" s="18">
        <f>CT72*VLOOKUP('Données projet'!$B$13,Paramètres!$A$1:$I$89,3,0)*VLOOKUP('Données projet'!$B$13,Paramètres!$A$1:$I$89,5,0)</f>
        <v>140.74919999999997</v>
      </c>
      <c r="CV72" s="14">
        <f t="shared" si="95"/>
        <v>36.468583345471806</v>
      </c>
      <c r="CW72" s="22">
        <f t="shared" si="67"/>
        <v>308.65430599336338</v>
      </c>
      <c r="CX72" s="60">
        <f t="shared" si="68"/>
        <v>574.58446634342999</v>
      </c>
      <c r="CY72" s="60">
        <f ca="1">AVERAGE(OFFSET($CX$3,0,0,'Données projet'!$E$13+1,1))-AVERAGE(OFFSET($H$3,0,0,'Données projet'!$E$13+1,1))</f>
        <v>277.77877239988635</v>
      </c>
      <c r="CZ72" s="60">
        <f t="shared" si="96"/>
        <v>164.65640238394164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3.8461538461538454</v>
      </c>
      <c r="DO72" s="13">
        <f>IF('Données projet'!$A$166&gt;35,DO71+DN72-DW71,IF(A72&lt;'Données projet'!$A$166,$DL$205^A72,IF(A72='Données projet'!$A$166,'Données projet'!$B$166,DO71+DN72-DW71)))</f>
        <v>190.38461538461527</v>
      </c>
      <c r="DP72" s="18">
        <f>DO72*VLOOKUP('Données projet'!$B$14,Paramètres!$A$1:$I$89,3,0)*VLOOKUP('Données projet'!$B$14,Paramètres!$A$1:$I$89,5,0)</f>
        <v>163.34999999999994</v>
      </c>
      <c r="DQ72" s="14">
        <f t="shared" si="97"/>
        <v>41.59720360517764</v>
      </c>
      <c r="DR72" s="22">
        <f t="shared" si="70"/>
        <v>356.94971294568427</v>
      </c>
      <c r="DS72" s="60">
        <f t="shared" si="71"/>
        <v>622.87987329575083</v>
      </c>
      <c r="DT72" s="60">
        <f ca="1">AVERAGE(OFFSET($DS$3,0,0,'Données projet'!$E$14+1,1))-AVERAGE(OFFSET($H$3,0,0,'Données projet'!$E$14+1,1))</f>
        <v>354.30160274624632</v>
      </c>
      <c r="DU72" s="60">
        <f t="shared" si="98"/>
        <v>218.8005329382452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6.8</v>
      </c>
      <c r="EJ72" s="13">
        <f>IF('Données projet'!$A$192&gt;35,EJ71+EI72-ER71,IF(A72&lt;'Données projet'!$A$192,$EG$205^A72,IF(A72='Données projet'!$A$192,'Données projet'!$B$192,EJ71+EI72-ER71)))</f>
        <v>256.19999999999993</v>
      </c>
      <c r="EK72" s="18">
        <f>EJ72*VLOOKUP('Données projet'!$B$15,Paramètres!$A$1:$I$89,3,0)*VLOOKUP('Données projet'!$B$15,Paramètres!$A$1:$I$89,5,0)</f>
        <v>247.79663999999997</v>
      </c>
      <c r="EL72" s="14">
        <f t="shared" si="99"/>
        <v>60.113881658336368</v>
      </c>
      <c r="EM72" s="22">
        <f t="shared" si="73"/>
        <v>536.27749188826908</v>
      </c>
      <c r="EN72" s="60">
        <f t="shared" si="74"/>
        <v>802.20765223833564</v>
      </c>
      <c r="EO72" s="60">
        <f ca="1">AVERAGE(OFFSET($EN$3,0,0,'Données projet'!$E$15+1,1))-AVERAGE(OFFSET($H$3,0,0,'Données projet'!$E$15+1,1))</f>
        <v>496.33873798282525</v>
      </c>
      <c r="EP72" s="60">
        <f t="shared" si="100"/>
        <v>280.25465074992246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3.7599999999999909</v>
      </c>
      <c r="FE72" s="13">
        <f>IF('Données projet'!$A$218&gt;35,FE71+FD72-FM71,IF(A72&lt;'Données projet'!$A$218,$FB$205^A72,IF(A72='Données projet'!$A$218,'Données projet'!$B$218,FE71+FD72-FM71)))</f>
        <v>269.84000000000009</v>
      </c>
      <c r="FF72" s="18">
        <f>FE72*VLOOKUP('Données projet'!$B$16,Paramètres!$A$1:$I$89,3,0)*VLOOKUP('Données projet'!$B$16,Paramètres!$A$1:$I$89,5,0)</f>
        <v>218.89420800000011</v>
      </c>
      <c r="FG72" s="14">
        <f t="shared" si="101"/>
        <v>53.874476854302138</v>
      </c>
      <c r="FH72" s="22">
        <f t="shared" si="76"/>
        <v>475.07212612124312</v>
      </c>
      <c r="FI72" s="60">
        <f t="shared" si="77"/>
        <v>741.00228647130962</v>
      </c>
      <c r="FJ72" s="60">
        <f ca="1">AVERAGE(OFFSET($FI$3,0,0,'Données projet'!$E$16+1,1))-AVERAGE(OFFSET($H$3,0,0,'Données projet'!$E$16+1,1))</f>
        <v>341.66430955115521</v>
      </c>
      <c r="FK72" s="60">
        <f t="shared" si="102"/>
        <v>366.15174925159192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3.7599999999999909</v>
      </c>
      <c r="FZ72" s="13">
        <f>IF('Données projet'!$A$244&gt;35,FZ71+FY72-GH71,IF(A72&lt;'Données projet'!$A$244,$FW$205^A72,IF(A72='Données projet'!$A$244,'Données projet'!$B$244,FZ71+FY72-GH71)))</f>
        <v>269.84000000000009</v>
      </c>
      <c r="GA72" s="18">
        <f>FZ72*VLOOKUP('Données projet'!$B$17,Paramètres!$A$1:$I$89,3,0)*VLOOKUP('Données projet'!$B$17,Paramètres!$A$1:$I$89,5,0)</f>
        <v>197.84668800000006</v>
      </c>
      <c r="GB72" s="14">
        <f t="shared" si="103"/>
        <v>49.270637192946445</v>
      </c>
      <c r="GC72" s="22">
        <f t="shared" si="79"/>
        <v>430.39600804438186</v>
      </c>
      <c r="GD72" s="60">
        <f t="shared" si="80"/>
        <v>696.32616839444836</v>
      </c>
      <c r="GE72" s="60">
        <f ca="1">AVERAGE(OFFSET($GD$3,0,0,'Données projet'!$E$17+1,1))-AVERAGE(OFFSET($H$3,0,0,'Données projet'!$E$17+1,1))</f>
        <v>314.58662400031631</v>
      </c>
      <c r="GF72" s="60">
        <f t="shared" si="104"/>
        <v>336.99073123405981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4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266.68199999999996</v>
      </c>
      <c r="P73" s="14">
        <f t="shared" si="87"/>
        <v>64.144600001897771</v>
      </c>
      <c r="Q73" s="22">
        <f t="shared" si="54"/>
        <v>576.189661669972</v>
      </c>
      <c r="R73" s="60">
        <f t="shared" si="55"/>
        <v>842.59520580698154</v>
      </c>
      <c r="S73" s="60">
        <f ca="1">AVERAGE(OFFSET($R$3,0,0,'Données projet'!$E$9+1,1))-AVERAGE(OFFSET($H$3,0,0,'Données projet'!$E$9+1,1))</f>
        <v>516.30971934066179</v>
      </c>
      <c r="T73" s="60">
        <f t="shared" si="88"/>
        <v>290.84286505723571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258.33333333333331</v>
      </c>
      <c r="AG73" s="13">
        <f>VLOOKUP(A73,'Données projet'!$A$61:$I$81,9,0)</f>
        <v>4.8717948717948669</v>
      </c>
      <c r="AH73" s="13">
        <f t="array" ref="AH73">INDEX(AG:AG,MIN(IF(ISNUMBER(AG73:AG269),ROW(AG73:AG269),"")))</f>
        <v>4.8717948717948669</v>
      </c>
      <c r="AI73" s="14">
        <f>IF('Données projet'!$A$62&gt;35,AI72+AH73-AQ72,IF(A73&lt;'Données projet'!$A$62,$AF$205^A73,IF(A73='Données projet'!$A$62,'Données projet'!$B$62,AI72+AH73-AQ72)))</f>
        <v>258.33333333333314</v>
      </c>
      <c r="AJ73" s="14">
        <f>AI73*VLOOKUP('Données projet'!$B$10,Paramètres!$A$1:$I$89,3,0)*VLOOKUP('Données projet'!$B$10,Paramètres!$A$1:$I$89,5,0)</f>
        <v>270.00999999999982</v>
      </c>
      <c r="AK73" s="14">
        <f t="shared" si="89"/>
        <v>64.851391535647195</v>
      </c>
      <c r="AL73" s="22">
        <f t="shared" si="58"/>
        <v>583.21692359125188</v>
      </c>
      <c r="AM73" s="60">
        <f t="shared" si="59"/>
        <v>849.62246772826143</v>
      </c>
      <c r="AN73" s="60">
        <f ca="1">AVERAGE(OFFSET($AM$3,0,0,'Données projet'!$E$10+1,1))-AVERAGE(OFFSET($H$3,0,0,'Données projet'!$E$10+1,1))</f>
        <v>529.00505223594837</v>
      </c>
      <c r="AO73" s="60">
        <f t="shared" si="90"/>
        <v>321.23004033257985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23.076923076923077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273.59999999999997</v>
      </c>
      <c r="BB73" s="13">
        <f>VLOOKUP(A73,'Données projet'!$A$87:$I$107,9,0)</f>
        <v>3.7599999999999909</v>
      </c>
      <c r="BC73" s="13">
        <f t="array" ref="BC73">INDEX(BB:BB,MIN(IF(ISNUMBER(BB73:BB269),ROW(BB73:BB269),"")))</f>
        <v>3.7599999999999909</v>
      </c>
      <c r="BD73" s="13">
        <f>IF('Données projet'!$A$88&gt;35,BD72+BC73-BL72,IF(A73&lt;'Données projet'!$A$88,$BA$205^A73,IF(A73='Données projet'!$A$88,'Données projet'!$B$88,BD72+BC73-BL72)))</f>
        <v>273.60000000000008</v>
      </c>
      <c r="BE73" s="14">
        <f>BD73*VLOOKUP('Données projet'!$B$11,Paramètres!$A$1:$I$89,3,0)*VLOOKUP('Données projet'!$B$11,Paramètres!$A$1:$I$89,5,0)</f>
        <v>239.0169600000001</v>
      </c>
      <c r="BF73" s="14">
        <f t="shared" si="91"/>
        <v>58.22797414013467</v>
      </c>
      <c r="BG73" s="22">
        <f t="shared" si="61"/>
        <v>517.70159362740139</v>
      </c>
      <c r="BH73" s="60">
        <f t="shared" si="62"/>
        <v>784.10713776441094</v>
      </c>
      <c r="BI73" s="60">
        <f ca="1">AVERAGE(OFFSET($BH$3,0,0,'Données projet'!$E$11+1,1))-AVERAGE(OFFSET($H$3,0,0,'Données projet'!$E$11+1,1))</f>
        <v>363.28611056308665</v>
      </c>
      <c r="BJ73" s="60">
        <f t="shared" si="92"/>
        <v>389.43647559455974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20.9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262.99999999999994</v>
      </c>
      <c r="BZ73" s="14">
        <f>BY73*VLOOKUP('Données projet'!$B$12,Paramètres!$A$1:$I$89,3,0)*VLOOKUP('Données projet'!$B$12,Paramètres!$A$1:$I$89,5,0)</f>
        <v>283.09319999999991</v>
      </c>
      <c r="CA73" s="14">
        <f t="shared" si="93"/>
        <v>67.620272397048666</v>
      </c>
      <c r="CB73" s="22">
        <f t="shared" si="64"/>
        <v>610.82596442485954</v>
      </c>
      <c r="CC73" s="60">
        <f t="shared" si="65"/>
        <v>877.23150856186908</v>
      </c>
      <c r="CD73" s="60">
        <f ca="1">AVERAGE(OFFSET($CC$3,0,0,'Données projet'!$E$12+1,1))-AVERAGE(OFFSET($H$3,0,0,'Données projet'!$E$12+1,1))</f>
        <v>542.90832990875208</v>
      </c>
      <c r="CE73" s="60">
        <f t="shared" si="94"/>
        <v>304.94365539329362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9.9551282051282044</v>
      </c>
      <c r="CT73" s="13">
        <f>IF('Données projet'!$A$140&gt;35,CT72+CS73-DB72,IF(A73&lt;'Données projet'!$A$140,$CQ$205^A73,IF(A73='Données projet'!$A$140,'Données projet'!$B$140,CT72+CS73-DB72)))</f>
        <v>310.70128205128196</v>
      </c>
      <c r="CU73" s="18">
        <f>CT73*VLOOKUP('Données projet'!$B$13,Paramètres!$A$1:$I$89,3,0)*VLOOKUP('Données projet'!$B$13,Paramètres!$A$1:$I$89,5,0)</f>
        <v>145.40819999999997</v>
      </c>
      <c r="CV73" s="14">
        <f t="shared" si="95"/>
        <v>37.533201941228626</v>
      </c>
      <c r="CW73" s="22">
        <f t="shared" si="67"/>
        <v>318.62294171430648</v>
      </c>
      <c r="CX73" s="60">
        <f t="shared" si="68"/>
        <v>585.02848585131596</v>
      </c>
      <c r="CY73" s="60">
        <f ca="1">AVERAGE(OFFSET($CX$3,0,0,'Données projet'!$E$13+1,1))-AVERAGE(OFFSET($H$3,0,0,'Données projet'!$E$13+1,1))</f>
        <v>277.77877239988635</v>
      </c>
      <c r="CZ73" s="60">
        <f t="shared" si="96"/>
        <v>164.65640238394164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194.23076923076923</v>
      </c>
      <c r="DM73" s="13">
        <f>VLOOKUP(A73,'Données projet'!$A$165:$I$185,9,0)</f>
        <v>3.8461538461538454</v>
      </c>
      <c r="DN73" s="13">
        <f t="array" ref="DN73">INDEX(DM:DM,MIN(IF(ISNUMBER(DM73:DM269),ROW(DM73:DM269),"")))</f>
        <v>3.8461538461538454</v>
      </c>
      <c r="DO73" s="13">
        <f>IF('Données projet'!$A$166&gt;35,DO72+DN73-DW72,IF(A73&lt;'Données projet'!$A$166,$DL$205^A73,IF(A73='Données projet'!$A$166,'Données projet'!$B$166,DO72+DN73-DW72)))</f>
        <v>194.23076923076911</v>
      </c>
      <c r="DP73" s="18">
        <f>DO73*VLOOKUP('Données projet'!$B$14,Paramètres!$A$1:$I$89,3,0)*VLOOKUP('Données projet'!$B$14,Paramètres!$A$1:$I$89,5,0)</f>
        <v>166.64999999999992</v>
      </c>
      <c r="DQ73" s="14">
        <f t="shared" si="97"/>
        <v>42.338868155730808</v>
      </c>
      <c r="DR73" s="22">
        <f t="shared" si="70"/>
        <v>363.98894537123101</v>
      </c>
      <c r="DS73" s="60">
        <f t="shared" si="71"/>
        <v>630.39448950824044</v>
      </c>
      <c r="DT73" s="60">
        <f ca="1">AVERAGE(OFFSET($DS$3,0,0,'Données projet'!$E$14+1,1))-AVERAGE(OFFSET($H$3,0,0,'Données projet'!$E$14+1,1))</f>
        <v>354.30160274624632</v>
      </c>
      <c r="DU73" s="60">
        <f t="shared" si="98"/>
        <v>218.8005329382452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18.589743589743588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263</v>
      </c>
      <c r="EH73" s="13">
        <f>VLOOKUP(A73,'Données projet'!$A$191:$I$211,9,0)</f>
        <v>6.8</v>
      </c>
      <c r="EI73" s="13">
        <f t="array" ref="EI73">INDEX(EH:EH,MIN(IF(ISNUMBER(EH73:EH269),ROW(EH73:EH269),"")))</f>
        <v>6.8</v>
      </c>
      <c r="EJ73" s="13">
        <f>IF('Données projet'!$A$192&gt;35,EJ72+EI73-ER72,IF(A73&lt;'Données projet'!$A$192,$EG$205^A73,IF(A73='Données projet'!$A$192,'Données projet'!$B$192,EJ72+EI73-ER72)))</f>
        <v>262.99999999999994</v>
      </c>
      <c r="EK73" s="18">
        <f>EJ73*VLOOKUP('Données projet'!$B$15,Paramètres!$A$1:$I$89,3,0)*VLOOKUP('Données projet'!$B$15,Paramètres!$A$1:$I$89,5,0)</f>
        <v>254.37359999999998</v>
      </c>
      <c r="EL73" s="14">
        <f t="shared" si="99"/>
        <v>61.521534056516209</v>
      </c>
      <c r="EM73" s="22">
        <f t="shared" si="73"/>
        <v>550.1840251484324</v>
      </c>
      <c r="EN73" s="60">
        <f t="shared" si="74"/>
        <v>816.58956928544194</v>
      </c>
      <c r="EO73" s="60">
        <f ca="1">AVERAGE(OFFSET($EN$3,0,0,'Données projet'!$E$15+1,1))-AVERAGE(OFFSET($H$3,0,0,'Données projet'!$E$15+1,1))</f>
        <v>496.33873798282525</v>
      </c>
      <c r="EP73" s="60">
        <f t="shared" si="100"/>
        <v>280.25465074992246</v>
      </c>
      <c r="EQ73" s="16">
        <f>IF(ISNA(VLOOKUP(A73,'Données projet'!$A$191:$I$211,3,0)),0,VLOOKUP(A73,'Données projet'!$A$191:$I$211,3,0))</f>
        <v>5</v>
      </c>
      <c r="ER73" s="16">
        <f>IF(ISNA(VLOOKUP(A73,'Données projet'!$A$191:$I$211,4,0)),0,VLOOKUP(A73,'Données projet'!$A$191:$I$211,4,0))</f>
        <v>42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273.59999999999997</v>
      </c>
      <c r="FC73" s="13">
        <f>VLOOKUP(A73,'Données projet'!$A$217:$I$237,9,0)</f>
        <v>3.7599999999999909</v>
      </c>
      <c r="FD73" s="13">
        <f t="array" ref="FD73">INDEX(FC:FC,MIN(IF(ISNUMBER(FC73:FC269),ROW(FC73:FC269),"")))</f>
        <v>3.7599999999999909</v>
      </c>
      <c r="FE73" s="13">
        <f>IF('Données projet'!$A$218&gt;35,FE72+FD73-FM72,IF(A73&lt;'Données projet'!$A$218,$FB$205^A73,IF(A73='Données projet'!$A$218,'Données projet'!$B$218,FE72+FD73-FM72)))</f>
        <v>273.60000000000008</v>
      </c>
      <c r="FF73" s="18">
        <f>FE73*VLOOKUP('Données projet'!$B$16,Paramètres!$A$1:$I$89,3,0)*VLOOKUP('Données projet'!$B$16,Paramètres!$A$1:$I$89,5,0)</f>
        <v>221.94432000000009</v>
      </c>
      <c r="FG73" s="14">
        <f t="shared" si="101"/>
        <v>54.537257414665774</v>
      </c>
      <c r="FH73" s="22">
        <f t="shared" si="76"/>
        <v>481.538747330543</v>
      </c>
      <c r="FI73" s="60">
        <f t="shared" si="77"/>
        <v>747.94429146755249</v>
      </c>
      <c r="FJ73" s="60">
        <f ca="1">AVERAGE(OFFSET($FI$3,0,0,'Données projet'!$E$16+1,1))-AVERAGE(OFFSET($H$3,0,0,'Données projet'!$E$16+1,1))</f>
        <v>341.66430955115521</v>
      </c>
      <c r="FK73" s="60">
        <f t="shared" si="102"/>
        <v>366.15174925159192</v>
      </c>
      <c r="FL73" s="16">
        <f>IF(ISNA(VLOOKUP(A73,'Données projet'!$A$217:$I$237,3,0)),0,VLOOKUP(A73,'Données projet'!$A$217:$I$237,3,0))</f>
        <v>6</v>
      </c>
      <c r="FM73" s="16">
        <f>IF(ISNA(VLOOKUP(A73,'Données projet'!$A$217:$I$237,4,0)),0,VLOOKUP(A73,'Données projet'!$A$217:$I$237,4,0))</f>
        <v>20.9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273.59999999999997</v>
      </c>
      <c r="FX73" s="13">
        <f>VLOOKUP(A73,'Données projet'!$A$243:$I$263,9,0)</f>
        <v>3.7599999999999909</v>
      </c>
      <c r="FY73" s="13">
        <f t="array" ref="FY73">INDEX(FX:FX,MIN(IF(ISNUMBER(FX73:FX269),ROW(FX73:FX269),"")))</f>
        <v>3.7599999999999909</v>
      </c>
      <c r="FZ73" s="13">
        <f>IF('Données projet'!$A$244&gt;35,FZ72+FY73-GH72,IF(A73&lt;'Données projet'!$A$244,$FW$205^A73,IF(A73='Données projet'!$A$244,'Données projet'!$B$244,FZ72+FY73-GH72)))</f>
        <v>273.60000000000008</v>
      </c>
      <c r="GA73" s="18">
        <f>FZ73*VLOOKUP('Données projet'!$B$17,Paramètres!$A$1:$I$89,3,0)*VLOOKUP('Données projet'!$B$17,Paramètres!$A$1:$I$89,5,0)</f>
        <v>200.60352000000006</v>
      </c>
      <c r="GB73" s="14">
        <f t="shared" si="103"/>
        <v>49.87677988675906</v>
      </c>
      <c r="GC73" s="22">
        <f t="shared" si="79"/>
        <v>436.25318896943878</v>
      </c>
      <c r="GD73" s="60">
        <f t="shared" si="80"/>
        <v>702.65873310644827</v>
      </c>
      <c r="GE73" s="60">
        <f ca="1">AVERAGE(OFFSET($GD$3,0,0,'Données projet'!$E$17+1,1))-AVERAGE(OFFSET($H$3,0,0,'Données projet'!$E$17+1,1))</f>
        <v>314.58662400031631</v>
      </c>
      <c r="GF73" s="60">
        <f t="shared" si="104"/>
        <v>336.99073123405981</v>
      </c>
      <c r="GG73" s="16">
        <f>IF(ISNA(VLOOKUP(A73,'Données projet'!$A$243:$I$263,3,0)),0,VLOOKUP(A73,'Données projet'!$A$243:$I$263,3,0))</f>
        <v>6</v>
      </c>
      <c r="GH73" s="16">
        <f>IF(ISNA(VLOOKUP(A73,'Données projet'!$A$243:$I$263,4,0)),0,VLOOKUP(A73,'Données projet'!$A$243:$I$263,4,0))</f>
        <v>20.9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4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230.38079999999994</v>
      </c>
      <c r="P74" s="14">
        <f t="shared" si="87"/>
        <v>56.365011465139979</v>
      </c>
      <c r="Q74" s="22">
        <f t="shared" si="54"/>
        <v>499.41562163511867</v>
      </c>
      <c r="R74" s="60">
        <f t="shared" si="55"/>
        <v>766.28830271316656</v>
      </c>
      <c r="S74" s="60">
        <f ca="1">AVERAGE(OFFSET($R$3,0,0,'Données projet'!$E$9+1,1))-AVERAGE(OFFSET($H$3,0,0,'Données projet'!$E$9+1,1))</f>
        <v>516.30971934066179</v>
      </c>
      <c r="T74" s="60">
        <f t="shared" si="88"/>
        <v>290.84286505723571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4.4871794871794863</v>
      </c>
      <c r="AI74" s="14">
        <f>IF('Données projet'!$A$62&gt;35,AI73+AH74-AQ73,IF(A74&lt;'Données projet'!$A$62,$AF$205^A74,IF(A74='Données projet'!$A$62,'Données projet'!$B$62,AI73+AH74-AQ73)))</f>
        <v>239.74358974358958</v>
      </c>
      <c r="AJ74" s="14">
        <f>AI74*VLOOKUP('Données projet'!$B$10,Paramètres!$A$1:$I$89,3,0)*VLOOKUP('Données projet'!$B$10,Paramètres!$A$1:$I$89,5,0)</f>
        <v>250.57999999999984</v>
      </c>
      <c r="AK74" s="14">
        <f t="shared" si="89"/>
        <v>60.710122367679979</v>
      </c>
      <c r="AL74" s="22">
        <f t="shared" si="58"/>
        <v>542.16362979037569</v>
      </c>
      <c r="AM74" s="60">
        <f t="shared" si="59"/>
        <v>809.0363108684237</v>
      </c>
      <c r="AN74" s="60">
        <f ca="1">AVERAGE(OFFSET($AM$3,0,0,'Données projet'!$E$10+1,1))-AVERAGE(OFFSET($H$3,0,0,'Données projet'!$E$10+1,1))</f>
        <v>529.00505223594837</v>
      </c>
      <c r="AO74" s="60">
        <f t="shared" si="90"/>
        <v>321.23004033257985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3.4000000000000172</v>
      </c>
      <c r="BD74" s="13">
        <f>IF('Données projet'!$A$88&gt;35,BD73+BC74-BL73,IF(A74&lt;'Données projet'!$A$88,$BA$205^A74,IF(A74='Données projet'!$A$88,'Données projet'!$B$88,BD73+BC74-BL73)))</f>
        <v>256.10000000000014</v>
      </c>
      <c r="BE74" s="14">
        <f>BD74*VLOOKUP('Données projet'!$B$11,Paramètres!$A$1:$I$89,3,0)*VLOOKUP('Données projet'!$B$11,Paramètres!$A$1:$I$89,5,0)</f>
        <v>223.72896000000014</v>
      </c>
      <c r="BF74" s="14">
        <f t="shared" si="91"/>
        <v>54.924562237784642</v>
      </c>
      <c r="BG74" s="22">
        <f t="shared" si="61"/>
        <v>485.32155123080855</v>
      </c>
      <c r="BH74" s="60">
        <f t="shared" si="62"/>
        <v>752.1942323088565</v>
      </c>
      <c r="BI74" s="60">
        <f ca="1">AVERAGE(OFFSET($BH$3,0,0,'Données projet'!$E$11+1,1))-AVERAGE(OFFSET($H$3,0,0,'Données projet'!$E$11+1,1))</f>
        <v>363.28611056308665</v>
      </c>
      <c r="BJ74" s="60">
        <f t="shared" si="92"/>
        <v>389.43647559455974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227.19999999999993</v>
      </c>
      <c r="BZ74" s="14">
        <f>BY74*VLOOKUP('Données projet'!$B$12,Paramètres!$A$1:$I$89,3,0)*VLOOKUP('Données projet'!$B$12,Paramètres!$A$1:$I$89,5,0)</f>
        <v>244.55807999999993</v>
      </c>
      <c r="CA74" s="14">
        <f t="shared" si="93"/>
        <v>59.419147189674156</v>
      </c>
      <c r="CB74" s="22">
        <f t="shared" si="64"/>
        <v>529.42700402201569</v>
      </c>
      <c r="CC74" s="60">
        <f t="shared" si="65"/>
        <v>796.2996851000637</v>
      </c>
      <c r="CD74" s="60">
        <f ca="1">AVERAGE(OFFSET($CC$3,0,0,'Données projet'!$E$12+1,1))-AVERAGE(OFFSET($H$3,0,0,'Données projet'!$E$12+1,1))</f>
        <v>542.90832990875208</v>
      </c>
      <c r="CE74" s="60">
        <f t="shared" si="94"/>
        <v>304.94365539329362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9.9551282051282044</v>
      </c>
      <c r="CT74" s="13">
        <f>IF('Données projet'!$A$140&gt;35,CT73+CS74-DB73,IF(A74&lt;'Données projet'!$A$140,$CQ$205^A74,IF(A74='Données projet'!$A$140,'Données projet'!$B$140,CT73+CS74-DB73)))</f>
        <v>320.65641025641014</v>
      </c>
      <c r="CU74" s="18">
        <f>CT74*VLOOKUP('Données projet'!$B$13,Paramètres!$A$1:$I$89,3,0)*VLOOKUP('Données projet'!$B$13,Paramètres!$A$1:$I$89,5,0)</f>
        <v>150.06719999999996</v>
      </c>
      <c r="CV74" s="14">
        <f t="shared" si="95"/>
        <v>38.593856663876636</v>
      </c>
      <c r="CW74" s="22">
        <f t="shared" si="67"/>
        <v>328.58467368958503</v>
      </c>
      <c r="CX74" s="60">
        <f t="shared" si="68"/>
        <v>595.45735476763298</v>
      </c>
      <c r="CY74" s="60">
        <f ca="1">AVERAGE(OFFSET($CX$3,0,0,'Données projet'!$E$13+1,1))-AVERAGE(OFFSET($H$3,0,0,'Données projet'!$E$13+1,1))</f>
        <v>277.77877239988635</v>
      </c>
      <c r="CZ74" s="60">
        <f t="shared" si="96"/>
        <v>164.65640238394164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3.4615384615384643</v>
      </c>
      <c r="DO74" s="13">
        <f>IF('Données projet'!$A$166&gt;35,DO73+DN74-DW73,IF(A74&lt;'Données projet'!$A$166,$DL$205^A74,IF(A74='Données projet'!$A$166,'Données projet'!$B$166,DO73+DN74-DW73)))</f>
        <v>179.10256410256397</v>
      </c>
      <c r="DP74" s="18">
        <f>DO74*VLOOKUP('Données projet'!$B$14,Paramètres!$A$1:$I$89,3,0)*VLOOKUP('Données projet'!$B$14,Paramètres!$A$1:$I$89,5,0)</f>
        <v>153.6699999999999</v>
      </c>
      <c r="DQ74" s="14">
        <f t="shared" si="97"/>
        <v>39.411429353242418</v>
      </c>
      <c r="DR74" s="22">
        <f t="shared" si="70"/>
        <v>336.28348945689703</v>
      </c>
      <c r="DS74" s="60">
        <f t="shared" si="71"/>
        <v>603.15617053494498</v>
      </c>
      <c r="DT74" s="60">
        <f ca="1">AVERAGE(OFFSET($DS$3,0,0,'Données projet'!$E$14+1,1))-AVERAGE(OFFSET($H$3,0,0,'Données projet'!$E$14+1,1))</f>
        <v>354.30160274624632</v>
      </c>
      <c r="DU74" s="60">
        <f t="shared" si="98"/>
        <v>218.8005329382452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6.2</v>
      </c>
      <c r="EJ74" s="13">
        <f>IF('Données projet'!$A$192&gt;35,EJ73+EI74-ER73,IF(A74&lt;'Données projet'!$A$192,$EG$205^A74,IF(A74='Données projet'!$A$192,'Données projet'!$B$192,EJ73+EI74-ER73)))</f>
        <v>227.19999999999993</v>
      </c>
      <c r="EK74" s="18">
        <f>EJ74*VLOOKUP('Données projet'!$B$15,Paramètres!$A$1:$I$89,3,0)*VLOOKUP('Données projet'!$B$15,Paramètres!$A$1:$I$89,5,0)</f>
        <v>219.74783999999994</v>
      </c>
      <c r="EL74" s="14">
        <f t="shared" si="99"/>
        <v>54.060076332940561</v>
      </c>
      <c r="EM74" s="22">
        <f t="shared" si="73"/>
        <v>476.88212094653812</v>
      </c>
      <c r="EN74" s="60">
        <f t="shared" si="74"/>
        <v>743.75480202458607</v>
      </c>
      <c r="EO74" s="60">
        <f ca="1">AVERAGE(OFFSET($EN$3,0,0,'Données projet'!$E$15+1,1))-AVERAGE(OFFSET($H$3,0,0,'Données projet'!$E$15+1,1))</f>
        <v>496.33873798282525</v>
      </c>
      <c r="EP74" s="60">
        <f t="shared" si="100"/>
        <v>280.25465074992246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3.4000000000000172</v>
      </c>
      <c r="FE74" s="13">
        <f>IF('Données projet'!$A$218&gt;35,FE73+FD74-FM73,IF(A74&lt;'Données projet'!$A$218,$FB$205^A74,IF(A74='Données projet'!$A$218,'Données projet'!$B$218,FE73+FD74-FM73)))</f>
        <v>256.10000000000014</v>
      </c>
      <c r="FF74" s="18">
        <f>FE74*VLOOKUP('Données projet'!$B$16,Paramètres!$A$1:$I$89,3,0)*VLOOKUP('Données projet'!$B$16,Paramètres!$A$1:$I$89,5,0)</f>
        <v>207.74832000000015</v>
      </c>
      <c r="FG74" s="14">
        <f t="shared" si="101"/>
        <v>51.443228678039056</v>
      </c>
      <c r="FH74" s="22">
        <f t="shared" si="76"/>
        <v>451.42528061425156</v>
      </c>
      <c r="FI74" s="60">
        <f t="shared" si="77"/>
        <v>718.29796169229951</v>
      </c>
      <c r="FJ74" s="60">
        <f ca="1">AVERAGE(OFFSET($FI$3,0,0,'Données projet'!$E$16+1,1))-AVERAGE(OFFSET($H$3,0,0,'Données projet'!$E$16+1,1))</f>
        <v>341.66430955115521</v>
      </c>
      <c r="FK74" s="60">
        <f t="shared" si="102"/>
        <v>366.15174925159192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3.4000000000000172</v>
      </c>
      <c r="FZ74" s="13">
        <f>IF('Données projet'!$A$244&gt;35,FZ73+FY74-GH73,IF(A74&lt;'Données projet'!$A$244,$FW$205^A74,IF(A74='Données projet'!$A$244,'Données projet'!$B$244,FZ73+FY74-GH73)))</f>
        <v>256.10000000000014</v>
      </c>
      <c r="GA74" s="18">
        <f>FZ74*VLOOKUP('Données projet'!$B$17,Paramètres!$A$1:$I$89,3,0)*VLOOKUP('Données projet'!$B$17,Paramètres!$A$1:$I$89,5,0)</f>
        <v>187.7725200000001</v>
      </c>
      <c r="GB74" s="14">
        <f t="shared" si="103"/>
        <v>47.047151159984438</v>
      </c>
      <c r="GC74" s="22">
        <f t="shared" si="79"/>
        <v>408.97759393697305</v>
      </c>
      <c r="GD74" s="60">
        <f t="shared" si="80"/>
        <v>675.850275015021</v>
      </c>
      <c r="GE74" s="60">
        <f ca="1">AVERAGE(OFFSET($GD$3,0,0,'Données projet'!$E$17+1,1))-AVERAGE(OFFSET($H$3,0,0,'Données projet'!$E$17+1,1))</f>
        <v>314.58662400031631</v>
      </c>
      <c r="GF74" s="60">
        <f t="shared" si="104"/>
        <v>336.99073123405981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4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236.66759999999994</v>
      </c>
      <c r="P75" s="14">
        <f t="shared" si="87"/>
        <v>57.721965974560838</v>
      </c>
      <c r="Q75" s="22">
        <f t="shared" si="54"/>
        <v>512.72849407235992</v>
      </c>
      <c r="R75" s="60">
        <f t="shared" si="55"/>
        <v>780.06020830988109</v>
      </c>
      <c r="S75" s="60">
        <f ca="1">AVERAGE(OFFSET($R$3,0,0,'Données projet'!$E$9+1,1))-AVERAGE(OFFSET($H$3,0,0,'Données projet'!$E$9+1,1))</f>
        <v>516.30971934066179</v>
      </c>
      <c r="T75" s="60">
        <f t="shared" si="88"/>
        <v>290.84286505723571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4.4871794871794863</v>
      </c>
      <c r="AI75" s="14">
        <f>IF('Données projet'!$A$62&gt;35,AI74+AH75-AQ74,IF(A75&lt;'Données projet'!$A$62,$AF$205^A75,IF(A75='Données projet'!$A$62,'Données projet'!$B$62,AI74+AH75-AQ74)))</f>
        <v>244.23076923076906</v>
      </c>
      <c r="AJ75" s="14">
        <f>AI75*VLOOKUP('Données projet'!$B$10,Paramètres!$A$1:$I$89,3,0)*VLOOKUP('Données projet'!$B$10,Paramètres!$A$1:$I$89,5,0)</f>
        <v>255.26999999999984</v>
      </c>
      <c r="AK75" s="14">
        <f t="shared" si="89"/>
        <v>61.713058280444663</v>
      </c>
      <c r="AL75" s="22">
        <f t="shared" si="58"/>
        <v>552.07882650510749</v>
      </c>
      <c r="AM75" s="60">
        <f t="shared" si="59"/>
        <v>819.41054074262865</v>
      </c>
      <c r="AN75" s="60">
        <f ca="1">AVERAGE(OFFSET($AM$3,0,0,'Données projet'!$E$10+1,1))-AVERAGE(OFFSET($H$3,0,0,'Données projet'!$E$10+1,1))</f>
        <v>529.00505223594837</v>
      </c>
      <c r="AO75" s="60">
        <f t="shared" si="90"/>
        <v>321.23004033257985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3.4000000000000172</v>
      </c>
      <c r="BD75" s="13">
        <f>IF('Données projet'!$A$88&gt;35,BD74+BC75-BL74,IF(A75&lt;'Données projet'!$A$88,$BA$205^A75,IF(A75='Données projet'!$A$88,'Données projet'!$B$88,BD74+BC75-BL74)))</f>
        <v>259.50000000000017</v>
      </c>
      <c r="BE75" s="14">
        <f>BD75*VLOOKUP('Données projet'!$B$11,Paramètres!$A$1:$I$89,3,0)*VLOOKUP('Données projet'!$B$11,Paramètres!$A$1:$I$89,5,0)</f>
        <v>226.69920000000016</v>
      </c>
      <c r="BF75" s="14">
        <f t="shared" si="91"/>
        <v>55.568372066903464</v>
      </c>
      <c r="BG75" s="22">
        <f t="shared" si="61"/>
        <v>491.61602134985714</v>
      </c>
      <c r="BH75" s="60">
        <f t="shared" si="62"/>
        <v>758.94773558737825</v>
      </c>
      <c r="BI75" s="60">
        <f ca="1">AVERAGE(OFFSET($BH$3,0,0,'Données projet'!$E$11+1,1))-AVERAGE(OFFSET($H$3,0,0,'Données projet'!$E$11+1,1))</f>
        <v>363.28611056308665</v>
      </c>
      <c r="BJ75" s="60">
        <f t="shared" si="92"/>
        <v>389.43647559455974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233.39999999999992</v>
      </c>
      <c r="BZ75" s="14">
        <f>BY75*VLOOKUP('Données projet'!$B$12,Paramètres!$A$1:$I$89,3,0)*VLOOKUP('Données projet'!$B$12,Paramètres!$A$1:$I$89,5,0)</f>
        <v>251.23175999999989</v>
      </c>
      <c r="CA75" s="14">
        <f t="shared" si="93"/>
        <v>60.849628220886878</v>
      </c>
      <c r="CB75" s="22">
        <f t="shared" si="64"/>
        <v>543.54175115137775</v>
      </c>
      <c r="CC75" s="60">
        <f t="shared" si="65"/>
        <v>810.87346538889892</v>
      </c>
      <c r="CD75" s="60">
        <f ca="1">AVERAGE(OFFSET($CC$3,0,0,'Données projet'!$E$12+1,1))-AVERAGE(OFFSET($H$3,0,0,'Données projet'!$E$12+1,1))</f>
        <v>542.90832990875208</v>
      </c>
      <c r="CE75" s="60">
        <f t="shared" si="94"/>
        <v>304.94365539329362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9.9551282051282044</v>
      </c>
      <c r="CT75" s="13">
        <f>IF('Données projet'!$A$140&gt;35,CT74+CS75-DB74,IF(A75&lt;'Données projet'!$A$140,$CQ$205^A75,IF(A75='Données projet'!$A$140,'Données projet'!$B$140,CT74+CS75-DB74)))</f>
        <v>330.61153846153832</v>
      </c>
      <c r="CU75" s="18">
        <f>CT75*VLOOKUP('Données projet'!$B$13,Paramètres!$A$1:$I$89,3,0)*VLOOKUP('Données projet'!$B$13,Paramètres!$A$1:$I$89,5,0)</f>
        <v>154.72619999999992</v>
      </c>
      <c r="CV75" s="14">
        <f t="shared" si="95"/>
        <v>39.650684697457002</v>
      </c>
      <c r="CW75" s="22">
        <f t="shared" si="67"/>
        <v>338.53974084807078</v>
      </c>
      <c r="CX75" s="60">
        <f t="shared" si="68"/>
        <v>605.87145508559183</v>
      </c>
      <c r="CY75" s="60">
        <f ca="1">AVERAGE(OFFSET($CX$3,0,0,'Données projet'!$E$13+1,1))-AVERAGE(OFFSET($H$3,0,0,'Données projet'!$E$13+1,1))</f>
        <v>277.77877239988635</v>
      </c>
      <c r="CZ75" s="60">
        <f t="shared" si="96"/>
        <v>164.65640238394164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3.4615384615384643</v>
      </c>
      <c r="DO75" s="13">
        <f>IF('Données projet'!$A$166&gt;35,DO74+DN75-DW74,IF(A75&lt;'Données projet'!$A$166,$DL$205^A75,IF(A75='Données projet'!$A$166,'Données projet'!$B$166,DO74+DN75-DW74)))</f>
        <v>182.56410256410243</v>
      </c>
      <c r="DP75" s="18">
        <f>DO75*VLOOKUP('Données projet'!$B$14,Paramètres!$A$1:$I$89,3,0)*VLOOKUP('Données projet'!$B$14,Paramètres!$A$1:$I$89,5,0)</f>
        <v>156.6399999999999</v>
      </c>
      <c r="DQ75" s="14">
        <f t="shared" si="97"/>
        <v>40.083724454547024</v>
      </c>
      <c r="DR75" s="22">
        <f t="shared" si="70"/>
        <v>342.62715342500252</v>
      </c>
      <c r="DS75" s="60">
        <f t="shared" si="71"/>
        <v>609.95886766252363</v>
      </c>
      <c r="DT75" s="60">
        <f ca="1">AVERAGE(OFFSET($DS$3,0,0,'Données projet'!$E$14+1,1))-AVERAGE(OFFSET($H$3,0,0,'Données projet'!$E$14+1,1))</f>
        <v>354.30160274624632</v>
      </c>
      <c r="DU75" s="60">
        <f t="shared" si="98"/>
        <v>218.8005329382452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6.2</v>
      </c>
      <c r="EJ75" s="13">
        <f>IF('Données projet'!$A$192&gt;35,EJ74+EI75-ER74,IF(A75&lt;'Données projet'!$A$192,$EG$205^A75,IF(A75='Données projet'!$A$192,'Données projet'!$B$192,EJ74+EI75-ER74)))</f>
        <v>233.39999999999992</v>
      </c>
      <c r="EK75" s="18">
        <f>EJ75*VLOOKUP('Données projet'!$B$15,Paramètres!$A$1:$I$89,3,0)*VLOOKUP('Données projet'!$B$15,Paramètres!$A$1:$I$89,5,0)</f>
        <v>225.74447999999992</v>
      </c>
      <c r="EL75" s="14">
        <f t="shared" si="99"/>
        <v>55.36154088431374</v>
      </c>
      <c r="EM75" s="22">
        <f t="shared" si="73"/>
        <v>489.59298637351299</v>
      </c>
      <c r="EN75" s="60">
        <f t="shared" si="74"/>
        <v>756.92470061103404</v>
      </c>
      <c r="EO75" s="60">
        <f ca="1">AVERAGE(OFFSET($EN$3,0,0,'Données projet'!$E$15+1,1))-AVERAGE(OFFSET($H$3,0,0,'Données projet'!$E$15+1,1))</f>
        <v>496.33873798282525</v>
      </c>
      <c r="EP75" s="60">
        <f t="shared" si="100"/>
        <v>280.25465074992246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3.4000000000000172</v>
      </c>
      <c r="FE75" s="13">
        <f>IF('Données projet'!$A$218&gt;35,FE74+FD75-FM74,IF(A75&lt;'Données projet'!$A$218,$FB$205^A75,IF(A75='Données projet'!$A$218,'Données projet'!$B$218,FE74+FD75-FM74)))</f>
        <v>259.50000000000017</v>
      </c>
      <c r="FF75" s="18">
        <f>FE75*VLOOKUP('Données projet'!$B$16,Paramètres!$A$1:$I$89,3,0)*VLOOKUP('Données projet'!$B$16,Paramètres!$A$1:$I$89,5,0)</f>
        <v>210.50640000000013</v>
      </c>
      <c r="FG75" s="14">
        <f t="shared" si="101"/>
        <v>52.04623132230482</v>
      </c>
      <c r="FH75" s="22">
        <f t="shared" si="76"/>
        <v>457.27916621968103</v>
      </c>
      <c r="FI75" s="60">
        <f t="shared" si="77"/>
        <v>724.61088045720214</v>
      </c>
      <c r="FJ75" s="60">
        <f ca="1">AVERAGE(OFFSET($FI$3,0,0,'Données projet'!$E$16+1,1))-AVERAGE(OFFSET($H$3,0,0,'Données projet'!$E$16+1,1))</f>
        <v>341.66430955115521</v>
      </c>
      <c r="FK75" s="60">
        <f t="shared" si="102"/>
        <v>366.15174925159192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3.4000000000000172</v>
      </c>
      <c r="FZ75" s="13">
        <f>IF('Données projet'!$A$244&gt;35,FZ74+FY75-GH74,IF(A75&lt;'Données projet'!$A$244,$FW$205^A75,IF(A75='Données projet'!$A$244,'Données projet'!$B$244,FZ74+FY75-GH74)))</f>
        <v>259.50000000000017</v>
      </c>
      <c r="GA75" s="18">
        <f>FZ75*VLOOKUP('Données projet'!$B$17,Paramètres!$A$1:$I$89,3,0)*VLOOKUP('Données projet'!$B$17,Paramètres!$A$1:$I$89,5,0)</f>
        <v>190.26540000000011</v>
      </c>
      <c r="GB75" s="14">
        <f t="shared" si="103"/>
        <v>47.598624255349414</v>
      </c>
      <c r="GC75" s="22">
        <f t="shared" si="79"/>
        <v>414.2798422447338</v>
      </c>
      <c r="GD75" s="60">
        <f t="shared" si="80"/>
        <v>681.61155648225485</v>
      </c>
      <c r="GE75" s="60">
        <f ca="1">AVERAGE(OFFSET($GD$3,0,0,'Données projet'!$E$17+1,1))-AVERAGE(OFFSET($H$3,0,0,'Données projet'!$E$17+1,1))</f>
        <v>314.58662400031631</v>
      </c>
      <c r="GF75" s="60">
        <f t="shared" si="104"/>
        <v>336.99073123405981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4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242.95439999999994</v>
      </c>
      <c r="P76" s="14">
        <f t="shared" si="87"/>
        <v>59.074730698078945</v>
      </c>
      <c r="Q76" s="22">
        <f t="shared" si="54"/>
        <v>526.034069299154</v>
      </c>
      <c r="R76" s="60">
        <f t="shared" si="55"/>
        <v>793.81685349707573</v>
      </c>
      <c r="S76" s="60">
        <f ca="1">AVERAGE(OFFSET($R$3,0,0,'Données projet'!$E$9+1,1))-AVERAGE(OFFSET($H$3,0,0,'Données projet'!$E$9+1,1))</f>
        <v>516.30971934066179</v>
      </c>
      <c r="T76" s="60">
        <f t="shared" si="88"/>
        <v>290.84286505723571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4.4871794871794863</v>
      </c>
      <c r="AI76" s="14">
        <f>IF('Données projet'!$A$62&gt;35,AI75+AH76-AQ75,IF(A76&lt;'Données projet'!$A$62,$AF$205^A76,IF(A76='Données projet'!$A$62,'Données projet'!$B$62,AI75+AH76-AQ75)))</f>
        <v>248.71794871794853</v>
      </c>
      <c r="AJ76" s="14">
        <f>AI76*VLOOKUP('Données projet'!$B$10,Paramètres!$A$1:$I$89,3,0)*VLOOKUP('Données projet'!$B$10,Paramètres!$A$1:$I$89,5,0)</f>
        <v>259.95999999999981</v>
      </c>
      <c r="AK76" s="14">
        <f t="shared" si="89"/>
        <v>62.713851496250946</v>
      </c>
      <c r="AL76" s="22">
        <f t="shared" si="58"/>
        <v>561.99029135597004</v>
      </c>
      <c r="AM76" s="60">
        <f t="shared" si="59"/>
        <v>829.77307555389189</v>
      </c>
      <c r="AN76" s="60">
        <f ca="1">AVERAGE(OFFSET($AM$3,0,0,'Données projet'!$E$10+1,1))-AVERAGE(OFFSET($H$3,0,0,'Données projet'!$E$10+1,1))</f>
        <v>529.00505223594837</v>
      </c>
      <c r="AO76" s="60">
        <f t="shared" si="90"/>
        <v>321.23004033257985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3.4000000000000172</v>
      </c>
      <c r="BD76" s="13">
        <f>IF('Données projet'!$A$88&gt;35,BD75+BC76-BL75,IF(A76&lt;'Données projet'!$A$88,$BA$205^A76,IF(A76='Données projet'!$A$88,'Données projet'!$B$88,BD75+BC76-BL75)))</f>
        <v>262.9000000000002</v>
      </c>
      <c r="BE76" s="14">
        <f>BD76*VLOOKUP('Données projet'!$B$11,Paramètres!$A$1:$I$89,3,0)*VLOOKUP('Données projet'!$B$11,Paramètres!$A$1:$I$89,5,0)</f>
        <v>229.66944000000021</v>
      </c>
      <c r="BF76" s="14">
        <f t="shared" si="91"/>
        <v>56.211200748862041</v>
      </c>
      <c r="BG76" s="22">
        <f t="shared" si="61"/>
        <v>497.90878263760169</v>
      </c>
      <c r="BH76" s="60">
        <f t="shared" si="62"/>
        <v>765.69156683552342</v>
      </c>
      <c r="BI76" s="60">
        <f ca="1">AVERAGE(OFFSET($BH$3,0,0,'Données projet'!$E$11+1,1))-AVERAGE(OFFSET($H$3,0,0,'Données projet'!$E$11+1,1))</f>
        <v>363.28611056308665</v>
      </c>
      <c r="BJ76" s="60">
        <f t="shared" si="92"/>
        <v>389.43647559455974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239.59999999999991</v>
      </c>
      <c r="BZ76" s="14">
        <f>BY76*VLOOKUP('Données projet'!$B$12,Paramètres!$A$1:$I$89,3,0)*VLOOKUP('Données projet'!$B$12,Paramètres!$A$1:$I$89,5,0)</f>
        <v>257.90543999999989</v>
      </c>
      <c r="CA76" s="14">
        <f t="shared" si="93"/>
        <v>62.275692442827719</v>
      </c>
      <c r="CB76" s="22">
        <f t="shared" si="64"/>
        <v>557.64880567125817</v>
      </c>
      <c r="CC76" s="60">
        <f t="shared" si="65"/>
        <v>825.43158986918002</v>
      </c>
      <c r="CD76" s="60">
        <f ca="1">AVERAGE(OFFSET($CC$3,0,0,'Données projet'!$E$12+1,1))-AVERAGE(OFFSET($H$3,0,0,'Données projet'!$E$12+1,1))</f>
        <v>542.90832990875208</v>
      </c>
      <c r="CE76" s="60">
        <f t="shared" si="94"/>
        <v>304.94365539329362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9.9551282051282044</v>
      </c>
      <c r="CT76" s="13">
        <f>IF('Données projet'!$A$140&gt;35,CT75+CS76-DB75,IF(A76&lt;'Données projet'!$A$140,$CQ$205^A76,IF(A76='Données projet'!$A$140,'Données projet'!$B$140,CT75+CS76-DB75)))</f>
        <v>340.56666666666649</v>
      </c>
      <c r="CU76" s="18">
        <f>CT76*VLOOKUP('Données projet'!$B$13,Paramètres!$A$1:$I$89,3,0)*VLOOKUP('Données projet'!$B$13,Paramètres!$A$1:$I$89,5,0)</f>
        <v>159.38519999999991</v>
      </c>
      <c r="CV76" s="14">
        <f t="shared" si="95"/>
        <v>40.703814494924693</v>
      </c>
      <c r="CW76" s="22">
        <f t="shared" si="67"/>
        <v>348.48836691199364</v>
      </c>
      <c r="CX76" s="60">
        <f t="shared" si="68"/>
        <v>616.27115110991542</v>
      </c>
      <c r="CY76" s="60">
        <f ca="1">AVERAGE(OFFSET($CX$3,0,0,'Données projet'!$E$13+1,1))-AVERAGE(OFFSET($H$3,0,0,'Données projet'!$E$13+1,1))</f>
        <v>277.77877239988635</v>
      </c>
      <c r="CZ76" s="60">
        <f t="shared" si="96"/>
        <v>164.65640238394164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3.4615384615384643</v>
      </c>
      <c r="DO76" s="13">
        <f>IF('Données projet'!$A$166&gt;35,DO75+DN76-DW75,IF(A76&lt;'Données projet'!$A$166,$DL$205^A76,IF(A76='Données projet'!$A$166,'Données projet'!$B$166,DO75+DN76-DW75)))</f>
        <v>186.02564102564088</v>
      </c>
      <c r="DP76" s="18">
        <f>DO76*VLOOKUP('Données projet'!$B$14,Paramètres!$A$1:$I$89,3,0)*VLOOKUP('Données projet'!$B$14,Paramètres!$A$1:$I$89,5,0)</f>
        <v>159.6099999999999</v>
      </c>
      <c r="DQ76" s="14">
        <f t="shared" si="97"/>
        <v>40.754537327723433</v>
      </c>
      <c r="DR76" s="22">
        <f t="shared" si="70"/>
        <v>348.9682358457847</v>
      </c>
      <c r="DS76" s="60">
        <f t="shared" si="71"/>
        <v>616.75102004370649</v>
      </c>
      <c r="DT76" s="60">
        <f ca="1">AVERAGE(OFFSET($DS$3,0,0,'Données projet'!$E$14+1,1))-AVERAGE(OFFSET($H$3,0,0,'Données projet'!$E$14+1,1))</f>
        <v>354.30160274624632</v>
      </c>
      <c r="DU76" s="60">
        <f t="shared" si="98"/>
        <v>218.8005329382452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6.2</v>
      </c>
      <c r="EJ76" s="13">
        <f>IF('Données projet'!$A$192&gt;35,EJ75+EI76-ER75,IF(A76&lt;'Données projet'!$A$192,$EG$205^A76,IF(A76='Données projet'!$A$192,'Données projet'!$B$192,EJ75+EI76-ER75)))</f>
        <v>239.59999999999991</v>
      </c>
      <c r="EK76" s="18">
        <f>EJ76*VLOOKUP('Données projet'!$B$15,Paramètres!$A$1:$I$89,3,0)*VLOOKUP('Données projet'!$B$15,Paramètres!$A$1:$I$89,5,0)</f>
        <v>231.74111999999991</v>
      </c>
      <c r="EL76" s="14">
        <f t="shared" si="99"/>
        <v>56.658986982752438</v>
      </c>
      <c r="EM76" s="22">
        <f t="shared" si="73"/>
        <v>502.29685299496032</v>
      </c>
      <c r="EN76" s="60">
        <f t="shared" si="74"/>
        <v>770.07963719288205</v>
      </c>
      <c r="EO76" s="60">
        <f ca="1">AVERAGE(OFFSET($EN$3,0,0,'Données projet'!$E$15+1,1))-AVERAGE(OFFSET($H$3,0,0,'Données projet'!$E$15+1,1))</f>
        <v>496.33873798282525</v>
      </c>
      <c r="EP76" s="60">
        <f t="shared" si="100"/>
        <v>280.25465074992246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3.4000000000000172</v>
      </c>
      <c r="FE76" s="13">
        <f>IF('Données projet'!$A$218&gt;35,FE75+FD76-FM75,IF(A76&lt;'Données projet'!$A$218,$FB$205^A76,IF(A76='Données projet'!$A$218,'Données projet'!$B$218,FE75+FD76-FM75)))</f>
        <v>262.9000000000002</v>
      </c>
      <c r="FF76" s="18">
        <f>FE76*VLOOKUP('Données projet'!$B$16,Paramètres!$A$1:$I$89,3,0)*VLOOKUP('Données projet'!$B$16,Paramètres!$A$1:$I$89,5,0)</f>
        <v>213.26448000000019</v>
      </c>
      <c r="FG76" s="14">
        <f t="shared" si="101"/>
        <v>52.648315008354672</v>
      </c>
      <c r="FH76" s="22">
        <f t="shared" si="76"/>
        <v>463.13145130621803</v>
      </c>
      <c r="FI76" s="60">
        <f t="shared" si="77"/>
        <v>730.91423550413981</v>
      </c>
      <c r="FJ76" s="60">
        <f ca="1">AVERAGE(OFFSET($FI$3,0,0,'Données projet'!$E$16+1,1))-AVERAGE(OFFSET($H$3,0,0,'Données projet'!$E$16+1,1))</f>
        <v>341.66430955115521</v>
      </c>
      <c r="FK76" s="60">
        <f t="shared" si="102"/>
        <v>366.15174925159192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3.4000000000000172</v>
      </c>
      <c r="FZ76" s="13">
        <f>IF('Données projet'!$A$244&gt;35,FZ75+FY76-GH75,IF(A76&lt;'Données projet'!$A$244,$FW$205^A76,IF(A76='Données projet'!$A$244,'Données projet'!$B$244,FZ75+FY76-GH75)))</f>
        <v>262.9000000000002</v>
      </c>
      <c r="GA76" s="18">
        <f>FZ76*VLOOKUP('Données projet'!$B$17,Paramètres!$A$1:$I$89,3,0)*VLOOKUP('Données projet'!$B$17,Paramètres!$A$1:$I$89,5,0)</f>
        <v>192.75828000000016</v>
      </c>
      <c r="GB76" s="14">
        <f t="shared" si="103"/>
        <v>48.149256922008618</v>
      </c>
      <c r="GC76" s="22">
        <f t="shared" si="79"/>
        <v>419.58062680583197</v>
      </c>
      <c r="GD76" s="60">
        <f t="shared" si="80"/>
        <v>687.36341100375375</v>
      </c>
      <c r="GE76" s="60">
        <f ca="1">AVERAGE(OFFSET($GD$3,0,0,'Données projet'!$E$17+1,1))-AVERAGE(OFFSET($H$3,0,0,'Données projet'!$E$17+1,1))</f>
        <v>314.58662400031631</v>
      </c>
      <c r="GF76" s="60">
        <f t="shared" si="104"/>
        <v>336.99073123405981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4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249.24119999999988</v>
      </c>
      <c r="P77" s="14">
        <f t="shared" si="87"/>
        <v>60.42342651744687</v>
      </c>
      <c r="Q77" s="22">
        <f t="shared" si="54"/>
        <v>539.3325578512198</v>
      </c>
      <c r="R77" s="60">
        <f t="shared" si="55"/>
        <v>807.55858695417066</v>
      </c>
      <c r="S77" s="60">
        <f ca="1">AVERAGE(OFFSET($R$3,0,0,'Données projet'!$E$9+1,1))-AVERAGE(OFFSET($H$3,0,0,'Données projet'!$E$9+1,1))</f>
        <v>516.30971934066179</v>
      </c>
      <c r="T77" s="60">
        <f t="shared" si="88"/>
        <v>290.84286505723571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4.4871794871794863</v>
      </c>
      <c r="AI77" s="14">
        <f>IF('Données projet'!$A$62&gt;35,AI76+AH77-AQ76,IF(A77&lt;'Données projet'!$A$62,$AF$205^A77,IF(A77='Données projet'!$A$62,'Données projet'!$B$62,AI76+AH77-AQ76)))</f>
        <v>253.20512820512801</v>
      </c>
      <c r="AJ77" s="14">
        <f>AI77*VLOOKUP('Données projet'!$B$10,Paramètres!$A$1:$I$89,3,0)*VLOOKUP('Données projet'!$B$10,Paramètres!$A$1:$I$89,5,0)</f>
        <v>264.64999999999981</v>
      </c>
      <c r="AK77" s="14">
        <f t="shared" si="89"/>
        <v>63.712545131099922</v>
      </c>
      <c r="AL77" s="22">
        <f t="shared" si="58"/>
        <v>571.89809943666535</v>
      </c>
      <c r="AM77" s="60">
        <f t="shared" si="59"/>
        <v>840.12412853961621</v>
      </c>
      <c r="AN77" s="60">
        <f ca="1">AVERAGE(OFFSET($AM$3,0,0,'Données projet'!$E$10+1,1))-AVERAGE(OFFSET($H$3,0,0,'Données projet'!$E$10+1,1))</f>
        <v>529.00505223594837</v>
      </c>
      <c r="AO77" s="60">
        <f t="shared" si="90"/>
        <v>321.23004033257985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3.4000000000000172</v>
      </c>
      <c r="BD77" s="13">
        <f>IF('Données projet'!$A$88&gt;35,BD76+BC77-BL76,IF(A77&lt;'Données projet'!$A$88,$BA$205^A77,IF(A77='Données projet'!$A$88,'Données projet'!$B$88,BD76+BC77-BL76)))</f>
        <v>266.30000000000024</v>
      </c>
      <c r="BE77" s="14">
        <f>BD77*VLOOKUP('Données projet'!$B$11,Paramètres!$A$1:$I$89,3,0)*VLOOKUP('Données projet'!$B$11,Paramètres!$A$1:$I$89,5,0)</f>
        <v>232.63968000000025</v>
      </c>
      <c r="BF77" s="14">
        <f t="shared" si="91"/>
        <v>56.853062439636545</v>
      </c>
      <c r="BG77" s="22">
        <f t="shared" si="61"/>
        <v>504.19985974903403</v>
      </c>
      <c r="BH77" s="60">
        <f t="shared" si="62"/>
        <v>772.42588885198484</v>
      </c>
      <c r="BI77" s="60">
        <f ca="1">AVERAGE(OFFSET($BH$3,0,0,'Données projet'!$E$11+1,1))-AVERAGE(OFFSET($H$3,0,0,'Données projet'!$E$11+1,1))</f>
        <v>363.28611056308665</v>
      </c>
      <c r="BJ77" s="60">
        <f t="shared" si="92"/>
        <v>389.43647559455974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</v>
      </c>
      <c r="BZ77" s="14">
        <f>BY77*VLOOKUP('Données projet'!$B$12,Paramètres!$A$1:$I$89,3,0)*VLOOKUP('Données projet'!$B$12,Paramètres!$A$1:$I$89,5,0)</f>
        <v>264.57911999999988</v>
      </c>
      <c r="CA77" s="14">
        <f t="shared" si="93"/>
        <v>63.697467287221869</v>
      </c>
      <c r="CB77" s="22">
        <f t="shared" si="64"/>
        <v>571.74838952524453</v>
      </c>
      <c r="CC77" s="60">
        <f t="shared" si="65"/>
        <v>839.97441862819539</v>
      </c>
      <c r="CD77" s="60">
        <f ca="1">AVERAGE(OFFSET($CC$3,0,0,'Données projet'!$E$12+1,1))-AVERAGE(OFFSET($H$3,0,0,'Données projet'!$E$12+1,1))</f>
        <v>542.90832990875208</v>
      </c>
      <c r="CE77" s="60">
        <f t="shared" si="94"/>
        <v>304.94365539329362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9.9551282051282044</v>
      </c>
      <c r="CT77" s="13">
        <f>IF('Données projet'!$A$140&gt;35,CT76+CS77-DB76,IF(A77&lt;'Données projet'!$A$140,$CQ$205^A77,IF(A77='Données projet'!$A$140,'Données projet'!$B$140,CT76+CS77-DB76)))</f>
        <v>350.52179487179467</v>
      </c>
      <c r="CU77" s="18">
        <f>CT77*VLOOKUP('Données projet'!$B$13,Paramètres!$A$1:$I$89,3,0)*VLOOKUP('Données projet'!$B$13,Paramètres!$A$1:$I$89,5,0)</f>
        <v>164.0441999999999</v>
      </c>
      <c r="CV77" s="14">
        <f t="shared" si="95"/>
        <v>41.753366572621168</v>
      </c>
      <c r="CW77" s="22">
        <f t="shared" si="67"/>
        <v>358.43076178064831</v>
      </c>
      <c r="CX77" s="60">
        <f t="shared" si="68"/>
        <v>626.65679088359911</v>
      </c>
      <c r="CY77" s="60">
        <f ca="1">AVERAGE(OFFSET($CX$3,0,0,'Données projet'!$E$13+1,1))-AVERAGE(OFFSET($H$3,0,0,'Données projet'!$E$13+1,1))</f>
        <v>277.77877239988635</v>
      </c>
      <c r="CZ77" s="60">
        <f t="shared" si="96"/>
        <v>164.65640238394164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3.4615384615384643</v>
      </c>
      <c r="DO77" s="13">
        <f>IF('Données projet'!$A$166&gt;35,DO76+DN77-DW76,IF(A77&lt;'Données projet'!$A$166,$DL$205^A77,IF(A77='Données projet'!$A$166,'Données projet'!$B$166,DO76+DN77-DW76)))</f>
        <v>189.48717948717933</v>
      </c>
      <c r="DP77" s="18">
        <f>DO77*VLOOKUP('Données projet'!$B$14,Paramètres!$A$1:$I$89,3,0)*VLOOKUP('Données projet'!$B$14,Paramètres!$A$1:$I$89,5,0)</f>
        <v>162.5799999999999</v>
      </c>
      <c r="DQ77" s="14">
        <f t="shared" si="97"/>
        <v>41.423898734556865</v>
      </c>
      <c r="DR77" s="22">
        <f t="shared" si="70"/>
        <v>355.3067902960197</v>
      </c>
      <c r="DS77" s="60">
        <f t="shared" si="71"/>
        <v>623.53281939897056</v>
      </c>
      <c r="DT77" s="60">
        <f ca="1">AVERAGE(OFFSET($DS$3,0,0,'Données projet'!$E$14+1,1))-AVERAGE(OFFSET($H$3,0,0,'Données projet'!$E$14+1,1))</f>
        <v>354.30160274624632</v>
      </c>
      <c r="DU77" s="60">
        <f t="shared" si="98"/>
        <v>218.8005329382452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6.2</v>
      </c>
      <c r="EJ77" s="13">
        <f>IF('Données projet'!$A$192&gt;35,EJ76+EI77-ER76,IF(A77&lt;'Données projet'!$A$192,$EG$205^A77,IF(A77='Données projet'!$A$192,'Données projet'!$B$192,EJ76+EI77-ER76)))</f>
        <v>245.7999999999999</v>
      </c>
      <c r="EK77" s="18">
        <f>EJ77*VLOOKUP('Données projet'!$B$15,Paramètres!$A$1:$I$89,3,0)*VLOOKUP('Données projet'!$B$15,Paramètres!$A$1:$I$89,5,0)</f>
        <v>237.73775999999989</v>
      </c>
      <c r="EL77" s="14">
        <f t="shared" si="99"/>
        <v>57.952530566790166</v>
      </c>
      <c r="EM77" s="22">
        <f t="shared" si="73"/>
        <v>514.99392273715932</v>
      </c>
      <c r="EN77" s="60">
        <f t="shared" si="74"/>
        <v>783.21995184011018</v>
      </c>
      <c r="EO77" s="60">
        <f ca="1">AVERAGE(OFFSET($EN$3,0,0,'Données projet'!$E$15+1,1))-AVERAGE(OFFSET($H$3,0,0,'Données projet'!$E$15+1,1))</f>
        <v>496.33873798282525</v>
      </c>
      <c r="EP77" s="60">
        <f t="shared" si="100"/>
        <v>280.25465074992246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3.4000000000000172</v>
      </c>
      <c r="FE77" s="13">
        <f>IF('Données projet'!$A$218&gt;35,FE76+FD77-FM76,IF(A77&lt;'Données projet'!$A$218,$FB$205^A77,IF(A77='Données projet'!$A$218,'Données projet'!$B$218,FE76+FD77-FM76)))</f>
        <v>266.30000000000024</v>
      </c>
      <c r="FF77" s="18">
        <f>FE77*VLOOKUP('Données projet'!$B$16,Paramètres!$A$1:$I$89,3,0)*VLOOKUP('Données projet'!$B$16,Paramètres!$A$1:$I$89,5,0)</f>
        <v>216.02256000000023</v>
      </c>
      <c r="FG77" s="14">
        <f t="shared" si="101"/>
        <v>53.24949299490347</v>
      </c>
      <c r="FH77" s="22">
        <f t="shared" si="76"/>
        <v>468.9821589661239</v>
      </c>
      <c r="FI77" s="60">
        <f t="shared" si="77"/>
        <v>737.20818806907482</v>
      </c>
      <c r="FJ77" s="60">
        <f ca="1">AVERAGE(OFFSET($FI$3,0,0,'Données projet'!$E$16+1,1))-AVERAGE(OFFSET($H$3,0,0,'Données projet'!$E$16+1,1))</f>
        <v>341.66430955115521</v>
      </c>
      <c r="FK77" s="60">
        <f t="shared" si="102"/>
        <v>366.15174925159192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3.4000000000000172</v>
      </c>
      <c r="FZ77" s="13">
        <f>IF('Données projet'!$A$244&gt;35,FZ76+FY77-GH76,IF(A77&lt;'Données projet'!$A$244,$FW$205^A77,IF(A77='Données projet'!$A$244,'Données projet'!$B$244,FZ76+FY77-GH76)))</f>
        <v>266.30000000000024</v>
      </c>
      <c r="GA77" s="18">
        <f>FZ77*VLOOKUP('Données projet'!$B$17,Paramètres!$A$1:$I$89,3,0)*VLOOKUP('Données projet'!$B$17,Paramètres!$A$1:$I$89,5,0)</f>
        <v>195.25116000000017</v>
      </c>
      <c r="GB77" s="14">
        <f t="shared" si="103"/>
        <v>48.699061285654452</v>
      </c>
      <c r="GC77" s="22">
        <f t="shared" si="79"/>
        <v>424.87996873918178</v>
      </c>
      <c r="GD77" s="60">
        <f t="shared" si="80"/>
        <v>693.10599784213264</v>
      </c>
      <c r="GE77" s="60">
        <f ca="1">AVERAGE(OFFSET($GD$3,0,0,'Données projet'!$E$17+1,1))-AVERAGE(OFFSET($H$3,0,0,'Données projet'!$E$17+1,1))</f>
        <v>314.58662400031631</v>
      </c>
      <c r="GF77" s="60">
        <f t="shared" si="104"/>
        <v>336.99073123405981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4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255.52799999999991</v>
      </c>
      <c r="P78" s="14">
        <f t="shared" si="87"/>
        <v>61.768167868721477</v>
      </c>
      <c r="Q78" s="22">
        <f t="shared" si="54"/>
        <v>552.62415903802309</v>
      </c>
      <c r="R78" s="60">
        <f t="shared" si="55"/>
        <v>821.28574373784795</v>
      </c>
      <c r="S78" s="60">
        <f ca="1">AVERAGE(OFFSET($R$3,0,0,'Données projet'!$E$9+1,1))-AVERAGE(OFFSET($H$3,0,0,'Données projet'!$E$9+1,1))</f>
        <v>516.30971934066179</v>
      </c>
      <c r="T78" s="60">
        <f t="shared" si="88"/>
        <v>290.84286505723571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257.69230769230768</v>
      </c>
      <c r="AG78" s="13">
        <f>VLOOKUP(A78,'Données projet'!$A$61:$I$81,9,0)</f>
        <v>4.4871794871794863</v>
      </c>
      <c r="AH78" s="13">
        <f t="array" ref="AH78">INDEX(AG:AG,MIN(IF(ISNUMBER(AG78:AG274),ROW(AG78:AG274),"")))</f>
        <v>4.4871794871794863</v>
      </c>
      <c r="AI78" s="14">
        <f>IF('Données projet'!$A$62&gt;35,AI77+AH78-AQ77,IF(A78&lt;'Données projet'!$A$62,$AF$205^A78,IF(A78='Données projet'!$A$62,'Données projet'!$B$62,AI77+AH78-AQ77)))</f>
        <v>257.69230769230751</v>
      </c>
      <c r="AJ78" s="14">
        <f>AI78*VLOOKUP('Données projet'!$B$10,Paramètres!$A$1:$I$89,3,0)*VLOOKUP('Données projet'!$B$10,Paramètres!$A$1:$I$89,5,0)</f>
        <v>269.33999999999986</v>
      </c>
      <c r="AK78" s="14">
        <f t="shared" si="89"/>
        <v>64.709180685305114</v>
      </c>
      <c r="AL78" s="22">
        <f t="shared" si="58"/>
        <v>581.80232302690615</v>
      </c>
      <c r="AM78" s="60">
        <f t="shared" si="59"/>
        <v>850.46390772673089</v>
      </c>
      <c r="AN78" s="60">
        <f ca="1">AVERAGE(OFFSET($AM$3,0,0,'Données projet'!$E$10+1,1))-AVERAGE(OFFSET($H$3,0,0,'Données projet'!$E$10+1,1))</f>
        <v>529.00505223594837</v>
      </c>
      <c r="AO78" s="60">
        <f t="shared" si="90"/>
        <v>321.23004033257985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269.70000000000005</v>
      </c>
      <c r="BB78" s="13">
        <f>VLOOKUP(A78,'Données projet'!$A$87:$I$107,9,0)</f>
        <v>3.4000000000000172</v>
      </c>
      <c r="BC78" s="13">
        <f t="array" ref="BC78">INDEX(BB:BB,MIN(IF(ISNUMBER(BB78:BB274),ROW(BB78:BB274),"")))</f>
        <v>3.4000000000000172</v>
      </c>
      <c r="BD78" s="13">
        <f>IF('Données projet'!$A$88&gt;35,BD77+BC78-BL77,IF(A78&lt;'Données projet'!$A$88,$BA$205^A78,IF(A78='Données projet'!$A$88,'Données projet'!$B$88,BD77+BC78-BL77)))</f>
        <v>269.70000000000027</v>
      </c>
      <c r="BE78" s="14">
        <f>BD78*VLOOKUP('Données projet'!$B$11,Paramètres!$A$1:$I$89,3,0)*VLOOKUP('Données projet'!$B$11,Paramètres!$A$1:$I$89,5,0)</f>
        <v>235.6099200000003</v>
      </c>
      <c r="BF78" s="14">
        <f t="shared" si="91"/>
        <v>57.493970912943951</v>
      </c>
      <c r="BG78" s="22">
        <f t="shared" si="61"/>
        <v>510.4892766733779</v>
      </c>
      <c r="BH78" s="60">
        <f t="shared" si="62"/>
        <v>779.1508613732027</v>
      </c>
      <c r="BI78" s="60">
        <f ca="1">AVERAGE(OFFSET($BH$3,0,0,'Données projet'!$E$11+1,1))-AVERAGE(OFFSET($H$3,0,0,'Données projet'!$E$11+1,1))</f>
        <v>363.28611056308665</v>
      </c>
      <c r="BJ78" s="60">
        <f t="shared" si="92"/>
        <v>389.43647559455974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251.99999999999989</v>
      </c>
      <c r="BZ78" s="14">
        <f>BY78*VLOOKUP('Données projet'!$B$12,Paramètres!$A$1:$I$89,3,0)*VLOOKUP('Données projet'!$B$12,Paramètres!$A$1:$I$89,5,0)</f>
        <v>271.25279999999987</v>
      </c>
      <c r="CA78" s="14">
        <f t="shared" si="93"/>
        <v>65.115073390838859</v>
      </c>
      <c r="CB78" s="22">
        <f t="shared" si="64"/>
        <v>585.84071282237744</v>
      </c>
      <c r="CC78" s="60">
        <f t="shared" si="65"/>
        <v>854.5022975222023</v>
      </c>
      <c r="CD78" s="60">
        <f ca="1">AVERAGE(OFFSET($CC$3,0,0,'Données projet'!$E$12+1,1))-AVERAGE(OFFSET($H$3,0,0,'Données projet'!$E$12+1,1))</f>
        <v>542.90832990875208</v>
      </c>
      <c r="CE78" s="60">
        <f t="shared" si="94"/>
        <v>304.94365539329362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360.47692307692307</v>
      </c>
      <c r="CR78" s="13">
        <f>VLOOKUP(A78,'Données projet'!$A$139:$I$159,9,0)</f>
        <v>9.9551282051282044</v>
      </c>
      <c r="CS78" s="13">
        <f t="array" ref="CS78">INDEX(CR:CR,MIN(IF(ISNUMBER(CR78:CR274),ROW(CR78:CR274),"")))</f>
        <v>9.9551282051282044</v>
      </c>
      <c r="CT78" s="13">
        <f>IF('Données projet'!$A$140&gt;35,CT77+CS78-DB77,IF(A78&lt;'Données projet'!$A$140,$CQ$205^A78,IF(A78='Données projet'!$A$140,'Données projet'!$B$140,CT77+CS78-DB77)))</f>
        <v>360.47692307692284</v>
      </c>
      <c r="CU78" s="18">
        <f>CT78*VLOOKUP('Données projet'!$B$13,Paramètres!$A$1:$I$89,3,0)*VLOOKUP('Données projet'!$B$13,Paramètres!$A$1:$I$89,5,0)</f>
        <v>168.70319999999987</v>
      </c>
      <c r="CV78" s="14">
        <f t="shared" si="95"/>
        <v>42.799454211954576</v>
      </c>
      <c r="CW78" s="22">
        <f t="shared" si="67"/>
        <v>368.36712275248732</v>
      </c>
      <c r="CX78" s="60">
        <f t="shared" si="68"/>
        <v>637.02870745231212</v>
      </c>
      <c r="CY78" s="60">
        <f ca="1">AVERAGE(OFFSET($CX$3,0,0,'Données projet'!$E$13+1,1))-AVERAGE(OFFSET($H$3,0,0,'Données projet'!$E$13+1,1))</f>
        <v>277.77877239988635</v>
      </c>
      <c r="CZ78" s="60">
        <f t="shared" si="96"/>
        <v>164.65640238394164</v>
      </c>
      <c r="DA78" s="16">
        <f>IF(ISNA(VLOOKUP(A78,'Données projet'!$A$139:$I$159,3,0)),0,VLOOKUP(A78,'Données projet'!$A$139:$I$159,3,0))</f>
        <v>3</v>
      </c>
      <c r="DB78" s="16">
        <f>IF(ISNA(VLOOKUP(A78,'Données projet'!$A$139:$I$159,4,0)),0,VLOOKUP(A78,'Données projet'!$A$139:$I$159,4,0))</f>
        <v>85.361538461538458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192.94871794871796</v>
      </c>
      <c r="DM78" s="13">
        <f>VLOOKUP(A78,'Données projet'!$A$165:$I$185,9,0)</f>
        <v>3.4615384615384643</v>
      </c>
      <c r="DN78" s="13">
        <f t="array" ref="DN78">INDEX(DM:DM,MIN(IF(ISNUMBER(DM78:DM274),ROW(DM78:DM274),"")))</f>
        <v>3.4615384615384643</v>
      </c>
      <c r="DO78" s="13">
        <f>IF('Données projet'!$A$166&gt;35,DO77+DN78-DW77,IF(A78&lt;'Données projet'!$A$166,$DL$205^A78,IF(A78='Données projet'!$A$166,'Données projet'!$B$166,DO77+DN78-DW77)))</f>
        <v>192.94871794871779</v>
      </c>
      <c r="DP78" s="18">
        <f>DO78*VLOOKUP('Données projet'!$B$14,Paramètres!$A$1:$I$89,3,0)*VLOOKUP('Données projet'!$B$14,Paramètres!$A$1:$I$89,5,0)</f>
        <v>165.54999999999987</v>
      </c>
      <c r="DQ78" s="14">
        <f t="shared" si="97"/>
        <v>42.091838248578604</v>
      </c>
      <c r="DR78" s="22">
        <f t="shared" si="70"/>
        <v>361.64286828294081</v>
      </c>
      <c r="DS78" s="60">
        <f t="shared" si="71"/>
        <v>630.30445298276561</v>
      </c>
      <c r="DT78" s="60">
        <f ca="1">AVERAGE(OFFSET($DS$3,0,0,'Données projet'!$E$14+1,1))-AVERAGE(OFFSET($H$3,0,0,'Données projet'!$E$14+1,1))</f>
        <v>354.30160274624632</v>
      </c>
      <c r="DU78" s="60">
        <f t="shared" si="98"/>
        <v>218.8005329382452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252</v>
      </c>
      <c r="EH78" s="13">
        <f>VLOOKUP(A78,'Données projet'!$A$191:$I$211,9,0)</f>
        <v>6.2</v>
      </c>
      <c r="EI78" s="13">
        <f t="array" ref="EI78">INDEX(EH:EH,MIN(IF(ISNUMBER(EH78:EH274),ROW(EH78:EH274),"")))</f>
        <v>6.2</v>
      </c>
      <c r="EJ78" s="13">
        <f>IF('Données projet'!$A$192&gt;35,EJ77+EI78-ER77,IF(A78&lt;'Données projet'!$A$192,$EG$205^A78,IF(A78='Données projet'!$A$192,'Données projet'!$B$192,EJ77+EI78-ER77)))</f>
        <v>251.99999999999989</v>
      </c>
      <c r="EK78" s="18">
        <f>EJ78*VLOOKUP('Données projet'!$B$15,Paramètres!$A$1:$I$89,3,0)*VLOOKUP('Données projet'!$B$15,Paramètres!$A$1:$I$89,5,0)</f>
        <v>243.73439999999988</v>
      </c>
      <c r="EL78" s="14">
        <f t="shared" si="99"/>
        <v>59.242281392848767</v>
      </c>
      <c r="EM78" s="22">
        <f t="shared" si="73"/>
        <v>527.68438675921141</v>
      </c>
      <c r="EN78" s="60">
        <f t="shared" si="74"/>
        <v>796.34597145903626</v>
      </c>
      <c r="EO78" s="60">
        <f ca="1">AVERAGE(OFFSET($EN$3,0,0,'Données projet'!$E$15+1,1))-AVERAGE(OFFSET($H$3,0,0,'Données projet'!$E$15+1,1))</f>
        <v>496.33873798282525</v>
      </c>
      <c r="EP78" s="60">
        <f t="shared" si="100"/>
        <v>280.25465074992246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269.70000000000005</v>
      </c>
      <c r="FC78" s="13">
        <f>VLOOKUP(A78,'Données projet'!$A$217:$I$237,9,0)</f>
        <v>3.4000000000000172</v>
      </c>
      <c r="FD78" s="13">
        <f t="array" ref="FD78">INDEX(FC:FC,MIN(IF(ISNUMBER(FC78:FC274),ROW(FC78:FC274),"")))</f>
        <v>3.4000000000000172</v>
      </c>
      <c r="FE78" s="13">
        <f>IF('Données projet'!$A$218&gt;35,FE77+FD78-FM77,IF(A78&lt;'Données projet'!$A$218,$FB$205^A78,IF(A78='Données projet'!$A$218,'Données projet'!$B$218,FE77+FD78-FM77)))</f>
        <v>269.70000000000027</v>
      </c>
      <c r="FF78" s="18">
        <f>FE78*VLOOKUP('Données projet'!$B$16,Paramètres!$A$1:$I$89,3,0)*VLOOKUP('Données projet'!$B$16,Paramètres!$A$1:$I$89,5,0)</f>
        <v>218.78064000000023</v>
      </c>
      <c r="FG78" s="14">
        <f t="shared" si="101"/>
        <v>53.849778182636236</v>
      </c>
      <c r="FH78" s="22">
        <f t="shared" si="76"/>
        <v>474.83131166809176</v>
      </c>
      <c r="FI78" s="60">
        <f t="shared" si="77"/>
        <v>743.4928963679165</v>
      </c>
      <c r="FJ78" s="60">
        <f ca="1">AVERAGE(OFFSET($FI$3,0,0,'Données projet'!$E$16+1,1))-AVERAGE(OFFSET($H$3,0,0,'Données projet'!$E$16+1,1))</f>
        <v>341.66430955115521</v>
      </c>
      <c r="FK78" s="60">
        <f t="shared" si="102"/>
        <v>366.15174925159192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269.70000000000005</v>
      </c>
      <c r="FX78" s="13">
        <f>VLOOKUP(A78,'Données projet'!$A$243:$I$263,9,0)</f>
        <v>3.4000000000000172</v>
      </c>
      <c r="FY78" s="13">
        <f t="array" ref="FY78">INDEX(FX:FX,MIN(IF(ISNUMBER(FX78:FX274),ROW(FX78:FX274),"")))</f>
        <v>3.4000000000000172</v>
      </c>
      <c r="FZ78" s="13">
        <f>IF('Données projet'!$A$244&gt;35,FZ77+FY78-GH77,IF(A78&lt;'Données projet'!$A$244,$FW$205^A78,IF(A78='Données projet'!$A$244,'Données projet'!$B$244,FZ77+FY78-GH77)))</f>
        <v>269.70000000000027</v>
      </c>
      <c r="GA78" s="18">
        <f>FZ78*VLOOKUP('Données projet'!$B$17,Paramètres!$A$1:$I$89,3,0)*VLOOKUP('Données projet'!$B$17,Paramètres!$A$1:$I$89,5,0)</f>
        <v>197.74404000000018</v>
      </c>
      <c r="GB78" s="14">
        <f t="shared" si="103"/>
        <v>49.248049144544709</v>
      </c>
      <c r="GC78" s="22">
        <f t="shared" si="79"/>
        <v>430.17788859341562</v>
      </c>
      <c r="GD78" s="60">
        <f t="shared" si="80"/>
        <v>698.83947329324042</v>
      </c>
      <c r="GE78" s="60">
        <f ca="1">AVERAGE(OFFSET($GD$3,0,0,'Données projet'!$E$17+1,1))-AVERAGE(OFFSET($H$3,0,0,'Données projet'!$E$17+1,1))</f>
        <v>314.58662400031631</v>
      </c>
      <c r="GF78" s="60">
        <f t="shared" si="104"/>
        <v>336.99073123405981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4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261.61199999999991</v>
      </c>
      <c r="P79" s="14">
        <f t="shared" si="87"/>
        <v>63.065867509496442</v>
      </c>
      <c r="Q79" s="22">
        <f t="shared" si="54"/>
        <v>565.48061924570618</v>
      </c>
      <c r="R79" s="60">
        <f t="shared" si="55"/>
        <v>834.57020362655567</v>
      </c>
      <c r="S79" s="60">
        <f ca="1">AVERAGE(OFFSET($R$3,0,0,'Données projet'!$E$9+1,1))-AVERAGE(OFFSET($H$3,0,0,'Données projet'!$E$9+1,1))</f>
        <v>516.30971934066179</v>
      </c>
      <c r="T79" s="60">
        <f t="shared" si="88"/>
        <v>290.84286505723571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4.3589743589743648</v>
      </c>
      <c r="AI79" s="14">
        <f>IF('Données projet'!$A$62&gt;35,AI78+AH79-AQ78,IF(A79&lt;'Données projet'!$A$62,$AF$205^A79,IF(A79='Données projet'!$A$62,'Données projet'!$B$62,AI78+AH79-AQ78)))</f>
        <v>262.05128205128187</v>
      </c>
      <c r="AJ79" s="14">
        <f>AI79*VLOOKUP('Données projet'!$B$10,Paramètres!$A$1:$I$89,3,0)*VLOOKUP('Données projet'!$B$10,Paramètres!$A$1:$I$89,5,0)</f>
        <v>273.89599999999984</v>
      </c>
      <c r="AK79" s="14">
        <f t="shared" si="89"/>
        <v>65.675408141572404</v>
      </c>
      <c r="AL79" s="22">
        <f t="shared" si="58"/>
        <v>591.42020251323834</v>
      </c>
      <c r="AM79" s="60">
        <f t="shared" si="59"/>
        <v>860.50978689408771</v>
      </c>
      <c r="AN79" s="60">
        <f ca="1">AVERAGE(OFFSET($AM$3,0,0,'Données projet'!$E$10+1,1))-AVERAGE(OFFSET($H$3,0,0,'Données projet'!$E$10+1,1))</f>
        <v>529.00505223594837</v>
      </c>
      <c r="AO79" s="60">
        <f t="shared" si="90"/>
        <v>321.23004033257985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2.9799999999999955</v>
      </c>
      <c r="BD79" s="13">
        <f>IF('Données projet'!$A$88&gt;35,BD78+BC79-BL78,IF(A79&lt;'Données projet'!$A$88,$BA$205^A79,IF(A79='Données projet'!$A$88,'Données projet'!$B$88,BD78+BC79-BL78)))</f>
        <v>272.68000000000029</v>
      </c>
      <c r="BE79" s="14">
        <f>BD79*VLOOKUP('Données projet'!$B$11,Paramètres!$A$1:$I$89,3,0)*VLOOKUP('Données projet'!$B$11,Paramètres!$A$1:$I$89,5,0)</f>
        <v>238.21324800000031</v>
      </c>
      <c r="BF79" s="14">
        <f t="shared" si="91"/>
        <v>58.05493505418417</v>
      </c>
      <c r="BG79" s="22">
        <f t="shared" si="61"/>
        <v>516.00041881937125</v>
      </c>
      <c r="BH79" s="60">
        <f t="shared" si="62"/>
        <v>785.09000320022074</v>
      </c>
      <c r="BI79" s="60">
        <f ca="1">AVERAGE(OFFSET($BH$3,0,0,'Données projet'!$E$11+1,1))-AVERAGE(OFFSET($H$3,0,0,'Données projet'!$E$11+1,1))</f>
        <v>363.28611056308665</v>
      </c>
      <c r="BJ79" s="60">
        <f t="shared" si="92"/>
        <v>389.43647559455974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257.99999999999989</v>
      </c>
      <c r="BZ79" s="14">
        <f>BY79*VLOOKUP('Données projet'!$B$12,Paramètres!$A$1:$I$89,3,0)*VLOOKUP('Données projet'!$B$12,Paramètres!$A$1:$I$89,5,0)</f>
        <v>277.71119999999985</v>
      </c>
      <c r="CA79" s="14">
        <f t="shared" si="93"/>
        <v>66.483088830893976</v>
      </c>
      <c r="CB79" s="22">
        <f t="shared" si="64"/>
        <v>599.47171971380669</v>
      </c>
      <c r="CC79" s="60">
        <f t="shared" si="65"/>
        <v>868.56130409465618</v>
      </c>
      <c r="CD79" s="60">
        <f ca="1">AVERAGE(OFFSET($CC$3,0,0,'Données projet'!$E$12+1,1))-AVERAGE(OFFSET($H$3,0,0,'Données projet'!$E$12+1,1))</f>
        <v>542.90832990875208</v>
      </c>
      <c r="CE79" s="60">
        <f t="shared" si="94"/>
        <v>304.94365539329362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8.9320512820512761</v>
      </c>
      <c r="CT79" s="13">
        <f>IF('Données projet'!$A$140&gt;35,CT78+CS79-DB78,IF(A79&lt;'Données projet'!$A$140,$CQ$205^A79,IF(A79='Données projet'!$A$140,'Données projet'!$B$140,CT78+CS79-DB78)))</f>
        <v>284.04743589743566</v>
      </c>
      <c r="CU79" s="18">
        <f>CT79*VLOOKUP('Données projet'!$B$13,Paramètres!$A$1:$I$89,3,0)*VLOOKUP('Données projet'!$B$13,Paramètres!$A$1:$I$89,5,0)</f>
        <v>132.93419999999989</v>
      </c>
      <c r="CV79" s="14">
        <f t="shared" si="95"/>
        <v>34.67348355149219</v>
      </c>
      <c r="CW79" s="22">
        <f t="shared" si="67"/>
        <v>291.91671551884872</v>
      </c>
      <c r="CX79" s="60">
        <f t="shared" si="68"/>
        <v>561.00629989969821</v>
      </c>
      <c r="CY79" s="60">
        <f ca="1">AVERAGE(OFFSET($CX$3,0,0,'Données projet'!$E$13+1,1))-AVERAGE(OFFSET($H$3,0,0,'Données projet'!$E$13+1,1))</f>
        <v>277.77877239988635</v>
      </c>
      <c r="CZ79" s="60">
        <f t="shared" si="96"/>
        <v>164.65640238394164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3.3333333333333313</v>
      </c>
      <c r="DO79" s="13">
        <f>IF('Données projet'!$A$166&gt;35,DO78+DN79-DW78,IF(A79&lt;'Données projet'!$A$166,$DL$205^A79,IF(A79='Données projet'!$A$166,'Données projet'!$B$166,DO78+DN79-DW78)))</f>
        <v>196.28205128205113</v>
      </c>
      <c r="DP79" s="18">
        <f>DO79*VLOOKUP('Données projet'!$B$14,Paramètres!$A$1:$I$89,3,0)*VLOOKUP('Données projet'!$B$14,Paramètres!$A$1:$I$89,5,0)</f>
        <v>168.40999999999988</v>
      </c>
      <c r="DQ79" s="14">
        <f t="shared" si="97"/>
        <v>42.733721955889635</v>
      </c>
      <c r="DR79" s="22">
        <f t="shared" si="70"/>
        <v>367.74198240650753</v>
      </c>
      <c r="DS79" s="60">
        <f t="shared" si="71"/>
        <v>636.83156678735691</v>
      </c>
      <c r="DT79" s="60">
        <f ca="1">AVERAGE(OFFSET($DS$3,0,0,'Données projet'!$E$14+1,1))-AVERAGE(OFFSET($H$3,0,0,'Données projet'!$E$14+1,1))</f>
        <v>354.30160274624632</v>
      </c>
      <c r="DU79" s="60">
        <f t="shared" si="98"/>
        <v>218.8005329382452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6</v>
      </c>
      <c r="EJ79" s="13">
        <f>IF('Données projet'!$A$192&gt;35,EJ78+EI79-ER78,IF(A79&lt;'Données projet'!$A$192,$EG$205^A79,IF(A79='Données projet'!$A$192,'Données projet'!$B$192,EJ78+EI79-ER78)))</f>
        <v>257.99999999999989</v>
      </c>
      <c r="EK79" s="18">
        <f>EJ79*VLOOKUP('Données projet'!$B$15,Paramètres!$A$1:$I$89,3,0)*VLOOKUP('Données projet'!$B$15,Paramètres!$A$1:$I$89,5,0)</f>
        <v>249.53759999999988</v>
      </c>
      <c r="EL79" s="14">
        <f t="shared" si="99"/>
        <v>60.486914185674671</v>
      </c>
      <c r="EM79" s="22">
        <f t="shared" si="73"/>
        <v>539.95936220671649</v>
      </c>
      <c r="EN79" s="60">
        <f t="shared" si="74"/>
        <v>809.04894658756598</v>
      </c>
      <c r="EO79" s="60">
        <f ca="1">AVERAGE(OFFSET($EN$3,0,0,'Données projet'!$E$15+1,1))-AVERAGE(OFFSET($H$3,0,0,'Données projet'!$E$15+1,1))</f>
        <v>496.33873798282525</v>
      </c>
      <c r="EP79" s="60">
        <f t="shared" si="100"/>
        <v>280.25465074992246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2.9799999999999955</v>
      </c>
      <c r="FE79" s="13">
        <f>IF('Données projet'!$A$218&gt;35,FE78+FD79-FM78,IF(A79&lt;'Données projet'!$A$218,$FB$205^A79,IF(A79='Données projet'!$A$218,'Données projet'!$B$218,FE78+FD79-FM78)))</f>
        <v>272.68000000000029</v>
      </c>
      <c r="FF79" s="18">
        <f>FE79*VLOOKUP('Données projet'!$B$16,Paramètres!$A$1:$I$89,3,0)*VLOOKUP('Données projet'!$B$16,Paramètres!$A$1:$I$89,5,0)</f>
        <v>221.19801600000028</v>
      </c>
      <c r="FG79" s="14">
        <f t="shared" si="101"/>
        <v>54.375186222723414</v>
      </c>
      <c r="FH79" s="22">
        <f t="shared" si="76"/>
        <v>479.95666053791041</v>
      </c>
      <c r="FI79" s="60">
        <f t="shared" si="77"/>
        <v>749.04624491875984</v>
      </c>
      <c r="FJ79" s="60">
        <f ca="1">AVERAGE(OFFSET($FI$3,0,0,'Données projet'!$E$16+1,1))-AVERAGE(OFFSET($H$3,0,0,'Données projet'!$E$16+1,1))</f>
        <v>341.66430955115521</v>
      </c>
      <c r="FK79" s="60">
        <f t="shared" si="102"/>
        <v>366.15174925159192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2.9799999999999955</v>
      </c>
      <c r="FZ79" s="13">
        <f>IF('Données projet'!$A$244&gt;35,FZ78+FY79-GH78,IF(A79&lt;'Données projet'!$A$244,$FW$205^A79,IF(A79='Données projet'!$A$244,'Données projet'!$B$244,FZ78+FY79-GH78)))</f>
        <v>272.68000000000029</v>
      </c>
      <c r="GA79" s="18">
        <f>FZ79*VLOOKUP('Données projet'!$B$17,Paramètres!$A$1:$I$89,3,0)*VLOOKUP('Données projet'!$B$17,Paramètres!$A$1:$I$89,5,0)</f>
        <v>199.9289760000002</v>
      </c>
      <c r="GB79" s="14">
        <f t="shared" si="103"/>
        <v>49.728558477218208</v>
      </c>
      <c r="GC79" s="22">
        <f t="shared" si="79"/>
        <v>434.82020588115535</v>
      </c>
      <c r="GD79" s="60">
        <f t="shared" si="80"/>
        <v>703.90979026200478</v>
      </c>
      <c r="GE79" s="60">
        <f ca="1">AVERAGE(OFFSET($GD$3,0,0,'Données projet'!$E$17+1,1))-AVERAGE(OFFSET($H$3,0,0,'Données projet'!$E$17+1,1))</f>
        <v>314.58662400031631</v>
      </c>
      <c r="GF79" s="60">
        <f t="shared" si="104"/>
        <v>336.99073123405981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4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267.69599999999991</v>
      </c>
      <c r="P80" s="14">
        <f t="shared" si="87"/>
        <v>64.360058723585439</v>
      </c>
      <c r="Q80" s="22">
        <f t="shared" si="54"/>
        <v>578.33096894357777</v>
      </c>
      <c r="R80" s="60">
        <f t="shared" si="55"/>
        <v>847.84112816785</v>
      </c>
      <c r="S80" s="60">
        <f ca="1">AVERAGE(OFFSET($R$3,0,0,'Données projet'!$E$9+1,1))-AVERAGE(OFFSET($H$3,0,0,'Données projet'!$E$9+1,1))</f>
        <v>516.30971934066179</v>
      </c>
      <c r="T80" s="60">
        <f t="shared" si="88"/>
        <v>290.84286505723571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4.3589743589743648</v>
      </c>
      <c r="AI80" s="14">
        <f>IF('Données projet'!$A$62&gt;35,AI79+AH80-AQ79,IF(A80&lt;'Données projet'!$A$62,$AF$205^A80,IF(A80='Données projet'!$A$62,'Données projet'!$B$62,AI79+AH80-AQ79)))</f>
        <v>266.41025641025624</v>
      </c>
      <c r="AJ80" s="14">
        <f>AI80*VLOOKUP('Données projet'!$B$10,Paramètres!$A$1:$I$89,3,0)*VLOOKUP('Données projet'!$B$10,Paramètres!$A$1:$I$89,5,0)</f>
        <v>278.45199999999988</v>
      </c>
      <c r="AK80" s="14">
        <f t="shared" si="89"/>
        <v>66.639766503676199</v>
      </c>
      <c r="AL80" s="22">
        <f t="shared" si="58"/>
        <v>601.03482666056914</v>
      </c>
      <c r="AM80" s="60">
        <f t="shared" si="59"/>
        <v>870.54498588484148</v>
      </c>
      <c r="AN80" s="60">
        <f ca="1">AVERAGE(OFFSET($AM$3,0,0,'Données projet'!$E$10+1,1))-AVERAGE(OFFSET($H$3,0,0,'Données projet'!$E$10+1,1))</f>
        <v>529.00505223594837</v>
      </c>
      <c r="AO80" s="60">
        <f t="shared" si="90"/>
        <v>321.23004033257985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2.9799999999999955</v>
      </c>
      <c r="BD80" s="13">
        <f>IF('Données projet'!$A$88&gt;35,BD79+BC80-BL79,IF(A80&lt;'Données projet'!$A$88,$BA$205^A80,IF(A80='Données projet'!$A$88,'Données projet'!$B$88,BD79+BC80-BL79)))</f>
        <v>275.66000000000031</v>
      </c>
      <c r="BE80" s="14">
        <f>BD80*VLOOKUP('Données projet'!$B$11,Paramètres!$A$1:$I$89,3,0)*VLOOKUP('Données projet'!$B$11,Paramètres!$A$1:$I$89,5,0)</f>
        <v>240.81657600000031</v>
      </c>
      <c r="BF80" s="14">
        <f t="shared" si="91"/>
        <v>58.61518604030887</v>
      </c>
      <c r="BG80" s="22">
        <f t="shared" si="61"/>
        <v>521.51031888687191</v>
      </c>
      <c r="BH80" s="60">
        <f t="shared" si="62"/>
        <v>791.02047811114426</v>
      </c>
      <c r="BI80" s="60">
        <f ca="1">AVERAGE(OFFSET($BH$3,0,0,'Données projet'!$E$11+1,1))-AVERAGE(OFFSET($H$3,0,0,'Données projet'!$E$11+1,1))</f>
        <v>363.28611056308665</v>
      </c>
      <c r="BJ80" s="60">
        <f t="shared" si="92"/>
        <v>389.43647559455974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263.99999999999989</v>
      </c>
      <c r="BZ80" s="14">
        <f>BY80*VLOOKUP('Données projet'!$B$12,Paramètres!$A$1:$I$89,3,0)*VLOOKUP('Données projet'!$B$12,Paramètres!$A$1:$I$89,5,0)</f>
        <v>284.16959999999989</v>
      </c>
      <c r="CA80" s="14">
        <f t="shared" si="93"/>
        <v>67.847405740313874</v>
      </c>
      <c r="CB80" s="22">
        <f t="shared" si="64"/>
        <v>613.09628499771316</v>
      </c>
      <c r="CC80" s="60">
        <f t="shared" si="65"/>
        <v>882.60644422198538</v>
      </c>
      <c r="CD80" s="60">
        <f ca="1">AVERAGE(OFFSET($CC$3,0,0,'Données projet'!$E$12+1,1))-AVERAGE(OFFSET($H$3,0,0,'Données projet'!$E$12+1,1))</f>
        <v>542.90832990875208</v>
      </c>
      <c r="CE80" s="60">
        <f t="shared" si="94"/>
        <v>304.94365539329362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8.9320512820512761</v>
      </c>
      <c r="CT80" s="13">
        <f>IF('Données projet'!$A$140&gt;35,CT79+CS80-DB79,IF(A80&lt;'Données projet'!$A$140,$CQ$205^A80,IF(A80='Données projet'!$A$140,'Données projet'!$B$140,CT79+CS80-DB79)))</f>
        <v>292.97948717948691</v>
      </c>
      <c r="CU80" s="18">
        <f>CT80*VLOOKUP('Données projet'!$B$13,Paramètres!$A$1:$I$89,3,0)*VLOOKUP('Données projet'!$B$13,Paramètres!$A$1:$I$89,5,0)</f>
        <v>137.11439999999988</v>
      </c>
      <c r="CV80" s="14">
        <f t="shared" si="95"/>
        <v>35.635155920090774</v>
      </c>
      <c r="CW80" s="22">
        <f t="shared" si="67"/>
        <v>300.87214322749122</v>
      </c>
      <c r="CX80" s="60">
        <f t="shared" si="68"/>
        <v>570.38230245176351</v>
      </c>
      <c r="CY80" s="60">
        <f ca="1">AVERAGE(OFFSET($CX$3,0,0,'Données projet'!$E$13+1,1))-AVERAGE(OFFSET($H$3,0,0,'Données projet'!$E$13+1,1))</f>
        <v>277.77877239988635</v>
      </c>
      <c r="CZ80" s="60">
        <f t="shared" si="96"/>
        <v>164.65640238394164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3.3333333333333313</v>
      </c>
      <c r="DO80" s="13">
        <f>IF('Données projet'!$A$166&gt;35,DO79+DN80-DW79,IF(A80&lt;'Données projet'!$A$166,$DL$205^A80,IF(A80='Données projet'!$A$166,'Données projet'!$B$166,DO79+DN80-DW79)))</f>
        <v>199.61538461538447</v>
      </c>
      <c r="DP80" s="18">
        <f>DO80*VLOOKUP('Données projet'!$B$14,Paramètres!$A$1:$I$89,3,0)*VLOOKUP('Données projet'!$B$14,Paramètres!$A$1:$I$89,5,0)</f>
        <v>171.2699999999999</v>
      </c>
      <c r="DQ80" s="14">
        <f t="shared" si="97"/>
        <v>43.374338010208952</v>
      </c>
      <c r="DR80" s="22">
        <f t="shared" si="70"/>
        <v>373.83888870111377</v>
      </c>
      <c r="DS80" s="60">
        <f t="shared" si="71"/>
        <v>643.349047925386</v>
      </c>
      <c r="DT80" s="60">
        <f ca="1">AVERAGE(OFFSET($DS$3,0,0,'Données projet'!$E$14+1,1))-AVERAGE(OFFSET($H$3,0,0,'Données projet'!$E$14+1,1))</f>
        <v>354.30160274624632</v>
      </c>
      <c r="DU80" s="60">
        <f t="shared" si="98"/>
        <v>218.8005329382452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6</v>
      </c>
      <c r="EJ80" s="13">
        <f>IF('Données projet'!$A$192&gt;35,EJ79+EI80-ER79,IF(A80&lt;'Données projet'!$A$192,$EG$205^A80,IF(A80='Données projet'!$A$192,'Données projet'!$B$192,EJ79+EI80-ER79)))</f>
        <v>263.99999999999989</v>
      </c>
      <c r="EK80" s="18">
        <f>EJ80*VLOOKUP('Données projet'!$B$15,Paramètres!$A$1:$I$89,3,0)*VLOOKUP('Données projet'!$B$15,Paramètres!$A$1:$I$89,5,0)</f>
        <v>255.34079999999989</v>
      </c>
      <c r="EL80" s="14">
        <f t="shared" si="99"/>
        <v>61.728182021951895</v>
      </c>
      <c r="EM80" s="22">
        <f t="shared" si="73"/>
        <v>552.22847702156594</v>
      </c>
      <c r="EN80" s="60">
        <f t="shared" si="74"/>
        <v>821.73863624583828</v>
      </c>
      <c r="EO80" s="60">
        <f ca="1">AVERAGE(OFFSET($EN$3,0,0,'Données projet'!$E$15+1,1))-AVERAGE(OFFSET($H$3,0,0,'Données projet'!$E$15+1,1))</f>
        <v>496.33873798282525</v>
      </c>
      <c r="EP80" s="60">
        <f t="shared" si="100"/>
        <v>280.25465074992246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2.9799999999999955</v>
      </c>
      <c r="FE80" s="13">
        <f>IF('Données projet'!$A$218&gt;35,FE79+FD80-FM79,IF(A80&lt;'Données projet'!$A$218,$FB$205^A80,IF(A80='Données projet'!$A$218,'Données projet'!$B$218,FE79+FD80-FM79)))</f>
        <v>275.66000000000031</v>
      </c>
      <c r="FF80" s="18">
        <f>FE80*VLOOKUP('Données projet'!$B$16,Paramètres!$A$1:$I$89,3,0)*VLOOKUP('Données projet'!$B$16,Paramètres!$A$1:$I$89,5,0)</f>
        <v>223.61539200000027</v>
      </c>
      <c r="FG80" s="14">
        <f t="shared" si="101"/>
        <v>54.899926310255317</v>
      </c>
      <c r="FH80" s="22">
        <f t="shared" si="76"/>
        <v>485.0808460570284</v>
      </c>
      <c r="FI80" s="60">
        <f t="shared" si="77"/>
        <v>754.59100528130068</v>
      </c>
      <c r="FJ80" s="60">
        <f ca="1">AVERAGE(OFFSET($FI$3,0,0,'Données projet'!$E$16+1,1))-AVERAGE(OFFSET($H$3,0,0,'Données projet'!$E$16+1,1))</f>
        <v>341.66430955115521</v>
      </c>
      <c r="FK80" s="60">
        <f t="shared" si="102"/>
        <v>366.15174925159192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2.9799999999999955</v>
      </c>
      <c r="FZ80" s="13">
        <f>IF('Données projet'!$A$244&gt;35,FZ79+FY80-GH79,IF(A80&lt;'Données projet'!$A$244,$FW$205^A80,IF(A80='Données projet'!$A$244,'Données projet'!$B$244,FZ79+FY80-GH79)))</f>
        <v>275.66000000000031</v>
      </c>
      <c r="GA80" s="18">
        <f>FZ80*VLOOKUP('Données projet'!$B$17,Paramètres!$A$1:$I$89,3,0)*VLOOKUP('Données projet'!$B$17,Paramètres!$A$1:$I$89,5,0)</f>
        <v>202.11391200000025</v>
      </c>
      <c r="GB80" s="14">
        <f t="shared" si="103"/>
        <v>50.208456937175463</v>
      </c>
      <c r="GC80" s="22">
        <f t="shared" si="79"/>
        <v>439.46145923224771</v>
      </c>
      <c r="GD80" s="60">
        <f t="shared" si="80"/>
        <v>708.97161845651999</v>
      </c>
      <c r="GE80" s="60">
        <f ca="1">AVERAGE(OFFSET($GD$3,0,0,'Données projet'!$E$17+1,1))-AVERAGE(OFFSET($H$3,0,0,'Données projet'!$E$17+1,1))</f>
        <v>314.58662400031631</v>
      </c>
      <c r="GF80" s="60">
        <f t="shared" si="104"/>
        <v>336.99073123405981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4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273.77999999999992</v>
      </c>
      <c r="P81" s="14">
        <f t="shared" si="87"/>
        <v>65.650830427167435</v>
      </c>
      <c r="Q81" s="22">
        <f t="shared" si="54"/>
        <v>591.17536299398307</v>
      </c>
      <c r="R81" s="60">
        <f t="shared" si="55"/>
        <v>861.0988010284093</v>
      </c>
      <c r="S81" s="60">
        <f ca="1">AVERAGE(OFFSET($R$3,0,0,'Données projet'!$E$9+1,1))-AVERAGE(OFFSET($H$3,0,0,'Données projet'!$E$9+1,1))</f>
        <v>516.30971934066179</v>
      </c>
      <c r="T81" s="60">
        <f t="shared" si="88"/>
        <v>290.84286505723571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4.3589743589743648</v>
      </c>
      <c r="AI81" s="14">
        <f>IF('Données projet'!$A$62&gt;35,AI80+AH81-AQ80,IF(A81&lt;'Données projet'!$A$62,$AF$205^A81,IF(A81='Données projet'!$A$62,'Données projet'!$B$62,AI80+AH81-AQ80)))</f>
        <v>270.7692307692306</v>
      </c>
      <c r="AJ81" s="14">
        <f>AI81*VLOOKUP('Données projet'!$B$10,Paramètres!$A$1:$I$89,3,0)*VLOOKUP('Données projet'!$B$10,Paramètres!$A$1:$I$89,5,0)</f>
        <v>283.00799999999987</v>
      </c>
      <c r="AK81" s="14">
        <f t="shared" si="89"/>
        <v>67.602289883832427</v>
      </c>
      <c r="AL81" s="22">
        <f t="shared" si="58"/>
        <v>610.64625488100796</v>
      </c>
      <c r="AM81" s="60">
        <f t="shared" si="59"/>
        <v>880.56969291543419</v>
      </c>
      <c r="AN81" s="60">
        <f ca="1">AVERAGE(OFFSET($AM$3,0,0,'Données projet'!$E$10+1,1))-AVERAGE(OFFSET($H$3,0,0,'Données projet'!$E$10+1,1))</f>
        <v>529.00505223594837</v>
      </c>
      <c r="AO81" s="60">
        <f t="shared" si="90"/>
        <v>321.23004033257985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2.9799999999999955</v>
      </c>
      <c r="BD81" s="13">
        <f>IF('Données projet'!$A$88&gt;35,BD80+BC81-BL80,IF(A81&lt;'Données projet'!$A$88,$BA$205^A81,IF(A81='Données projet'!$A$88,'Données projet'!$B$88,BD80+BC81-BL80)))</f>
        <v>278.64000000000033</v>
      </c>
      <c r="BE81" s="14">
        <f>BD81*VLOOKUP('Données projet'!$B$11,Paramètres!$A$1:$I$89,3,0)*VLOOKUP('Données projet'!$B$11,Paramètres!$A$1:$I$89,5,0)</f>
        <v>243.41990400000032</v>
      </c>
      <c r="BF81" s="14">
        <f t="shared" si="91"/>
        <v>59.174732473133545</v>
      </c>
      <c r="BG81" s="22">
        <f t="shared" si="61"/>
        <v>527.01899185737477</v>
      </c>
      <c r="BH81" s="60">
        <f t="shared" si="62"/>
        <v>796.942429891801</v>
      </c>
      <c r="BI81" s="60">
        <f ca="1">AVERAGE(OFFSET($BH$3,0,0,'Données projet'!$E$11+1,1))-AVERAGE(OFFSET($H$3,0,0,'Données projet'!$E$11+1,1))</f>
        <v>363.28611056308665</v>
      </c>
      <c r="BJ81" s="60">
        <f t="shared" si="92"/>
        <v>389.43647559455974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269.99999999999989</v>
      </c>
      <c r="BZ81" s="14">
        <f>BY81*VLOOKUP('Données projet'!$B$12,Paramètres!$A$1:$I$89,3,0)*VLOOKUP('Données projet'!$B$12,Paramètres!$A$1:$I$89,5,0)</f>
        <v>290.62799999999987</v>
      </c>
      <c r="CA81" s="14">
        <f t="shared" si="93"/>
        <v>69.208117853196882</v>
      </c>
      <c r="CB81" s="22">
        <f t="shared" si="64"/>
        <v>626.71457192765104</v>
      </c>
      <c r="CC81" s="60">
        <f t="shared" si="65"/>
        <v>896.63800996207726</v>
      </c>
      <c r="CD81" s="60">
        <f ca="1">AVERAGE(OFFSET($CC$3,0,0,'Données projet'!$E$12+1,1))-AVERAGE(OFFSET($H$3,0,0,'Données projet'!$E$12+1,1))</f>
        <v>542.90832990875208</v>
      </c>
      <c r="CE81" s="60">
        <f t="shared" si="94"/>
        <v>304.94365539329362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8.9320512820512761</v>
      </c>
      <c r="CT81" s="13">
        <f>IF('Données projet'!$A$140&gt;35,CT80+CS81-DB80,IF(A81&lt;'Données projet'!$A$140,$CQ$205^A81,IF(A81='Données projet'!$A$140,'Données projet'!$B$140,CT80+CS81-DB80)))</f>
        <v>301.91153846153816</v>
      </c>
      <c r="CU81" s="18">
        <f>CT81*VLOOKUP('Données projet'!$B$13,Paramètres!$A$1:$I$89,3,0)*VLOOKUP('Données projet'!$B$13,Paramètres!$A$1:$I$89,5,0)</f>
        <v>141.29459999999986</v>
      </c>
      <c r="CV81" s="14">
        <f t="shared" si="95"/>
        <v>36.593421110553088</v>
      </c>
      <c r="CW81" s="22">
        <f t="shared" si="67"/>
        <v>309.82163676754641</v>
      </c>
      <c r="CX81" s="60">
        <f t="shared" si="68"/>
        <v>579.74507480197258</v>
      </c>
      <c r="CY81" s="60">
        <f ca="1">AVERAGE(OFFSET($CX$3,0,0,'Données projet'!$E$13+1,1))-AVERAGE(OFFSET($H$3,0,0,'Données projet'!$E$13+1,1))</f>
        <v>277.77877239988635</v>
      </c>
      <c r="CZ81" s="60">
        <f t="shared" si="96"/>
        <v>164.65640238394164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3.3333333333333313</v>
      </c>
      <c r="DO81" s="13">
        <f>IF('Données projet'!$A$166&gt;35,DO80+DN81-DW80,IF(A81&lt;'Données projet'!$A$166,$DL$205^A81,IF(A81='Données projet'!$A$166,'Données projet'!$B$166,DO80+DN81-DW80)))</f>
        <v>202.94871794871781</v>
      </c>
      <c r="DP81" s="18">
        <f>DO81*VLOOKUP('Données projet'!$B$14,Paramètres!$A$1:$I$89,3,0)*VLOOKUP('Données projet'!$B$14,Paramètres!$A$1:$I$89,5,0)</f>
        <v>174.12999999999991</v>
      </c>
      <c r="DQ81" s="14">
        <f t="shared" si="97"/>
        <v>44.013710023038485</v>
      </c>
      <c r="DR81" s="22">
        <f t="shared" si="70"/>
        <v>379.93362829012523</v>
      </c>
      <c r="DS81" s="60">
        <f t="shared" si="71"/>
        <v>649.8570663245514</v>
      </c>
      <c r="DT81" s="60">
        <f ca="1">AVERAGE(OFFSET($DS$3,0,0,'Données projet'!$E$14+1,1))-AVERAGE(OFFSET($H$3,0,0,'Données projet'!$E$14+1,1))</f>
        <v>354.30160274624632</v>
      </c>
      <c r="DU81" s="60">
        <f t="shared" si="98"/>
        <v>218.8005329382452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6</v>
      </c>
      <c r="EJ81" s="13">
        <f>IF('Données projet'!$A$192&gt;35,EJ80+EI81-ER80,IF(A81&lt;'Données projet'!$A$192,$EG$205^A81,IF(A81='Données projet'!$A$192,'Données projet'!$B$192,EJ80+EI81-ER80)))</f>
        <v>269.99999999999989</v>
      </c>
      <c r="EK81" s="18">
        <f>EJ81*VLOOKUP('Données projet'!$B$15,Paramètres!$A$1:$I$89,3,0)*VLOOKUP('Données projet'!$B$15,Paramètres!$A$1:$I$89,5,0)</f>
        <v>261.14399999999989</v>
      </c>
      <c r="EL81" s="14">
        <f t="shared" si="99"/>
        <v>62.966170181808813</v>
      </c>
      <c r="EM81" s="22">
        <f t="shared" si="73"/>
        <v>564.49187973331675</v>
      </c>
      <c r="EN81" s="60">
        <f t="shared" si="74"/>
        <v>834.41531776774298</v>
      </c>
      <c r="EO81" s="60">
        <f ca="1">AVERAGE(OFFSET($EN$3,0,0,'Données projet'!$E$15+1,1))-AVERAGE(OFFSET($H$3,0,0,'Données projet'!$E$15+1,1))</f>
        <v>496.33873798282525</v>
      </c>
      <c r="EP81" s="60">
        <f t="shared" si="100"/>
        <v>280.25465074992246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2.9799999999999955</v>
      </c>
      <c r="FE81" s="13">
        <f>IF('Données projet'!$A$218&gt;35,FE80+FD81-FM80,IF(A81&lt;'Données projet'!$A$218,$FB$205^A81,IF(A81='Données projet'!$A$218,'Données projet'!$B$218,FE80+FD81-FM80)))</f>
        <v>278.64000000000033</v>
      </c>
      <c r="FF81" s="18">
        <f>FE81*VLOOKUP('Données projet'!$B$16,Paramètres!$A$1:$I$89,3,0)*VLOOKUP('Données projet'!$B$16,Paramètres!$A$1:$I$89,5,0)</f>
        <v>226.03276800000026</v>
      </c>
      <c r="FG81" s="14">
        <f t="shared" si="101"/>
        <v>55.42400650183086</v>
      </c>
      <c r="FH81" s="22">
        <f t="shared" si="76"/>
        <v>490.20388225735581</v>
      </c>
      <c r="FI81" s="60">
        <f t="shared" si="77"/>
        <v>760.1273202917821</v>
      </c>
      <c r="FJ81" s="60">
        <f ca="1">AVERAGE(OFFSET($FI$3,0,0,'Données projet'!$E$16+1,1))-AVERAGE(OFFSET($H$3,0,0,'Données projet'!$E$16+1,1))</f>
        <v>341.66430955115521</v>
      </c>
      <c r="FK81" s="60">
        <f t="shared" si="102"/>
        <v>366.15174925159192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2.9799999999999955</v>
      </c>
      <c r="FZ81" s="13">
        <f>IF('Données projet'!$A$244&gt;35,FZ80+FY81-GH80,IF(A81&lt;'Données projet'!$A$244,$FW$205^A81,IF(A81='Données projet'!$A$244,'Données projet'!$B$244,FZ80+FY81-GH80)))</f>
        <v>278.64000000000033</v>
      </c>
      <c r="GA81" s="18">
        <f>FZ81*VLOOKUP('Données projet'!$B$17,Paramètres!$A$1:$I$89,3,0)*VLOOKUP('Données projet'!$B$17,Paramètres!$A$1:$I$89,5,0)</f>
        <v>204.29884800000025</v>
      </c>
      <c r="GB81" s="14">
        <f t="shared" si="103"/>
        <v>50.687751892539211</v>
      </c>
      <c r="GC81" s="22">
        <f t="shared" si="79"/>
        <v>444.10166147950622</v>
      </c>
      <c r="GD81" s="60">
        <f t="shared" si="80"/>
        <v>714.02509951393245</v>
      </c>
      <c r="GE81" s="60">
        <f ca="1">AVERAGE(OFFSET($GD$3,0,0,'Données projet'!$E$17+1,1))-AVERAGE(OFFSET($H$3,0,0,'Données projet'!$E$17+1,1))</f>
        <v>314.58662400031631</v>
      </c>
      <c r="GF81" s="60">
        <f t="shared" si="104"/>
        <v>336.99073123405981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4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279.86399999999986</v>
      </c>
      <c r="P82" s="14">
        <f t="shared" si="87"/>
        <v>66.938267358965007</v>
      </c>
      <c r="Q82" s="22">
        <f t="shared" si="54"/>
        <v>604.01394898353044</v>
      </c>
      <c r="R82" s="60">
        <f t="shared" si="55"/>
        <v>874.34349636470733</v>
      </c>
      <c r="S82" s="60">
        <f ca="1">AVERAGE(OFFSET($R$3,0,0,'Données projet'!$E$9+1,1))-AVERAGE(OFFSET($H$3,0,0,'Données projet'!$E$9+1,1))</f>
        <v>516.30971934066179</v>
      </c>
      <c r="T82" s="60">
        <f t="shared" si="88"/>
        <v>290.84286505723571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4.3589743589743648</v>
      </c>
      <c r="AI82" s="14">
        <f>IF('Données projet'!$A$62&gt;35,AI81+AH82-AQ81,IF(A82&lt;'Données projet'!$A$62,$AF$205^A82,IF(A82='Données projet'!$A$62,'Données projet'!$B$62,AI81+AH82-AQ81)))</f>
        <v>275.12820512820497</v>
      </c>
      <c r="AJ82" s="14">
        <f>AI82*VLOOKUP('Données projet'!$B$10,Paramètres!$A$1:$I$89,3,0)*VLOOKUP('Données projet'!$B$10,Paramètres!$A$1:$I$89,5,0)</f>
        <v>287.56399999999985</v>
      </c>
      <c r="AK82" s="14">
        <f t="shared" si="89"/>
        <v>68.563011232963589</v>
      </c>
      <c r="AL82" s="22">
        <f t="shared" si="58"/>
        <v>620.25454456407806</v>
      </c>
      <c r="AM82" s="60">
        <f t="shared" si="59"/>
        <v>890.58409194525507</v>
      </c>
      <c r="AN82" s="60">
        <f ca="1">AVERAGE(OFFSET($AM$3,0,0,'Données projet'!$E$10+1,1))-AVERAGE(OFFSET($H$3,0,0,'Données projet'!$E$10+1,1))</f>
        <v>529.00505223594837</v>
      </c>
      <c r="AO82" s="60">
        <f t="shared" si="90"/>
        <v>321.23004033257985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2.9799999999999955</v>
      </c>
      <c r="BD82" s="13">
        <f>IF('Données projet'!$A$88&gt;35,BD81+BC82-BL81,IF(A82&lt;'Données projet'!$A$88,$BA$205^A82,IF(A82='Données projet'!$A$88,'Données projet'!$B$88,BD81+BC82-BL81)))</f>
        <v>281.62000000000035</v>
      </c>
      <c r="BE82" s="14">
        <f>BD82*VLOOKUP('Données projet'!$B$11,Paramètres!$A$1:$I$89,3,0)*VLOOKUP('Données projet'!$B$11,Paramètres!$A$1:$I$89,5,0)</f>
        <v>246.02323200000032</v>
      </c>
      <c r="BF82" s="14">
        <f t="shared" si="91"/>
        <v>59.73358275988631</v>
      </c>
      <c r="BG82" s="22">
        <f t="shared" si="61"/>
        <v>532.52645237346917</v>
      </c>
      <c r="BH82" s="60">
        <f t="shared" si="62"/>
        <v>802.85599975464606</v>
      </c>
      <c r="BI82" s="60">
        <f ca="1">AVERAGE(OFFSET($BH$3,0,0,'Données projet'!$E$11+1,1))-AVERAGE(OFFSET($H$3,0,0,'Données projet'!$E$11+1,1))</f>
        <v>363.28611056308665</v>
      </c>
      <c r="BJ82" s="60">
        <f t="shared" si="92"/>
        <v>389.43647559455974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275.99999999999989</v>
      </c>
      <c r="BZ82" s="14">
        <f>BY82*VLOOKUP('Données projet'!$B$12,Paramètres!$A$1:$I$89,3,0)*VLOOKUP('Données projet'!$B$12,Paramètres!$A$1:$I$89,5,0)</f>
        <v>297.08639999999986</v>
      </c>
      <c r="CA82" s="14">
        <f t="shared" si="93"/>
        <v>70.565314499829583</v>
      </c>
      <c r="CB82" s="22">
        <f t="shared" si="64"/>
        <v>640.3267360872029</v>
      </c>
      <c r="CC82" s="60">
        <f t="shared" si="65"/>
        <v>910.6562834683798</v>
      </c>
      <c r="CD82" s="60">
        <f ca="1">AVERAGE(OFFSET($CC$3,0,0,'Données projet'!$E$12+1,1))-AVERAGE(OFFSET($H$3,0,0,'Données projet'!$E$12+1,1))</f>
        <v>542.90832990875208</v>
      </c>
      <c r="CE82" s="60">
        <f t="shared" si="94"/>
        <v>304.94365539329362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8.9320512820512761</v>
      </c>
      <c r="CT82" s="13">
        <f>IF('Données projet'!$A$140&gt;35,CT81+CS82-DB81,IF(A82&lt;'Données projet'!$A$140,$CQ$205^A82,IF(A82='Données projet'!$A$140,'Données projet'!$B$140,CT81+CS82-DB81)))</f>
        <v>310.8435897435894</v>
      </c>
      <c r="CU82" s="18">
        <f>CT82*VLOOKUP('Données projet'!$B$13,Paramètres!$A$1:$I$89,3,0)*VLOOKUP('Données projet'!$B$13,Paramètres!$A$1:$I$89,5,0)</f>
        <v>145.47479999999985</v>
      </c>
      <c r="CV82" s="14">
        <f t="shared" si="95"/>
        <v>37.548391497194409</v>
      </c>
      <c r="CW82" s="22">
        <f t="shared" si="67"/>
        <v>318.76539185761334</v>
      </c>
      <c r="CX82" s="60">
        <f t="shared" si="68"/>
        <v>589.09493923879029</v>
      </c>
      <c r="CY82" s="60">
        <f ca="1">AVERAGE(OFFSET($CX$3,0,0,'Données projet'!$E$13+1,1))-AVERAGE(OFFSET($H$3,0,0,'Données projet'!$E$13+1,1))</f>
        <v>277.77877239988635</v>
      </c>
      <c r="CZ82" s="60">
        <f t="shared" si="96"/>
        <v>164.65640238394164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3.3333333333333313</v>
      </c>
      <c r="DO82" s="13">
        <f>IF('Données projet'!$A$166&gt;35,DO81+DN82-DW81,IF(A82&lt;'Données projet'!$A$166,$DL$205^A82,IF(A82='Données projet'!$A$166,'Données projet'!$B$166,DO81+DN82-DW81)))</f>
        <v>206.28205128205116</v>
      </c>
      <c r="DP82" s="18">
        <f>DO82*VLOOKUP('Données projet'!$B$14,Paramètres!$A$1:$I$89,3,0)*VLOOKUP('Données projet'!$B$14,Paramètres!$A$1:$I$89,5,0)</f>
        <v>176.98999999999992</v>
      </c>
      <c r="DQ82" s="14">
        <f t="shared" si="97"/>
        <v>44.651860785798675</v>
      </c>
      <c r="DR82" s="22">
        <f t="shared" si="70"/>
        <v>386.02624086859925</v>
      </c>
      <c r="DS82" s="60">
        <f t="shared" si="71"/>
        <v>656.3557882497762</v>
      </c>
      <c r="DT82" s="60">
        <f ca="1">AVERAGE(OFFSET($DS$3,0,0,'Données projet'!$E$14+1,1))-AVERAGE(OFFSET($H$3,0,0,'Données projet'!$E$14+1,1))</f>
        <v>354.30160274624632</v>
      </c>
      <c r="DU82" s="60">
        <f t="shared" si="98"/>
        <v>218.8005329382452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6</v>
      </c>
      <c r="EJ82" s="13">
        <f>IF('Données projet'!$A$192&gt;35,EJ81+EI82-ER81,IF(A82&lt;'Données projet'!$A$192,$EG$205^A82,IF(A82='Données projet'!$A$192,'Données projet'!$B$192,EJ81+EI82-ER81)))</f>
        <v>275.99999999999989</v>
      </c>
      <c r="EK82" s="18">
        <f>EJ82*VLOOKUP('Données projet'!$B$15,Paramètres!$A$1:$I$89,3,0)*VLOOKUP('Données projet'!$B$15,Paramètres!$A$1:$I$89,5,0)</f>
        <v>266.9471999999999</v>
      </c>
      <c r="EL82" s="14">
        <f t="shared" si="99"/>
        <v>64.200959938746379</v>
      </c>
      <c r="EM82" s="22">
        <f t="shared" si="73"/>
        <v>576.74971189331643</v>
      </c>
      <c r="EN82" s="60">
        <f t="shared" si="74"/>
        <v>847.07925927449332</v>
      </c>
      <c r="EO82" s="60">
        <f ca="1">AVERAGE(OFFSET($EN$3,0,0,'Données projet'!$E$15+1,1))-AVERAGE(OFFSET($H$3,0,0,'Données projet'!$E$15+1,1))</f>
        <v>496.33873798282525</v>
      </c>
      <c r="EP82" s="60">
        <f t="shared" si="100"/>
        <v>280.25465074992246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2.9799999999999955</v>
      </c>
      <c r="FE82" s="13">
        <f>IF('Données projet'!$A$218&gt;35,FE81+FD82-FM81,IF(A82&lt;'Données projet'!$A$218,$FB$205^A82,IF(A82='Données projet'!$A$218,'Données projet'!$B$218,FE81+FD82-FM81)))</f>
        <v>281.62000000000035</v>
      </c>
      <c r="FF82" s="18">
        <f>FE82*VLOOKUP('Données projet'!$B$16,Paramètres!$A$1:$I$89,3,0)*VLOOKUP('Données projet'!$B$16,Paramètres!$A$1:$I$89,5,0)</f>
        <v>228.45014400000031</v>
      </c>
      <c r="FG82" s="14">
        <f t="shared" si="101"/>
        <v>55.947434671795094</v>
      </c>
      <c r="FH82" s="22">
        <f t="shared" si="76"/>
        <v>495.32578285337695</v>
      </c>
      <c r="FI82" s="60">
        <f t="shared" si="77"/>
        <v>765.65533023455396</v>
      </c>
      <c r="FJ82" s="60">
        <f ca="1">AVERAGE(OFFSET($FI$3,0,0,'Données projet'!$E$16+1,1))-AVERAGE(OFFSET($H$3,0,0,'Données projet'!$E$16+1,1))</f>
        <v>341.66430955115521</v>
      </c>
      <c r="FK82" s="60">
        <f t="shared" si="102"/>
        <v>366.15174925159192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2.9799999999999955</v>
      </c>
      <c r="FZ82" s="13">
        <f>IF('Données projet'!$A$244&gt;35,FZ81+FY82-GH81,IF(A82&lt;'Données projet'!$A$244,$FW$205^A82,IF(A82='Données projet'!$A$244,'Données projet'!$B$244,FZ81+FY82-GH81)))</f>
        <v>281.62000000000035</v>
      </c>
      <c r="GA82" s="18">
        <f>FZ82*VLOOKUP('Données projet'!$B$17,Paramètres!$A$1:$I$89,3,0)*VLOOKUP('Données projet'!$B$17,Paramètres!$A$1:$I$89,5,0)</f>
        <v>206.48378400000024</v>
      </c>
      <c r="GB82" s="14">
        <f t="shared" si="103"/>
        <v>51.166450544752927</v>
      </c>
      <c r="GC82" s="22">
        <f t="shared" si="79"/>
        <v>448.74082516544513</v>
      </c>
      <c r="GD82" s="60">
        <f t="shared" si="80"/>
        <v>719.07037254662214</v>
      </c>
      <c r="GE82" s="60">
        <f ca="1">AVERAGE(OFFSET($GD$3,0,0,'Données projet'!$E$17+1,1))-AVERAGE(OFFSET($H$3,0,0,'Données projet'!$E$17+1,1))</f>
        <v>314.58662400031631</v>
      </c>
      <c r="GF82" s="60">
        <f t="shared" si="104"/>
        <v>336.99073123405981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4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285.94799999999992</v>
      </c>
      <c r="P83" s="14">
        <f t="shared" si="87"/>
        <v>68.222450362989363</v>
      </c>
      <c r="Q83" s="22">
        <f t="shared" si="54"/>
        <v>616.84686771553959</v>
      </c>
      <c r="R83" s="60">
        <f t="shared" si="55"/>
        <v>887.57547935422576</v>
      </c>
      <c r="S83" s="60">
        <f ca="1">AVERAGE(OFFSET($R$3,0,0,'Données projet'!$E$9+1,1))-AVERAGE(OFFSET($H$3,0,0,'Données projet'!$E$9+1,1))</f>
        <v>516.30971934066179</v>
      </c>
      <c r="T83" s="60">
        <f t="shared" si="88"/>
        <v>290.84286505723571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279.4871794871795</v>
      </c>
      <c r="AG83" s="13">
        <f>VLOOKUP(A83,'Données projet'!$A$61:$I$81,9,0)</f>
        <v>4.3589743589743648</v>
      </c>
      <c r="AH83" s="13">
        <f t="array" ref="AH83">INDEX(AG:AG,MIN(IF(ISNUMBER(AG83:AG279),ROW(AG83:AG279),"")))</f>
        <v>4.3589743589743648</v>
      </c>
      <c r="AI83" s="14">
        <f>IF('Données projet'!$A$62&gt;35,AI82+AH83-AQ82,IF(A83&lt;'Données projet'!$A$62,$AF$205^A83,IF(A83='Données projet'!$A$62,'Données projet'!$B$62,AI82+AH83-AQ82)))</f>
        <v>279.48717948717933</v>
      </c>
      <c r="AJ83" s="14">
        <f>AI83*VLOOKUP('Données projet'!$B$10,Paramètres!$A$1:$I$89,3,0)*VLOOKUP('Données projet'!$B$10,Paramètres!$A$1:$I$89,5,0)</f>
        <v>292.11999999999989</v>
      </c>
      <c r="AK83" s="14">
        <f t="shared" si="89"/>
        <v>69.521962397994116</v>
      </c>
      <c r="AL83" s="22">
        <f t="shared" si="58"/>
        <v>629.85975117650617</v>
      </c>
      <c r="AM83" s="60">
        <f t="shared" si="59"/>
        <v>900.58836281519234</v>
      </c>
      <c r="AN83" s="60">
        <f ca="1">AVERAGE(OFFSET($AM$3,0,0,'Données projet'!$E$10+1,1))-AVERAGE(OFFSET($H$3,0,0,'Données projet'!$E$10+1,1))</f>
        <v>529.00505223594837</v>
      </c>
      <c r="AO83" s="60">
        <f t="shared" si="90"/>
        <v>321.23004033257985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22.435897435897434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284.60000000000002</v>
      </c>
      <c r="BB83" s="13">
        <f>VLOOKUP(A83,'Données projet'!$A$87:$I$107,9,0)</f>
        <v>2.9799999999999955</v>
      </c>
      <c r="BC83" s="13">
        <f t="array" ref="BC83">INDEX(BB:BB,MIN(IF(ISNUMBER(BB83:BB279),ROW(BB83:BB279),"")))</f>
        <v>2.9799999999999955</v>
      </c>
      <c r="BD83" s="13">
        <f>IF('Données projet'!$A$88&gt;35,BD82+BC83-BL82,IF(A83&lt;'Données projet'!$A$88,$BA$205^A83,IF(A83='Données projet'!$A$88,'Données projet'!$B$88,BD82+BC83-BL82)))</f>
        <v>284.60000000000036</v>
      </c>
      <c r="BE83" s="14">
        <f>BD83*VLOOKUP('Données projet'!$B$11,Paramètres!$A$1:$I$89,3,0)*VLOOKUP('Données projet'!$B$11,Paramètres!$A$1:$I$89,5,0)</f>
        <v>248.62656000000038</v>
      </c>
      <c r="BF83" s="14">
        <f t="shared" si="91"/>
        <v>60.291745119621027</v>
      </c>
      <c r="BG83" s="22">
        <f t="shared" si="61"/>
        <v>538.03271475000724</v>
      </c>
      <c r="BH83" s="60">
        <f t="shared" si="62"/>
        <v>808.76132638869331</v>
      </c>
      <c r="BI83" s="60">
        <f ca="1">AVERAGE(OFFSET($BH$3,0,0,'Données projet'!$E$11+1,1))-AVERAGE(OFFSET($H$3,0,0,'Données projet'!$E$11+1,1))</f>
        <v>363.28611056308665</v>
      </c>
      <c r="BJ83" s="60">
        <f t="shared" si="92"/>
        <v>389.43647559455974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284.60000000000002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281.99999999999989</v>
      </c>
      <c r="BZ83" s="14">
        <f>BY83*VLOOKUP('Données projet'!$B$12,Paramètres!$A$1:$I$89,3,0)*VLOOKUP('Données projet'!$B$12,Paramètres!$A$1:$I$89,5,0)</f>
        <v>303.54479999999984</v>
      </c>
      <c r="CA83" s="14">
        <f t="shared" si="93"/>
        <v>71.919080904752505</v>
      </c>
      <c r="CB83" s="22">
        <f t="shared" si="64"/>
        <v>653.93292590911028</v>
      </c>
      <c r="CC83" s="60">
        <f t="shared" si="65"/>
        <v>924.66153754779634</v>
      </c>
      <c r="CD83" s="60">
        <f ca="1">AVERAGE(OFFSET($CC$3,0,0,'Données projet'!$E$12+1,1))-AVERAGE(OFFSET($H$3,0,0,'Données projet'!$E$12+1,1))</f>
        <v>542.90832990875208</v>
      </c>
      <c r="CE83" s="60">
        <f t="shared" si="94"/>
        <v>304.94365539329362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8.9320512820512761</v>
      </c>
      <c r="CT83" s="13">
        <f>IF('Données projet'!$A$140&gt;35,CT82+CS83-DB82,IF(A83&lt;'Données projet'!$A$140,$CQ$205^A83,IF(A83='Données projet'!$A$140,'Données projet'!$B$140,CT82+CS83-DB82)))</f>
        <v>319.77564102564065</v>
      </c>
      <c r="CU83" s="18">
        <f>CT83*VLOOKUP('Données projet'!$B$13,Paramètres!$A$1:$I$89,3,0)*VLOOKUP('Données projet'!$B$13,Paramètres!$A$1:$I$89,5,0)</f>
        <v>149.65499999999983</v>
      </c>
      <c r="CV83" s="14">
        <f t="shared" si="95"/>
        <v>38.500172628917376</v>
      </c>
      <c r="CW83" s="22">
        <f t="shared" si="67"/>
        <v>327.70359232869743</v>
      </c>
      <c r="CX83" s="60">
        <f t="shared" si="68"/>
        <v>598.43220396738354</v>
      </c>
      <c r="CY83" s="60">
        <f ca="1">AVERAGE(OFFSET($CX$3,0,0,'Données projet'!$E$13+1,1))-AVERAGE(OFFSET($H$3,0,0,'Données projet'!$E$13+1,1))</f>
        <v>277.77877239988635</v>
      </c>
      <c r="CZ83" s="60">
        <f t="shared" si="96"/>
        <v>164.65640238394164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209.61538461538461</v>
      </c>
      <c r="DM83" s="13">
        <f>VLOOKUP(A83,'Données projet'!$A$165:$I$185,9,0)</f>
        <v>3.3333333333333313</v>
      </c>
      <c r="DN83" s="13">
        <f t="array" ref="DN83">INDEX(DM:DM,MIN(IF(ISNUMBER(DM83:DM279),ROW(DM83:DM279),"")))</f>
        <v>3.3333333333333313</v>
      </c>
      <c r="DO83" s="13">
        <f>IF('Données projet'!$A$166&gt;35,DO82+DN83-DW82,IF(A83&lt;'Données projet'!$A$166,$DL$205^A83,IF(A83='Données projet'!$A$166,'Données projet'!$B$166,DO82+DN83-DW82)))</f>
        <v>209.6153846153845</v>
      </c>
      <c r="DP83" s="18">
        <f>DO83*VLOOKUP('Données projet'!$B$14,Paramètres!$A$1:$I$89,3,0)*VLOOKUP('Données projet'!$B$14,Paramètres!$A$1:$I$89,5,0)</f>
        <v>179.84999999999994</v>
      </c>
      <c r="DQ83" s="14">
        <f t="shared" si="97"/>
        <v>45.288812311094397</v>
      </c>
      <c r="DR83" s="22">
        <f t="shared" si="70"/>
        <v>392.11676477515601</v>
      </c>
      <c r="DS83" s="60">
        <f t="shared" si="71"/>
        <v>662.84537641384213</v>
      </c>
      <c r="DT83" s="60">
        <f ca="1">AVERAGE(OFFSET($DS$3,0,0,'Données projet'!$E$14+1,1))-AVERAGE(OFFSET($H$3,0,0,'Données projet'!$E$14+1,1))</f>
        <v>354.30160274624632</v>
      </c>
      <c r="DU83" s="60">
        <f t="shared" si="98"/>
        <v>218.8005329382452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17.948717948717949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282</v>
      </c>
      <c r="EH83" s="13">
        <f>VLOOKUP(A83,'Données projet'!$A$191:$I$211,9,0)</f>
        <v>6</v>
      </c>
      <c r="EI83" s="13">
        <f t="array" ref="EI83">INDEX(EH:EH,MIN(IF(ISNUMBER(EH83:EH279),ROW(EH83:EH279),"")))</f>
        <v>6</v>
      </c>
      <c r="EJ83" s="13">
        <f>IF('Données projet'!$A$192&gt;35,EJ82+EI83-ER82,IF(A83&lt;'Données projet'!$A$192,$EG$205^A83,IF(A83='Données projet'!$A$192,'Données projet'!$B$192,EJ82+EI83-ER82)))</f>
        <v>281.99999999999989</v>
      </c>
      <c r="EK83" s="18">
        <f>EJ83*VLOOKUP('Données projet'!$B$15,Paramètres!$A$1:$I$89,3,0)*VLOOKUP('Données projet'!$B$15,Paramètres!$A$1:$I$89,5,0)</f>
        <v>272.7503999999999</v>
      </c>
      <c r="EL83" s="14">
        <f t="shared" si="99"/>
        <v>65.432628830820633</v>
      </c>
      <c r="EM83" s="22">
        <f t="shared" si="73"/>
        <v>589.00210854701243</v>
      </c>
      <c r="EN83" s="60">
        <f t="shared" si="74"/>
        <v>859.7307201856986</v>
      </c>
      <c r="EO83" s="60">
        <f ca="1">AVERAGE(OFFSET($EN$3,0,0,'Données projet'!$E$15+1,1))-AVERAGE(OFFSET($H$3,0,0,'Données projet'!$E$15+1,1))</f>
        <v>496.33873798282525</v>
      </c>
      <c r="EP83" s="60">
        <f t="shared" si="100"/>
        <v>280.25465074992246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42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284.60000000000002</v>
      </c>
      <c r="FC83" s="13">
        <f>VLOOKUP(A83,'Données projet'!$A$217:$I$237,9,0)</f>
        <v>2.9799999999999955</v>
      </c>
      <c r="FD83" s="13">
        <f t="array" ref="FD83">INDEX(FC:FC,MIN(IF(ISNUMBER(FC83:FC279),ROW(FC83:FC279),"")))</f>
        <v>2.9799999999999955</v>
      </c>
      <c r="FE83" s="13">
        <f>IF('Données projet'!$A$218&gt;35,FE82+FD83-FM82,IF(A83&lt;'Données projet'!$A$218,$FB$205^A83,IF(A83='Données projet'!$A$218,'Données projet'!$B$218,FE82+FD83-FM82)))</f>
        <v>284.60000000000036</v>
      </c>
      <c r="FF83" s="18">
        <f>FE83*VLOOKUP('Données projet'!$B$16,Paramètres!$A$1:$I$89,3,0)*VLOOKUP('Données projet'!$B$16,Paramètres!$A$1:$I$89,5,0)</f>
        <v>230.8675200000003</v>
      </c>
      <c r="FG83" s="14">
        <f t="shared" si="101"/>
        <v>56.470218518246149</v>
      </c>
      <c r="FH83" s="22">
        <f t="shared" si="76"/>
        <v>500.44656125261253</v>
      </c>
      <c r="FI83" s="60">
        <f t="shared" si="77"/>
        <v>771.17517289129864</v>
      </c>
      <c r="FJ83" s="60">
        <f ca="1">AVERAGE(OFFSET($FI$3,0,0,'Données projet'!$E$16+1,1))-AVERAGE(OFFSET($H$3,0,0,'Données projet'!$E$16+1,1))</f>
        <v>341.66430955115521</v>
      </c>
      <c r="FK83" s="60">
        <f t="shared" si="102"/>
        <v>366.15174925159192</v>
      </c>
      <c r="FL83" s="16">
        <f>IF(ISNA(VLOOKUP(A83,'Données projet'!$A$217:$I$237,3,0)),0,VLOOKUP(A83,'Données projet'!$A$217:$I$237,3,0))</f>
        <v>7</v>
      </c>
      <c r="FM83" s="16">
        <f>IF(ISNA(VLOOKUP(A83,'Données projet'!$A$217:$I$237,4,0)),0,VLOOKUP(A83,'Données projet'!$A$217:$I$237,4,0))</f>
        <v>284.60000000000002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284.60000000000002</v>
      </c>
      <c r="FX83" s="13">
        <f>VLOOKUP(A83,'Données projet'!$A$243:$I$263,9,0)</f>
        <v>2.9799999999999955</v>
      </c>
      <c r="FY83" s="13">
        <f t="array" ref="FY83">INDEX(FX:FX,MIN(IF(ISNUMBER(FX83:FX279),ROW(FX83:FX279),"")))</f>
        <v>2.9799999999999955</v>
      </c>
      <c r="FZ83" s="13">
        <f>IF('Données projet'!$A$244&gt;35,FZ82+FY83-GH82,IF(A83&lt;'Données projet'!$A$244,$FW$205^A83,IF(A83='Données projet'!$A$244,'Données projet'!$B$244,FZ82+FY83-GH82)))</f>
        <v>284.60000000000036</v>
      </c>
      <c r="GA83" s="18">
        <f>FZ83*VLOOKUP('Données projet'!$B$17,Paramètres!$A$1:$I$89,3,0)*VLOOKUP('Données projet'!$B$17,Paramètres!$A$1:$I$89,5,0)</f>
        <v>208.66872000000026</v>
      </c>
      <c r="GB83" s="14">
        <f t="shared" si="103"/>
        <v>51.644559934074373</v>
      </c>
      <c r="GC83" s="22">
        <f t="shared" si="79"/>
        <v>453.3789625518466</v>
      </c>
      <c r="GD83" s="60">
        <f t="shared" si="80"/>
        <v>724.10757419053266</v>
      </c>
      <c r="GE83" s="60">
        <f ca="1">AVERAGE(OFFSET($GD$3,0,0,'Données projet'!$E$17+1,1))-AVERAGE(OFFSET($H$3,0,0,'Données projet'!$E$17+1,1))</f>
        <v>314.58662400031631</v>
      </c>
      <c r="GF83" s="60">
        <f t="shared" si="104"/>
        <v>336.99073123405981</v>
      </c>
      <c r="GG83" s="16">
        <f>IF(ISNA(VLOOKUP(A83,'Données projet'!$A$243:$I$263,3,0)),0,VLOOKUP(A83,'Données projet'!$A$243:$I$263,3,0))</f>
        <v>7</v>
      </c>
      <c r="GH83" s="16">
        <f>IF(ISNA(VLOOKUP(A83,'Données projet'!$A$243:$I$263,4,0)),0,VLOOKUP(A83,'Données projet'!$A$243:$I$263,4,0))</f>
        <v>284.60000000000002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4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249.03839999999994</v>
      </c>
      <c r="P84" s="14">
        <f t="shared" si="87"/>
        <v>60.379982523339947</v>
      </c>
      <c r="Q84" s="22">
        <f t="shared" si="54"/>
        <v>538.90368289481694</v>
      </c>
      <c r="R84" s="60">
        <f t="shared" si="55"/>
        <v>810.02443591831843</v>
      </c>
      <c r="S84" s="60">
        <f ca="1">AVERAGE(OFFSET($R$3,0,0,'Données projet'!$E$9+1,1))-AVERAGE(OFFSET($H$3,0,0,'Données projet'!$E$9+1,1))</f>
        <v>516.30971934066179</v>
      </c>
      <c r="T84" s="60">
        <f t="shared" si="88"/>
        <v>290.84286505723571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3.9743589743589722</v>
      </c>
      <c r="AI84" s="14">
        <f>IF('Données projet'!$A$62&gt;35,AI83+AH84-AQ83,IF(A84&lt;'Données projet'!$A$62,$AF$205^A84,IF(A84='Données projet'!$A$62,'Données projet'!$B$62,AI83+AH84-AQ83)))</f>
        <v>261.02564102564082</v>
      </c>
      <c r="AJ84" s="14">
        <f>AI84*VLOOKUP('Données projet'!$B$10,Paramètres!$A$1:$I$89,3,0)*VLOOKUP('Données projet'!$B$10,Paramètres!$A$1:$I$89,5,0)</f>
        <v>272.82399999999984</v>
      </c>
      <c r="AK84" s="14">
        <f t="shared" si="89"/>
        <v>65.448229947121135</v>
      </c>
      <c r="AL84" s="22">
        <f t="shared" si="58"/>
        <v>589.15746715790237</v>
      </c>
      <c r="AM84" s="60">
        <f t="shared" si="59"/>
        <v>860.27822018140387</v>
      </c>
      <c r="AN84" s="60">
        <f ca="1">AVERAGE(OFFSET($AM$3,0,0,'Données projet'!$E$10+1,1))-AVERAGE(OFFSET($H$3,0,0,'Données projet'!$E$10+1,1))</f>
        <v>529.00505223594837</v>
      </c>
      <c r="AO84" s="60">
        <f t="shared" si="90"/>
        <v>321.23004033257985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3.4106051316484809E-13</v>
      </c>
      <c r="BE84" s="14">
        <f>BD84*VLOOKUP('Données projet'!$B$11,Paramètres!$A$1:$I$89,3,0)*VLOOKUP('Données projet'!$B$11,Paramètres!$A$1:$I$89,5,0)</f>
        <v>2.9795046430081134E-13</v>
      </c>
      <c r="BF84" s="14">
        <f t="shared" si="91"/>
        <v>3.9419014464513778E-12</v>
      </c>
      <c r="BG84" s="22">
        <f t="shared" si="61"/>
        <v>7.384408744560063E-12</v>
      </c>
      <c r="BH84" s="60">
        <f t="shared" si="62"/>
        <v>271.12075302350883</v>
      </c>
      <c r="BI84" s="60">
        <f ca="1">AVERAGE(OFFSET($BH$3,0,0,'Données projet'!$E$11+1,1))-AVERAGE(OFFSET($H$3,0,0,'Données projet'!$E$11+1,1))</f>
        <v>363.28611056308665</v>
      </c>
      <c r="BJ84" s="60">
        <f t="shared" si="92"/>
        <v>389.43647559455974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245.59999999999991</v>
      </c>
      <c r="BZ84" s="14">
        <f>BY84*VLOOKUP('Données projet'!$B$12,Paramètres!$A$1:$I$89,3,0)*VLOOKUP('Données projet'!$B$12,Paramètres!$A$1:$I$89,5,0)</f>
        <v>264.36383999999987</v>
      </c>
      <c r="CA84" s="14">
        <f t="shared" si="93"/>
        <v>63.651669282160768</v>
      </c>
      <c r="CB84" s="22">
        <f t="shared" si="64"/>
        <v>571.29367866642974</v>
      </c>
      <c r="CC84" s="60">
        <f t="shared" si="65"/>
        <v>842.41443168993123</v>
      </c>
      <c r="CD84" s="60">
        <f ca="1">AVERAGE(OFFSET($CC$3,0,0,'Données projet'!$E$12+1,1))-AVERAGE(OFFSET($H$3,0,0,'Données projet'!$E$12+1,1))</f>
        <v>542.90832990875208</v>
      </c>
      <c r="CE84" s="60">
        <f t="shared" si="94"/>
        <v>304.94365539329362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>
        <f>VLOOKUP(A84,'Données projet'!$A$139:$I$159,2,0)</f>
        <v>328.7076923076923</v>
      </c>
      <c r="CR84" s="13">
        <f>VLOOKUP(A84,'Données projet'!$A$139:$I$159,9,0)</f>
        <v>8.9320512820512761</v>
      </c>
      <c r="CS84" s="13">
        <f t="array" ref="CS84">INDEX(CR:CR,MIN(IF(ISNUMBER(CR84:CR280),ROW(CR84:CR280),"")))</f>
        <v>8.9320512820512761</v>
      </c>
      <c r="CT84" s="13">
        <f>IF('Données projet'!$A$140&gt;35,CT83+CS84-DB83,IF(A84&lt;'Données projet'!$A$140,$CQ$205^A84,IF(A84='Données projet'!$A$140,'Données projet'!$B$140,CT83+CS84-DB83)))</f>
        <v>328.7076923076919</v>
      </c>
      <c r="CU84" s="18">
        <f>CT84*VLOOKUP('Données projet'!$B$13,Paramètres!$A$1:$I$89,3,0)*VLOOKUP('Données projet'!$B$13,Paramètres!$A$1:$I$89,5,0)</f>
        <v>153.83519999999982</v>
      </c>
      <c r="CV84" s="14">
        <f t="shared" si="95"/>
        <v>39.44886382269889</v>
      </c>
      <c r="CW84" s="22">
        <f t="shared" si="67"/>
        <v>336.63641115786692</v>
      </c>
      <c r="CX84" s="60">
        <f t="shared" si="68"/>
        <v>607.75716418136835</v>
      </c>
      <c r="CY84" s="60">
        <f ca="1">AVERAGE(OFFSET($CX$3,0,0,'Données projet'!$E$13+1,1))-AVERAGE(OFFSET($H$3,0,0,'Données projet'!$E$13+1,1))</f>
        <v>277.77877239988635</v>
      </c>
      <c r="CZ84" s="60">
        <f t="shared" si="96"/>
        <v>164.65640238394164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3.2051282051282044</v>
      </c>
      <c r="DO84" s="13">
        <f>IF('Données projet'!$A$166&gt;35,DO83+DN84-DW83,IF(A84&lt;'Données projet'!$A$166,$DL$205^A84,IF(A84='Données projet'!$A$166,'Données projet'!$B$166,DO83+DN84-DW83)))</f>
        <v>194.87179487179475</v>
      </c>
      <c r="DP84" s="18">
        <f>DO84*VLOOKUP('Données projet'!$B$14,Paramètres!$A$1:$I$89,3,0)*VLOOKUP('Données projet'!$B$14,Paramètres!$A$1:$I$89,5,0)</f>
        <v>167.19999999999993</v>
      </c>
      <c r="DQ84" s="14">
        <f t="shared" si="97"/>
        <v>42.462311874903598</v>
      </c>
      <c r="DR84" s="22">
        <f t="shared" si="70"/>
        <v>365.1618598487903</v>
      </c>
      <c r="DS84" s="60">
        <f t="shared" si="71"/>
        <v>636.28261287229179</v>
      </c>
      <c r="DT84" s="60">
        <f ca="1">AVERAGE(OFFSET($DS$3,0,0,'Données projet'!$E$14+1,1))-AVERAGE(OFFSET($H$3,0,0,'Données projet'!$E$14+1,1))</f>
        <v>354.30160274624632</v>
      </c>
      <c r="DU84" s="60">
        <f t="shared" si="98"/>
        <v>218.8005329382452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5.6</v>
      </c>
      <c r="EJ84" s="13">
        <f>IF('Données projet'!$A$192&gt;35,EJ83+EI84-ER83,IF(A84&lt;'Données projet'!$A$192,$EG$205^A84,IF(A84='Données projet'!$A$192,'Données projet'!$B$192,EJ83+EI84-ER83)))</f>
        <v>245.59999999999991</v>
      </c>
      <c r="EK84" s="18">
        <f>EJ84*VLOOKUP('Données projet'!$B$15,Paramètres!$A$1:$I$89,3,0)*VLOOKUP('Données projet'!$B$15,Paramètres!$A$1:$I$89,5,0)</f>
        <v>237.54431999999991</v>
      </c>
      <c r="EL84" s="14">
        <f t="shared" si="99"/>
        <v>57.910863128487989</v>
      </c>
      <c r="EM84" s="22">
        <f t="shared" si="73"/>
        <v>514.58444394878302</v>
      </c>
      <c r="EN84" s="60">
        <f t="shared" si="74"/>
        <v>785.70519697228451</v>
      </c>
      <c r="EO84" s="60">
        <f ca="1">AVERAGE(OFFSET($EN$3,0,0,'Données projet'!$E$15+1,1))-AVERAGE(OFFSET($H$3,0,0,'Données projet'!$E$15+1,1))</f>
        <v>496.33873798282525</v>
      </c>
      <c r="EP84" s="60">
        <f t="shared" si="100"/>
        <v>280.25465074992246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3.4106051316484809E-13</v>
      </c>
      <c r="FF84" s="18">
        <f>FE84*VLOOKUP('Données projet'!$B$16,Paramètres!$A$1:$I$89,3,0)*VLOOKUP('Données projet'!$B$16,Paramètres!$A$1:$I$89,5,0)</f>
        <v>2.7666828827932479E-13</v>
      </c>
      <c r="FG84" s="14">
        <f t="shared" si="101"/>
        <v>3.6920483163466686E-12</v>
      </c>
      <c r="FH84" s="22">
        <f t="shared" si="76"/>
        <v>6.9121814197236049E-12</v>
      </c>
      <c r="FI84" s="60">
        <f t="shared" si="77"/>
        <v>271.12075302350837</v>
      </c>
      <c r="FJ84" s="60">
        <f ca="1">AVERAGE(OFFSET($FI$3,0,0,'Données projet'!$E$16+1,1))-AVERAGE(OFFSET($H$3,0,0,'Données projet'!$E$16+1,1))</f>
        <v>341.66430955115521</v>
      </c>
      <c r="FK84" s="60">
        <f t="shared" si="102"/>
        <v>366.15174925159192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3.4106051316484809E-13</v>
      </c>
      <c r="GA84" s="18">
        <f>FZ84*VLOOKUP('Données projet'!$B$17,Paramètres!$A$1:$I$89,3,0)*VLOOKUP('Données projet'!$B$17,Paramètres!$A$1:$I$89,5,0)</f>
        <v>2.5006556825246659E-13</v>
      </c>
      <c r="GB84" s="14">
        <f t="shared" si="103"/>
        <v>3.3765445850268018E-12</v>
      </c>
      <c r="GC84" s="22">
        <f t="shared" si="79"/>
        <v>6.3163460169613921E-12</v>
      </c>
      <c r="GD84" s="60">
        <f t="shared" si="80"/>
        <v>271.12075302350775</v>
      </c>
      <c r="GE84" s="60">
        <f ca="1">AVERAGE(OFFSET($GD$3,0,0,'Données projet'!$E$17+1,1))-AVERAGE(OFFSET($H$3,0,0,'Données projet'!$E$17+1,1))</f>
        <v>314.58662400031631</v>
      </c>
      <c r="GF84" s="60">
        <f t="shared" si="104"/>
        <v>336.99073123405981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4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254.71679999999992</v>
      </c>
      <c r="P85" s="14">
        <f t="shared" si="87"/>
        <v>61.594871205031538</v>
      </c>
      <c r="Q85" s="22">
        <f t="shared" si="54"/>
        <v>550.9094940154298</v>
      </c>
      <c r="R85" s="60">
        <f t="shared" si="55"/>
        <v>822.41558564741683</v>
      </c>
      <c r="S85" s="60">
        <f ca="1">AVERAGE(OFFSET($R$3,0,0,'Données projet'!$E$9+1,1))-AVERAGE(OFFSET($H$3,0,0,'Données projet'!$E$9+1,1))</f>
        <v>516.30971934066179</v>
      </c>
      <c r="T85" s="60">
        <f t="shared" si="88"/>
        <v>290.84286505723571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3.9743589743589722</v>
      </c>
      <c r="AI85" s="14">
        <f>IF('Données projet'!$A$62&gt;35,AI84+AH85-AQ84,IF(A85&lt;'Données projet'!$A$62,$AF$205^A85,IF(A85='Données projet'!$A$62,'Données projet'!$B$62,AI84+AH85-AQ84)))</f>
        <v>264.99999999999977</v>
      </c>
      <c r="AJ85" s="14">
        <f>AI85*VLOOKUP('Données projet'!$B$10,Paramètres!$A$1:$I$89,3,0)*VLOOKUP('Données projet'!$B$10,Paramètres!$A$1:$I$89,5,0)</f>
        <v>276.97799999999978</v>
      </c>
      <c r="AK85" s="14">
        <f t="shared" si="89"/>
        <v>66.327970633211649</v>
      </c>
      <c r="AL85" s="22">
        <f t="shared" si="58"/>
        <v>597.92456551950988</v>
      </c>
      <c r="AM85" s="60">
        <f t="shared" si="59"/>
        <v>869.43065715149692</v>
      </c>
      <c r="AN85" s="60">
        <f ca="1">AVERAGE(OFFSET($AM$3,0,0,'Données projet'!$E$10+1,1))-AVERAGE(OFFSET($H$3,0,0,'Données projet'!$E$10+1,1))</f>
        <v>529.00505223594837</v>
      </c>
      <c r="AO85" s="60">
        <f t="shared" si="90"/>
        <v>321.23004033257985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3.4106051316484809E-13</v>
      </c>
      <c r="BE85" s="14">
        <f>BD85*VLOOKUP('Données projet'!$B$11,Paramètres!$A$1:$I$89,3,0)*VLOOKUP('Données projet'!$B$11,Paramètres!$A$1:$I$89,5,0)</f>
        <v>2.9795046430081134E-13</v>
      </c>
      <c r="BF85" s="14">
        <f t="shared" si="91"/>
        <v>3.9419014464513778E-12</v>
      </c>
      <c r="BG85" s="22">
        <f t="shared" si="61"/>
        <v>7.384408744560063E-12</v>
      </c>
      <c r="BH85" s="60">
        <f t="shared" si="62"/>
        <v>271.50609163199442</v>
      </c>
      <c r="BI85" s="60">
        <f ca="1">AVERAGE(OFFSET($BH$3,0,0,'Données projet'!$E$11+1,1))-AVERAGE(OFFSET($H$3,0,0,'Données projet'!$E$11+1,1))</f>
        <v>363.28611056308665</v>
      </c>
      <c r="BJ85" s="60">
        <f t="shared" si="92"/>
        <v>389.43647559455974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251.1999999999999</v>
      </c>
      <c r="BZ85" s="14">
        <f>BY85*VLOOKUP('Données projet'!$B$12,Paramètres!$A$1:$I$89,3,0)*VLOOKUP('Données projet'!$B$12,Paramètres!$A$1:$I$89,5,0)</f>
        <v>270.39167999999989</v>
      </c>
      <c r="CA85" s="14">
        <f t="shared" si="93"/>
        <v>64.932386654872516</v>
      </c>
      <c r="CB85" s="22">
        <f t="shared" si="64"/>
        <v>584.02274942390272</v>
      </c>
      <c r="CC85" s="60">
        <f t="shared" si="65"/>
        <v>855.52884105588976</v>
      </c>
      <c r="CD85" s="60">
        <f ca="1">AVERAGE(OFFSET($CC$3,0,0,'Données projet'!$E$12+1,1))-AVERAGE(OFFSET($H$3,0,0,'Données projet'!$E$12+1,1))</f>
        <v>542.90832990875208</v>
      </c>
      <c r="CE85" s="60">
        <f t="shared" si="94"/>
        <v>304.94365539329362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9.0717948717948698</v>
      </c>
      <c r="CT85" s="13">
        <f>IF('Données projet'!$A$140&gt;35,CT84+CS85-DB84,IF(A85&lt;'Données projet'!$A$140,$CQ$205^A85,IF(A85='Données projet'!$A$140,'Données projet'!$B$140,CT84+CS85-DB84)))</f>
        <v>337.77948717948675</v>
      </c>
      <c r="CU85" s="18">
        <f>CT85*VLOOKUP('Données projet'!$B$13,Paramètres!$A$1:$I$89,3,0)*VLOOKUP('Données projet'!$B$13,Paramètres!$A$1:$I$89,5,0)</f>
        <v>158.08079999999978</v>
      </c>
      <c r="CV85" s="14">
        <f t="shared" si="95"/>
        <v>40.409330933945405</v>
      </c>
      <c r="CW85" s="22">
        <f t="shared" si="67"/>
        <v>345.70364470995446</v>
      </c>
      <c r="CX85" s="60">
        <f t="shared" si="68"/>
        <v>617.20973634194149</v>
      </c>
      <c r="CY85" s="60">
        <f ca="1">AVERAGE(OFFSET($CX$3,0,0,'Données projet'!$E$13+1,1))-AVERAGE(OFFSET($H$3,0,0,'Données projet'!$E$13+1,1))</f>
        <v>277.77877239988635</v>
      </c>
      <c r="CZ85" s="60">
        <f t="shared" si="96"/>
        <v>164.65640238394164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3.2051282051282044</v>
      </c>
      <c r="DO85" s="13">
        <f>IF('Données projet'!$A$166&gt;35,DO84+DN85-DW84,IF(A85&lt;'Données projet'!$A$166,$DL$205^A85,IF(A85='Données projet'!$A$166,'Données projet'!$B$166,DO84+DN85-DW84)))</f>
        <v>198.07692307692295</v>
      </c>
      <c r="DP85" s="18">
        <f>DO85*VLOOKUP('Données projet'!$B$14,Paramètres!$A$1:$I$89,3,0)*VLOOKUP('Données projet'!$B$14,Paramètres!$A$1:$I$89,5,0)</f>
        <v>169.94999999999993</v>
      </c>
      <c r="DQ85" s="14">
        <f t="shared" si="97"/>
        <v>43.078825056884284</v>
      </c>
      <c r="DR85" s="22">
        <f t="shared" si="70"/>
        <v>371.02520364074002</v>
      </c>
      <c r="DS85" s="60">
        <f t="shared" si="71"/>
        <v>642.53129527272699</v>
      </c>
      <c r="DT85" s="60">
        <f ca="1">AVERAGE(OFFSET($DS$3,0,0,'Données projet'!$E$14+1,1))-AVERAGE(OFFSET($H$3,0,0,'Données projet'!$E$14+1,1))</f>
        <v>354.30160274624632</v>
      </c>
      <c r="DU85" s="60">
        <f t="shared" si="98"/>
        <v>218.8005329382452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5.6</v>
      </c>
      <c r="EJ85" s="13">
        <f>IF('Données projet'!$A$192&gt;35,EJ84+EI85-ER84,IF(A85&lt;'Données projet'!$A$192,$EG$205^A85,IF(A85='Données projet'!$A$192,'Données projet'!$B$192,EJ84+EI85-ER84)))</f>
        <v>251.1999999999999</v>
      </c>
      <c r="EK85" s="18">
        <f>EJ85*VLOOKUP('Données projet'!$B$15,Paramètres!$A$1:$I$89,3,0)*VLOOKUP('Données projet'!$B$15,Paramètres!$A$1:$I$89,5,0)</f>
        <v>242.96063999999993</v>
      </c>
      <c r="EL85" s="14">
        <f t="shared" si="99"/>
        <v>59.076071351835715</v>
      </c>
      <c r="EM85" s="22">
        <f t="shared" si="73"/>
        <v>526.04727227111368</v>
      </c>
      <c r="EN85" s="60">
        <f t="shared" si="74"/>
        <v>797.55336390310072</v>
      </c>
      <c r="EO85" s="60">
        <f ca="1">AVERAGE(OFFSET($EN$3,0,0,'Données projet'!$E$15+1,1))-AVERAGE(OFFSET($H$3,0,0,'Données projet'!$E$15+1,1))</f>
        <v>496.33873798282525</v>
      </c>
      <c r="EP85" s="60">
        <f t="shared" si="100"/>
        <v>280.25465074992246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3.4106051316484809E-13</v>
      </c>
      <c r="FF85" s="18">
        <f>FE85*VLOOKUP('Données projet'!$B$16,Paramètres!$A$1:$I$89,3,0)*VLOOKUP('Données projet'!$B$16,Paramètres!$A$1:$I$89,5,0)</f>
        <v>2.7666828827932479E-13</v>
      </c>
      <c r="FG85" s="14">
        <f t="shared" si="101"/>
        <v>3.6920483163466686E-12</v>
      </c>
      <c r="FH85" s="22">
        <f t="shared" si="76"/>
        <v>6.9121814197236049E-12</v>
      </c>
      <c r="FI85" s="60">
        <f t="shared" si="77"/>
        <v>271.50609163199397</v>
      </c>
      <c r="FJ85" s="60">
        <f ca="1">AVERAGE(OFFSET($FI$3,0,0,'Données projet'!$E$16+1,1))-AVERAGE(OFFSET($H$3,0,0,'Données projet'!$E$16+1,1))</f>
        <v>341.66430955115521</v>
      </c>
      <c r="FK85" s="60">
        <f t="shared" si="102"/>
        <v>366.15174925159192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3.4106051316484809E-13</v>
      </c>
      <c r="GA85" s="18">
        <f>FZ85*VLOOKUP('Données projet'!$B$17,Paramètres!$A$1:$I$89,3,0)*VLOOKUP('Données projet'!$B$17,Paramètres!$A$1:$I$89,5,0)</f>
        <v>2.5006556825246659E-13</v>
      </c>
      <c r="GB85" s="14">
        <f t="shared" si="103"/>
        <v>3.3765445850268018E-12</v>
      </c>
      <c r="GC85" s="22">
        <f t="shared" si="79"/>
        <v>6.3163460169613921E-12</v>
      </c>
      <c r="GD85" s="60">
        <f t="shared" si="80"/>
        <v>271.50609163199334</v>
      </c>
      <c r="GE85" s="60">
        <f ca="1">AVERAGE(OFFSET($GD$3,0,0,'Données projet'!$E$17+1,1))-AVERAGE(OFFSET($H$3,0,0,'Données projet'!$E$17+1,1))</f>
        <v>314.58662400031631</v>
      </c>
      <c r="GF85" s="60">
        <f t="shared" si="104"/>
        <v>336.99073123405981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4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260.39519999999987</v>
      </c>
      <c r="P86" s="14">
        <f t="shared" si="87"/>
        <v>62.806611177714331</v>
      </c>
      <c r="Q86" s="22">
        <f t="shared" si="54"/>
        <v>562.90982113451889</v>
      </c>
      <c r="R86" s="60">
        <f t="shared" si="55"/>
        <v>834.79456661162237</v>
      </c>
      <c r="S86" s="60">
        <f ca="1">AVERAGE(OFFSET($R$3,0,0,'Données projet'!$E$9+1,1))-AVERAGE(OFFSET($H$3,0,0,'Données projet'!$E$9+1,1))</f>
        <v>516.30971934066179</v>
      </c>
      <c r="T86" s="60">
        <f t="shared" si="88"/>
        <v>290.84286505723571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3.9743589743589722</v>
      </c>
      <c r="AI86" s="14">
        <f>IF('Données projet'!$A$62&gt;35,AI85+AH86-AQ85,IF(A86&lt;'Données projet'!$A$62,$AF$205^A86,IF(A86='Données projet'!$A$62,'Données projet'!$B$62,AI85+AH86-AQ85)))</f>
        <v>268.97435897435872</v>
      </c>
      <c r="AJ86" s="14">
        <f>AI86*VLOOKUP('Données projet'!$B$10,Paramètres!$A$1:$I$89,3,0)*VLOOKUP('Données projet'!$B$10,Paramètres!$A$1:$I$89,5,0)</f>
        <v>281.13199999999972</v>
      </c>
      <c r="AK86" s="14">
        <f t="shared" si="89"/>
        <v>67.206176818686799</v>
      </c>
      <c r="AL86" s="22">
        <f t="shared" si="58"/>
        <v>606.68899129254567</v>
      </c>
      <c r="AM86" s="60">
        <f t="shared" si="59"/>
        <v>878.57373676964914</v>
      </c>
      <c r="AN86" s="60">
        <f ca="1">AVERAGE(OFFSET($AM$3,0,0,'Données projet'!$E$10+1,1))-AVERAGE(OFFSET($H$3,0,0,'Données projet'!$E$10+1,1))</f>
        <v>529.00505223594837</v>
      </c>
      <c r="AO86" s="60">
        <f t="shared" si="90"/>
        <v>321.23004033257985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3.4106051316484809E-13</v>
      </c>
      <c r="BE86" s="14">
        <f>BD86*VLOOKUP('Données projet'!$B$11,Paramètres!$A$1:$I$89,3,0)*VLOOKUP('Données projet'!$B$11,Paramètres!$A$1:$I$89,5,0)</f>
        <v>2.9795046430081134E-13</v>
      </c>
      <c r="BF86" s="14">
        <f t="shared" si="91"/>
        <v>3.9419014464513778E-12</v>
      </c>
      <c r="BG86" s="22">
        <f t="shared" si="61"/>
        <v>7.384408744560063E-12</v>
      </c>
      <c r="BH86" s="60">
        <f t="shared" si="62"/>
        <v>271.88474547711087</v>
      </c>
      <c r="BI86" s="60">
        <f ca="1">AVERAGE(OFFSET($BH$3,0,0,'Données projet'!$E$11+1,1))-AVERAGE(OFFSET($H$3,0,0,'Données projet'!$E$11+1,1))</f>
        <v>363.28611056308665</v>
      </c>
      <c r="BJ86" s="60">
        <f t="shared" si="92"/>
        <v>389.43647559455974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256.7999999999999</v>
      </c>
      <c r="BZ86" s="14">
        <f>BY86*VLOOKUP('Données projet'!$B$12,Paramètres!$A$1:$I$89,3,0)*VLOOKUP('Données projet'!$B$12,Paramètres!$A$1:$I$89,5,0)</f>
        <v>276.41951999999986</v>
      </c>
      <c r="CA86" s="14">
        <f t="shared" si="93"/>
        <v>66.209784705913108</v>
      </c>
      <c r="CB86" s="22">
        <f t="shared" si="64"/>
        <v>596.74603902946512</v>
      </c>
      <c r="CC86" s="60">
        <f t="shared" si="65"/>
        <v>868.6307845065686</v>
      </c>
      <c r="CD86" s="60">
        <f ca="1">AVERAGE(OFFSET($CC$3,0,0,'Données projet'!$E$12+1,1))-AVERAGE(OFFSET($H$3,0,0,'Données projet'!$E$12+1,1))</f>
        <v>542.90832990875208</v>
      </c>
      <c r="CE86" s="60">
        <f t="shared" si="94"/>
        <v>304.94365539329362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9.0717948717948698</v>
      </c>
      <c r="CT86" s="13">
        <f>IF('Données projet'!$A$140&gt;35,CT85+CS86-DB85,IF(A86&lt;'Données projet'!$A$140,$CQ$205^A86,IF(A86='Données projet'!$A$140,'Données projet'!$B$140,CT85+CS86-DB85)))</f>
        <v>346.8512820512816</v>
      </c>
      <c r="CU86" s="18">
        <f>CT86*VLOOKUP('Données projet'!$B$13,Paramètres!$A$1:$I$89,3,0)*VLOOKUP('Données projet'!$B$13,Paramètres!$A$1:$I$89,5,0)</f>
        <v>162.32639999999978</v>
      </c>
      <c r="CV86" s="14">
        <f t="shared" si="95"/>
        <v>41.366799766899412</v>
      </c>
      <c r="CW86" s="22">
        <f t="shared" si="67"/>
        <v>354.76565626068276</v>
      </c>
      <c r="CX86" s="60">
        <f t="shared" si="68"/>
        <v>626.6504017377863</v>
      </c>
      <c r="CY86" s="60">
        <f ca="1">AVERAGE(OFFSET($CX$3,0,0,'Données projet'!$E$13+1,1))-AVERAGE(OFFSET($H$3,0,0,'Données projet'!$E$13+1,1))</f>
        <v>277.77877239988635</v>
      </c>
      <c r="CZ86" s="60">
        <f t="shared" si="96"/>
        <v>164.65640238394164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3.2051282051282044</v>
      </c>
      <c r="DO86" s="13">
        <f>IF('Données projet'!$A$166&gt;35,DO85+DN86-DW85,IF(A86&lt;'Données projet'!$A$166,$DL$205^A86,IF(A86='Données projet'!$A$166,'Données projet'!$B$166,DO85+DN86-DW85)))</f>
        <v>201.28205128205116</v>
      </c>
      <c r="DP86" s="18">
        <f>DO86*VLOOKUP('Données projet'!$B$14,Paramètres!$A$1:$I$89,3,0)*VLOOKUP('Données projet'!$B$14,Paramètres!$A$1:$I$89,5,0)</f>
        <v>172.6999999999999</v>
      </c>
      <c r="DQ86" s="14">
        <f t="shared" si="97"/>
        <v>43.694178078622784</v>
      </c>
      <c r="DR86" s="22">
        <f t="shared" si="70"/>
        <v>376.88652682026787</v>
      </c>
      <c r="DS86" s="60">
        <f t="shared" si="71"/>
        <v>648.7712722973713</v>
      </c>
      <c r="DT86" s="60">
        <f ca="1">AVERAGE(OFFSET($DS$3,0,0,'Données projet'!$E$14+1,1))-AVERAGE(OFFSET($H$3,0,0,'Données projet'!$E$14+1,1))</f>
        <v>354.30160274624632</v>
      </c>
      <c r="DU86" s="60">
        <f t="shared" si="98"/>
        <v>218.8005329382452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5.6</v>
      </c>
      <c r="EJ86" s="13">
        <f>IF('Données projet'!$A$192&gt;35,EJ85+EI86-ER85,IF(A86&lt;'Données projet'!$A$192,$EG$205^A86,IF(A86='Données projet'!$A$192,'Données projet'!$B$192,EJ85+EI86-ER85)))</f>
        <v>256.7999999999999</v>
      </c>
      <c r="EK86" s="18">
        <f>EJ86*VLOOKUP('Données projet'!$B$15,Paramètres!$A$1:$I$89,3,0)*VLOOKUP('Données projet'!$B$15,Paramètres!$A$1:$I$89,5,0)</f>
        <v>248.37695999999988</v>
      </c>
      <c r="EL86" s="14">
        <f t="shared" si="99"/>
        <v>60.238259626372319</v>
      </c>
      <c r="EM86" s="22">
        <f t="shared" si="73"/>
        <v>537.50484084926495</v>
      </c>
      <c r="EN86" s="60">
        <f t="shared" si="74"/>
        <v>809.38958632636843</v>
      </c>
      <c r="EO86" s="60">
        <f ca="1">AVERAGE(OFFSET($EN$3,0,0,'Données projet'!$E$15+1,1))-AVERAGE(OFFSET($H$3,0,0,'Données projet'!$E$15+1,1))</f>
        <v>496.33873798282525</v>
      </c>
      <c r="EP86" s="60">
        <f t="shared" si="100"/>
        <v>280.25465074992246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3.4106051316484809E-13</v>
      </c>
      <c r="FF86" s="18">
        <f>FE86*VLOOKUP('Données projet'!$B$16,Paramètres!$A$1:$I$89,3,0)*VLOOKUP('Données projet'!$B$16,Paramètres!$A$1:$I$89,5,0)</f>
        <v>2.7666828827932479E-13</v>
      </c>
      <c r="FG86" s="14">
        <f t="shared" si="101"/>
        <v>3.6920483163466686E-12</v>
      </c>
      <c r="FH86" s="22">
        <f t="shared" si="76"/>
        <v>6.9121814197236049E-12</v>
      </c>
      <c r="FI86" s="60">
        <f t="shared" si="77"/>
        <v>271.88474547711041</v>
      </c>
      <c r="FJ86" s="60">
        <f ca="1">AVERAGE(OFFSET($FI$3,0,0,'Données projet'!$E$16+1,1))-AVERAGE(OFFSET($H$3,0,0,'Données projet'!$E$16+1,1))</f>
        <v>341.66430955115521</v>
      </c>
      <c r="FK86" s="60">
        <f t="shared" si="102"/>
        <v>366.15174925159192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3.4106051316484809E-13</v>
      </c>
      <c r="GA86" s="18">
        <f>FZ86*VLOOKUP('Données projet'!$B$17,Paramètres!$A$1:$I$89,3,0)*VLOOKUP('Données projet'!$B$17,Paramètres!$A$1:$I$89,5,0)</f>
        <v>2.5006556825246659E-13</v>
      </c>
      <c r="GB86" s="14">
        <f t="shared" si="103"/>
        <v>3.3765445850268018E-12</v>
      </c>
      <c r="GC86" s="22">
        <f t="shared" si="79"/>
        <v>6.3163460169613921E-12</v>
      </c>
      <c r="GD86" s="60">
        <f t="shared" si="80"/>
        <v>271.88474547710979</v>
      </c>
      <c r="GE86" s="60">
        <f ca="1">AVERAGE(OFFSET($GD$3,0,0,'Données projet'!$E$17+1,1))-AVERAGE(OFFSET($H$3,0,0,'Données projet'!$E$17+1,1))</f>
        <v>314.58662400031631</v>
      </c>
      <c r="GF86" s="60">
        <f t="shared" si="104"/>
        <v>336.99073123405981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4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266.07359999999994</v>
      </c>
      <c r="P87" s="14">
        <f t="shared" si="87"/>
        <v>64.015279012301136</v>
      </c>
      <c r="Q87" s="22">
        <f t="shared" si="54"/>
        <v>574.90479761309098</v>
      </c>
      <c r="R87" s="60">
        <f t="shared" si="55"/>
        <v>847.16162813764129</v>
      </c>
      <c r="S87" s="60">
        <f ca="1">AVERAGE(OFFSET($R$3,0,0,'Données projet'!$E$9+1,1))-AVERAGE(OFFSET($H$3,0,0,'Données projet'!$E$9+1,1))</f>
        <v>516.30971934066179</v>
      </c>
      <c r="T87" s="60">
        <f t="shared" si="88"/>
        <v>290.84286505723571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3.9743589743589722</v>
      </c>
      <c r="AI87" s="14">
        <f>IF('Données projet'!$A$62&gt;35,AI86+AH87-AQ86,IF(A87&lt;'Données projet'!$A$62,$AF$205^A87,IF(A87='Données projet'!$A$62,'Données projet'!$B$62,AI86+AH87-AQ86)))</f>
        <v>272.94871794871767</v>
      </c>
      <c r="AJ87" s="14">
        <f>AI87*VLOOKUP('Données projet'!$B$10,Paramètres!$A$1:$I$89,3,0)*VLOOKUP('Données projet'!$B$10,Paramètres!$A$1:$I$89,5,0)</f>
        <v>285.28599999999972</v>
      </c>
      <c r="AK87" s="14">
        <f t="shared" si="89"/>
        <v>68.082873796613967</v>
      </c>
      <c r="AL87" s="22">
        <f t="shared" si="58"/>
        <v>615.45078852910217</v>
      </c>
      <c r="AM87" s="60">
        <f t="shared" si="59"/>
        <v>887.70761905365248</v>
      </c>
      <c r="AN87" s="60">
        <f ca="1">AVERAGE(OFFSET($AM$3,0,0,'Données projet'!$E$10+1,1))-AVERAGE(OFFSET($H$3,0,0,'Données projet'!$E$10+1,1))</f>
        <v>529.00505223594837</v>
      </c>
      <c r="AO87" s="60">
        <f t="shared" si="90"/>
        <v>321.23004033257985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3.4106051316484809E-13</v>
      </c>
      <c r="BE87" s="14">
        <f>BD87*VLOOKUP('Données projet'!$B$11,Paramètres!$A$1:$I$89,3,0)*VLOOKUP('Données projet'!$B$11,Paramètres!$A$1:$I$89,5,0)</f>
        <v>2.9795046430081134E-13</v>
      </c>
      <c r="BF87" s="14">
        <f t="shared" si="91"/>
        <v>3.9419014464513778E-12</v>
      </c>
      <c r="BG87" s="22">
        <f t="shared" si="61"/>
        <v>7.384408744560063E-12</v>
      </c>
      <c r="BH87" s="60">
        <f t="shared" si="62"/>
        <v>272.2568305245577</v>
      </c>
      <c r="BI87" s="60">
        <f ca="1">AVERAGE(OFFSET($BH$3,0,0,'Données projet'!$E$11+1,1))-AVERAGE(OFFSET($H$3,0,0,'Données projet'!$E$11+1,1))</f>
        <v>363.28611056308665</v>
      </c>
      <c r="BJ87" s="60">
        <f t="shared" si="92"/>
        <v>389.43647559455974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262.39999999999992</v>
      </c>
      <c r="BZ87" s="14">
        <f>BY87*VLOOKUP('Données projet'!$B$12,Paramètres!$A$1:$I$89,3,0)*VLOOKUP('Données projet'!$B$12,Paramètres!$A$1:$I$89,5,0)</f>
        <v>282.44735999999989</v>
      </c>
      <c r="CA87" s="14">
        <f t="shared" si="93"/>
        <v>67.48394415518699</v>
      </c>
      <c r="CB87" s="22">
        <f t="shared" si="64"/>
        <v>609.46368807028375</v>
      </c>
      <c r="CC87" s="60">
        <f t="shared" si="65"/>
        <v>881.72051859483406</v>
      </c>
      <c r="CD87" s="60">
        <f ca="1">AVERAGE(OFFSET($CC$3,0,0,'Données projet'!$E$12+1,1))-AVERAGE(OFFSET($H$3,0,0,'Données projet'!$E$12+1,1))</f>
        <v>542.90832990875208</v>
      </c>
      <c r="CE87" s="60">
        <f t="shared" si="94"/>
        <v>304.94365539329362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9.0717948717948698</v>
      </c>
      <c r="CT87" s="13">
        <f>IF('Données projet'!$A$140&gt;35,CT86+CS87-DB86,IF(A87&lt;'Données projet'!$A$140,$CQ$205^A87,IF(A87='Données projet'!$A$140,'Données projet'!$B$140,CT86+CS87-DB86)))</f>
        <v>355.92307692307645</v>
      </c>
      <c r="CU87" s="18">
        <f>CT87*VLOOKUP('Données projet'!$B$13,Paramètres!$A$1:$I$89,3,0)*VLOOKUP('Données projet'!$B$13,Paramètres!$A$1:$I$89,5,0)</f>
        <v>166.57199999999978</v>
      </c>
      <c r="CV87" s="14">
        <f t="shared" si="95"/>
        <v>42.321357755693079</v>
      </c>
      <c r="CW87" s="22">
        <f t="shared" si="67"/>
        <v>363.82259809116505</v>
      </c>
      <c r="CX87" s="60">
        <f t="shared" si="68"/>
        <v>636.07942861571541</v>
      </c>
      <c r="CY87" s="60">
        <f ca="1">AVERAGE(OFFSET($CX$3,0,0,'Données projet'!$E$13+1,1))-AVERAGE(OFFSET($H$3,0,0,'Données projet'!$E$13+1,1))</f>
        <v>277.77877239988635</v>
      </c>
      <c r="CZ87" s="60">
        <f t="shared" si="96"/>
        <v>164.65640238394164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3.2051282051282044</v>
      </c>
      <c r="DO87" s="13">
        <f>IF('Données projet'!$A$166&gt;35,DO86+DN87-DW86,IF(A87&lt;'Données projet'!$A$166,$DL$205^A87,IF(A87='Données projet'!$A$166,'Données projet'!$B$166,DO86+DN87-DW86)))</f>
        <v>204.48717948717936</v>
      </c>
      <c r="DP87" s="18">
        <f>DO87*VLOOKUP('Données projet'!$B$14,Paramètres!$A$1:$I$89,3,0)*VLOOKUP('Données projet'!$B$14,Paramètres!$A$1:$I$89,5,0)</f>
        <v>175.4499999999999</v>
      </c>
      <c r="DQ87" s="14">
        <f t="shared" si="97"/>
        <v>44.308391547021486</v>
      </c>
      <c r="DR87" s="22">
        <f t="shared" si="70"/>
        <v>382.74586527772891</v>
      </c>
      <c r="DS87" s="60">
        <f t="shared" si="71"/>
        <v>655.00269580227928</v>
      </c>
      <c r="DT87" s="60">
        <f ca="1">AVERAGE(OFFSET($DS$3,0,0,'Données projet'!$E$14+1,1))-AVERAGE(OFFSET($H$3,0,0,'Données projet'!$E$14+1,1))</f>
        <v>354.30160274624632</v>
      </c>
      <c r="DU87" s="60">
        <f t="shared" si="98"/>
        <v>218.8005329382452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5.6</v>
      </c>
      <c r="EJ87" s="13">
        <f>IF('Données projet'!$A$192&gt;35,EJ86+EI87-ER86,IF(A87&lt;'Données projet'!$A$192,$EG$205^A87,IF(A87='Données projet'!$A$192,'Données projet'!$B$192,EJ86+EI87-ER86)))</f>
        <v>262.39999999999992</v>
      </c>
      <c r="EK87" s="18">
        <f>EJ87*VLOOKUP('Données projet'!$B$15,Paramètres!$A$1:$I$89,3,0)*VLOOKUP('Données projet'!$B$15,Paramètres!$A$1:$I$89,5,0)</f>
        <v>253.79327999999995</v>
      </c>
      <c r="EL87" s="14">
        <f t="shared" si="99"/>
        <v>61.39750139179521</v>
      </c>
      <c r="EM87" s="22">
        <f t="shared" si="73"/>
        <v>548.95727759070985</v>
      </c>
      <c r="EN87" s="60">
        <f t="shared" si="74"/>
        <v>821.21410811526016</v>
      </c>
      <c r="EO87" s="60">
        <f ca="1">AVERAGE(OFFSET($EN$3,0,0,'Données projet'!$E$15+1,1))-AVERAGE(OFFSET($H$3,0,0,'Données projet'!$E$15+1,1))</f>
        <v>496.33873798282525</v>
      </c>
      <c r="EP87" s="60">
        <f t="shared" si="100"/>
        <v>280.25465074992246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3.4106051316484809E-13</v>
      </c>
      <c r="FF87" s="18">
        <f>FE87*VLOOKUP('Données projet'!$B$16,Paramètres!$A$1:$I$89,3,0)*VLOOKUP('Données projet'!$B$16,Paramètres!$A$1:$I$89,5,0)</f>
        <v>2.7666828827932479E-13</v>
      </c>
      <c r="FG87" s="14">
        <f t="shared" si="101"/>
        <v>3.6920483163466686E-12</v>
      </c>
      <c r="FH87" s="22">
        <f t="shared" si="76"/>
        <v>6.9121814197236049E-12</v>
      </c>
      <c r="FI87" s="60">
        <f t="shared" si="77"/>
        <v>272.25683052455724</v>
      </c>
      <c r="FJ87" s="60">
        <f ca="1">AVERAGE(OFFSET($FI$3,0,0,'Données projet'!$E$16+1,1))-AVERAGE(OFFSET($H$3,0,0,'Données projet'!$E$16+1,1))</f>
        <v>341.66430955115521</v>
      </c>
      <c r="FK87" s="60">
        <f t="shared" si="102"/>
        <v>366.15174925159192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3.4106051316484809E-13</v>
      </c>
      <c r="GA87" s="18">
        <f>FZ87*VLOOKUP('Données projet'!$B$17,Paramètres!$A$1:$I$89,3,0)*VLOOKUP('Données projet'!$B$17,Paramètres!$A$1:$I$89,5,0)</f>
        <v>2.5006556825246659E-13</v>
      </c>
      <c r="GB87" s="14">
        <f t="shared" si="103"/>
        <v>3.3765445850268018E-12</v>
      </c>
      <c r="GC87" s="22">
        <f t="shared" si="79"/>
        <v>6.3163460169613921E-12</v>
      </c>
      <c r="GD87" s="60">
        <f t="shared" si="80"/>
        <v>272.25683052455662</v>
      </c>
      <c r="GE87" s="60">
        <f ca="1">AVERAGE(OFFSET($GD$3,0,0,'Données projet'!$E$17+1,1))-AVERAGE(OFFSET($H$3,0,0,'Données projet'!$E$17+1,1))</f>
        <v>314.58662400031631</v>
      </c>
      <c r="GF87" s="60">
        <f t="shared" si="104"/>
        <v>336.99073123405981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4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271.75199999999995</v>
      </c>
      <c r="P88" s="14">
        <f t="shared" si="87"/>
        <v>65.220947824724931</v>
      </c>
      <c r="Q88" s="22">
        <f t="shared" si="54"/>
        <v>586.89455079472907</v>
      </c>
      <c r="R88" s="60">
        <f t="shared" si="55"/>
        <v>859.51701152301052</v>
      </c>
      <c r="S88" s="60">
        <f ca="1">AVERAGE(OFFSET($R$3,0,0,'Données projet'!$E$9+1,1))-AVERAGE(OFFSET($H$3,0,0,'Données projet'!$E$9+1,1))</f>
        <v>516.30971934066179</v>
      </c>
      <c r="T88" s="60">
        <f t="shared" si="88"/>
        <v>290.84286505723571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276.92307692307691</v>
      </c>
      <c r="AG88" s="13">
        <f>VLOOKUP(A88,'Données projet'!$A$61:$I$81,9,0)</f>
        <v>3.9743589743589722</v>
      </c>
      <c r="AH88" s="13">
        <f t="array" ref="AH88">INDEX(AG:AG,MIN(IF(ISNUMBER(AG88:AG284),ROW(AG88:AG284),"")))</f>
        <v>3.9743589743589722</v>
      </c>
      <c r="AI88" s="14">
        <f>IF('Données projet'!$A$62&gt;35,AI87+AH88-AQ87,IF(A88&lt;'Données projet'!$A$62,$AF$205^A88,IF(A88='Données projet'!$A$62,'Données projet'!$B$62,AI87+AH88-AQ87)))</f>
        <v>276.92307692307662</v>
      </c>
      <c r="AJ88" s="14">
        <f>AI88*VLOOKUP('Données projet'!$B$10,Paramètres!$A$1:$I$89,3,0)*VLOOKUP('Données projet'!$B$10,Paramètres!$A$1:$I$89,5,0)</f>
        <v>289.43999999999971</v>
      </c>
      <c r="AK88" s="14">
        <f t="shared" si="89"/>
        <v>68.958086081193898</v>
      </c>
      <c r="AL88" s="22">
        <f t="shared" si="58"/>
        <v>624.20999992474549</v>
      </c>
      <c r="AM88" s="60">
        <f t="shared" si="59"/>
        <v>896.83246065302706</v>
      </c>
      <c r="AN88" s="60">
        <f ca="1">AVERAGE(OFFSET($AM$3,0,0,'Données projet'!$E$10+1,1))-AVERAGE(OFFSET($H$3,0,0,'Données projet'!$E$10+1,1))</f>
        <v>529.00505223594837</v>
      </c>
      <c r="AO88" s="60">
        <f t="shared" si="90"/>
        <v>321.23004033257985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3.4106051316484809E-13</v>
      </c>
      <c r="BE88" s="14">
        <f>BD88*VLOOKUP('Données projet'!$B$11,Paramètres!$A$1:$I$89,3,0)*VLOOKUP('Données projet'!$B$11,Paramètres!$A$1:$I$89,5,0)</f>
        <v>2.9795046430081134E-13</v>
      </c>
      <c r="BF88" s="14">
        <f t="shared" si="91"/>
        <v>3.9419014464513778E-12</v>
      </c>
      <c r="BG88" s="22">
        <f t="shared" si="61"/>
        <v>7.384408744560063E-12</v>
      </c>
      <c r="BH88" s="60">
        <f t="shared" si="62"/>
        <v>272.6224607282889</v>
      </c>
      <c r="BI88" s="60">
        <f ca="1">AVERAGE(OFFSET($BH$3,0,0,'Données projet'!$E$11+1,1))-AVERAGE(OFFSET($H$3,0,0,'Données projet'!$E$11+1,1))</f>
        <v>363.28611056308665</v>
      </c>
      <c r="BJ88" s="60">
        <f t="shared" si="92"/>
        <v>389.43647559455974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267.99999999999994</v>
      </c>
      <c r="BZ88" s="14">
        <f>BY88*VLOOKUP('Données projet'!$B$12,Paramètres!$A$1:$I$89,3,0)*VLOOKUP('Données projet'!$B$12,Paramètres!$A$1:$I$89,5,0)</f>
        <v>288.47519999999997</v>
      </c>
      <c r="CA88" s="14">
        <f t="shared" si="93"/>
        <v>68.754942080410842</v>
      </c>
      <c r="CB88" s="22">
        <f t="shared" si="64"/>
        <v>622.17583079004874</v>
      </c>
      <c r="CC88" s="60">
        <f t="shared" si="65"/>
        <v>894.79829151833019</v>
      </c>
      <c r="CD88" s="60">
        <f ca="1">AVERAGE(OFFSET($CC$3,0,0,'Données projet'!$E$12+1,1))-AVERAGE(OFFSET($H$3,0,0,'Données projet'!$E$12+1,1))</f>
        <v>542.90832990875208</v>
      </c>
      <c r="CE88" s="60">
        <f t="shared" si="94"/>
        <v>304.94365539329362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9.0717948717948698</v>
      </c>
      <c r="CT88" s="13">
        <f>IF('Données projet'!$A$140&gt;35,CT87+CS88-DB87,IF(A88&lt;'Données projet'!$A$140,$CQ$205^A88,IF(A88='Données projet'!$A$140,'Données projet'!$B$140,CT87+CS88-DB87)))</f>
        <v>364.9948717948713</v>
      </c>
      <c r="CU88" s="18">
        <f>CT88*VLOOKUP('Données projet'!$B$13,Paramètres!$A$1:$I$89,3,0)*VLOOKUP('Données projet'!$B$13,Paramètres!$A$1:$I$89,5,0)</f>
        <v>170.81759999999977</v>
      </c>
      <c r="CV88" s="14">
        <f t="shared" si="95"/>
        <v>43.273087623453243</v>
      </c>
      <c r="CW88" s="22">
        <f t="shared" si="67"/>
        <v>372.87461427751396</v>
      </c>
      <c r="CX88" s="60">
        <f t="shared" si="68"/>
        <v>645.49707500579552</v>
      </c>
      <c r="CY88" s="60">
        <f ca="1">AVERAGE(OFFSET($CX$3,0,0,'Données projet'!$E$13+1,1))-AVERAGE(OFFSET($H$3,0,0,'Données projet'!$E$13+1,1))</f>
        <v>277.77877239988635</v>
      </c>
      <c r="CZ88" s="60">
        <f t="shared" si="96"/>
        <v>164.65640238394164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207.69230769230768</v>
      </c>
      <c r="DM88" s="13">
        <f>VLOOKUP(A88,'Données projet'!$A$165:$I$185,9,0)</f>
        <v>3.2051282051282044</v>
      </c>
      <c r="DN88" s="13">
        <f t="array" ref="DN88">INDEX(DM:DM,MIN(IF(ISNUMBER(DM88:DM284),ROW(DM88:DM284),"")))</f>
        <v>3.2051282051282044</v>
      </c>
      <c r="DO88" s="13">
        <f>IF('Données projet'!$A$166&gt;35,DO87+DN88-DW87,IF(A88&lt;'Données projet'!$A$166,$DL$205^A88,IF(A88='Données projet'!$A$166,'Données projet'!$B$166,DO87+DN88-DW87)))</f>
        <v>207.69230769230757</v>
      </c>
      <c r="DP88" s="18">
        <f>DO88*VLOOKUP('Données projet'!$B$14,Paramètres!$A$1:$I$89,3,0)*VLOOKUP('Données projet'!$B$14,Paramètres!$A$1:$I$89,5,0)</f>
        <v>178.1999999999999</v>
      </c>
      <c r="DQ88" s="14">
        <f t="shared" si="97"/>
        <v>44.92148538594175</v>
      </c>
      <c r="DR88" s="22">
        <f t="shared" si="70"/>
        <v>388.60325371384835</v>
      </c>
      <c r="DS88" s="60">
        <f t="shared" si="71"/>
        <v>661.22571444212986</v>
      </c>
      <c r="DT88" s="60">
        <f ca="1">AVERAGE(OFFSET($DS$3,0,0,'Données projet'!$E$14+1,1))-AVERAGE(OFFSET($H$3,0,0,'Données projet'!$E$14+1,1))</f>
        <v>354.30160274624632</v>
      </c>
      <c r="DU88" s="60">
        <f t="shared" si="98"/>
        <v>218.8005329382452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5.6</v>
      </c>
      <c r="EJ88" s="13">
        <f>IF('Données projet'!$A$192&gt;35,EJ87+EI88-ER87,IF(A88&lt;'Données projet'!$A$192,$EG$205^A88,IF(A88='Données projet'!$A$192,'Données projet'!$B$192,EJ87+EI88-ER87)))</f>
        <v>267.99999999999994</v>
      </c>
      <c r="EK88" s="18">
        <f>EJ88*VLOOKUP('Données projet'!$B$15,Paramètres!$A$1:$I$89,3,0)*VLOOKUP('Données projet'!$B$15,Paramètres!$A$1:$I$89,5,0)</f>
        <v>259.20959999999997</v>
      </c>
      <c r="EL88" s="14">
        <f t="shared" si="99"/>
        <v>62.553866774106702</v>
      </c>
      <c r="EM88" s="22">
        <f t="shared" si="73"/>
        <v>560.40470463156907</v>
      </c>
      <c r="EN88" s="60">
        <f t="shared" si="74"/>
        <v>833.02716535985064</v>
      </c>
      <c r="EO88" s="60">
        <f ca="1">AVERAGE(OFFSET($EN$3,0,0,'Données projet'!$E$15+1,1))-AVERAGE(OFFSET($H$3,0,0,'Données projet'!$E$15+1,1))</f>
        <v>496.33873798282525</v>
      </c>
      <c r="EP88" s="60">
        <f t="shared" si="100"/>
        <v>280.25465074992246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3.4106051316484809E-13</v>
      </c>
      <c r="FF88" s="18">
        <f>FE88*VLOOKUP('Données projet'!$B$16,Paramètres!$A$1:$I$89,3,0)*VLOOKUP('Données projet'!$B$16,Paramètres!$A$1:$I$89,5,0)</f>
        <v>2.7666828827932479E-13</v>
      </c>
      <c r="FG88" s="14">
        <f t="shared" si="101"/>
        <v>3.6920483163466686E-12</v>
      </c>
      <c r="FH88" s="22">
        <f t="shared" si="76"/>
        <v>6.9121814197236049E-12</v>
      </c>
      <c r="FI88" s="60">
        <f t="shared" si="77"/>
        <v>272.62246072828844</v>
      </c>
      <c r="FJ88" s="60">
        <f ca="1">AVERAGE(OFFSET($FI$3,0,0,'Données projet'!$E$16+1,1))-AVERAGE(OFFSET($H$3,0,0,'Données projet'!$E$16+1,1))</f>
        <v>341.66430955115521</v>
      </c>
      <c r="FK88" s="60">
        <f t="shared" si="102"/>
        <v>366.15174925159192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3.4106051316484809E-13</v>
      </c>
      <c r="GA88" s="18">
        <f>FZ88*VLOOKUP('Données projet'!$B$17,Paramètres!$A$1:$I$89,3,0)*VLOOKUP('Données projet'!$B$17,Paramètres!$A$1:$I$89,5,0)</f>
        <v>2.5006556825246659E-13</v>
      </c>
      <c r="GB88" s="14">
        <f t="shared" si="103"/>
        <v>3.3765445850268018E-12</v>
      </c>
      <c r="GC88" s="22">
        <f t="shared" si="79"/>
        <v>6.3163460169613921E-12</v>
      </c>
      <c r="GD88" s="60">
        <f t="shared" si="80"/>
        <v>272.62246072828782</v>
      </c>
      <c r="GE88" s="60">
        <f ca="1">AVERAGE(OFFSET($GD$3,0,0,'Données projet'!$E$17+1,1))-AVERAGE(OFFSET($H$3,0,0,'Données projet'!$E$17+1,1))</f>
        <v>314.58662400031631</v>
      </c>
      <c r="GF88" s="60">
        <f t="shared" si="104"/>
        <v>336.99073123405981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4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277.43039999999996</v>
      </c>
      <c r="P89" s="14">
        <f t="shared" si="87"/>
        <v>66.423687500715673</v>
      </c>
      <c r="Q89" s="22">
        <f t="shared" si="54"/>
        <v>598.87920239707967</v>
      </c>
      <c r="R89" s="60">
        <f t="shared" si="55"/>
        <v>871.86095046248442</v>
      </c>
      <c r="S89" s="60">
        <f ca="1">AVERAGE(OFFSET($R$3,0,0,'Données projet'!$E$9+1,1))-AVERAGE(OFFSET($H$3,0,0,'Données projet'!$E$9+1,1))</f>
        <v>516.30971934066179</v>
      </c>
      <c r="T89" s="60">
        <f t="shared" si="88"/>
        <v>290.84286505723571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3.8461538461538454</v>
      </c>
      <c r="AI89" s="14">
        <f>IF('Données projet'!$A$62&gt;35,AI88+AH89-AQ88,IF(A89&lt;'Données projet'!$A$62,$AF$205^A89,IF(A89='Données projet'!$A$62,'Données projet'!$B$62,AI88+AH89-AQ88)))</f>
        <v>280.76923076923049</v>
      </c>
      <c r="AJ89" s="14">
        <f>AI89*VLOOKUP('Données projet'!$B$10,Paramètres!$A$1:$I$89,3,0)*VLOOKUP('Données projet'!$B$10,Paramètres!$A$1:$I$89,5,0)</f>
        <v>293.45999999999975</v>
      </c>
      <c r="AK89" s="14">
        <f t="shared" si="89"/>
        <v>69.803674480051043</v>
      </c>
      <c r="AL89" s="22">
        <f t="shared" si="58"/>
        <v>632.68423305275508</v>
      </c>
      <c r="AM89" s="60">
        <f t="shared" si="59"/>
        <v>905.66598111815983</v>
      </c>
      <c r="AN89" s="60">
        <f ca="1">AVERAGE(OFFSET($AM$3,0,0,'Données projet'!$E$10+1,1))-AVERAGE(OFFSET($H$3,0,0,'Données projet'!$E$10+1,1))</f>
        <v>529.00505223594837</v>
      </c>
      <c r="AO89" s="60">
        <f t="shared" si="90"/>
        <v>321.23004033257985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3.4106051316484809E-13</v>
      </c>
      <c r="BE89" s="14">
        <f>BD89*VLOOKUP('Données projet'!$B$11,Paramètres!$A$1:$I$89,3,0)*VLOOKUP('Données projet'!$B$11,Paramètres!$A$1:$I$89,5,0)</f>
        <v>2.9795046430081134E-13</v>
      </c>
      <c r="BF89" s="14">
        <f t="shared" si="91"/>
        <v>3.9419014464513778E-12</v>
      </c>
      <c r="BG89" s="22">
        <f t="shared" si="61"/>
        <v>7.384408744560063E-12</v>
      </c>
      <c r="BH89" s="60">
        <f t="shared" si="62"/>
        <v>272.98174806541209</v>
      </c>
      <c r="BI89" s="60">
        <f ca="1">AVERAGE(OFFSET($BH$3,0,0,'Données projet'!$E$11+1,1))-AVERAGE(OFFSET($H$3,0,0,'Données projet'!$E$11+1,1))</f>
        <v>363.28611056308665</v>
      </c>
      <c r="BJ89" s="60">
        <f t="shared" si="92"/>
        <v>389.43647559455974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5.6</v>
      </c>
      <c r="BY89" s="13">
        <f>IF('Données projet'!$A$114&gt;35,BY88+BX89-CG88,IF(A89&lt;'Données projet'!$A$114,$BV$205^A89,IF(A89='Données projet'!$A$114,'Données projet'!$B$114,BY88+BX89-CG88)))</f>
        <v>273.59999999999997</v>
      </c>
      <c r="BZ89" s="14">
        <f>BY89*VLOOKUP('Données projet'!$B$12,Paramètres!$A$1:$I$89,3,0)*VLOOKUP('Données projet'!$B$12,Paramètres!$A$1:$I$89,5,0)</f>
        <v>294.50303999999994</v>
      </c>
      <c r="CA89" s="14">
        <f t="shared" si="93"/>
        <v>70.022852154069838</v>
      </c>
      <c r="CB89" s="22">
        <f t="shared" si="64"/>
        <v>634.88259550167152</v>
      </c>
      <c r="CC89" s="60">
        <f t="shared" si="65"/>
        <v>907.86434356707628</v>
      </c>
      <c r="CD89" s="60">
        <f ca="1">AVERAGE(OFFSET($CC$3,0,0,'Données projet'!$E$12+1,1))-AVERAGE(OFFSET($H$3,0,0,'Données projet'!$E$12+1,1))</f>
        <v>542.90832990875208</v>
      </c>
      <c r="CE89" s="60">
        <f t="shared" si="94"/>
        <v>304.94365539329362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9.0717948717948698</v>
      </c>
      <c r="CT89" s="13">
        <f>IF('Données projet'!$A$140&gt;35,CT88+CS89-DB88,IF(A89&lt;'Données projet'!$A$140,$CQ$205^A89,IF(A89='Données projet'!$A$140,'Données projet'!$B$140,CT88+CS89-DB88)))</f>
        <v>374.06666666666615</v>
      </c>
      <c r="CU89" s="18">
        <f>CT89*VLOOKUP('Données projet'!$B$13,Paramètres!$A$1:$I$89,3,0)*VLOOKUP('Données projet'!$B$13,Paramètres!$A$1:$I$89,5,0)</f>
        <v>175.06319999999977</v>
      </c>
      <c r="CV89" s="14">
        <f t="shared" si="95"/>
        <v>44.222067746824685</v>
      </c>
      <c r="CW89" s="22">
        <f t="shared" si="67"/>
        <v>381.92184132571924</v>
      </c>
      <c r="CX89" s="60">
        <f t="shared" si="68"/>
        <v>654.90358939112389</v>
      </c>
      <c r="CY89" s="60">
        <f ca="1">AVERAGE(OFFSET($CX$3,0,0,'Données projet'!$E$13+1,1))-AVERAGE(OFFSET($H$3,0,0,'Données projet'!$E$13+1,1))</f>
        <v>277.77877239988635</v>
      </c>
      <c r="CZ89" s="60">
        <f t="shared" si="96"/>
        <v>164.65640238394164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2.9487179487179502</v>
      </c>
      <c r="DO89" s="13">
        <f>IF('Données projet'!$A$166&gt;35,DO88+DN89-DW88,IF(A89&lt;'Données projet'!$A$166,$DL$205^A89,IF(A89='Données projet'!$A$166,'Données projet'!$B$166,DO88+DN89-DW88)))</f>
        <v>210.64102564102552</v>
      </c>
      <c r="DP89" s="18">
        <f>DO89*VLOOKUP('Données projet'!$B$14,Paramètres!$A$1:$I$89,3,0)*VLOOKUP('Données projet'!$B$14,Paramètres!$A$1:$I$89,5,0)</f>
        <v>180.7299999999999</v>
      </c>
      <c r="DQ89" s="14">
        <f t="shared" si="97"/>
        <v>45.484559440303329</v>
      </c>
      <c r="DR89" s="22">
        <f t="shared" si="70"/>
        <v>393.99035769186139</v>
      </c>
      <c r="DS89" s="60">
        <f t="shared" si="71"/>
        <v>666.97210575726604</v>
      </c>
      <c r="DT89" s="60">
        <f ca="1">AVERAGE(OFFSET($DS$3,0,0,'Données projet'!$E$14+1,1))-AVERAGE(OFFSET($H$3,0,0,'Données projet'!$E$14+1,1))</f>
        <v>354.30160274624632</v>
      </c>
      <c r="DU89" s="60">
        <f t="shared" si="98"/>
        <v>218.8005329382452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5.6</v>
      </c>
      <c r="EJ89" s="13">
        <f>IF('Données projet'!$A$192&gt;35,EJ88+EI89-ER88,IF(A89&lt;'Données projet'!$A$192,$EG$205^A89,IF(A89='Données projet'!$A$192,'Données projet'!$B$192,EJ88+EI89-ER88)))</f>
        <v>273.59999999999997</v>
      </c>
      <c r="EK89" s="18">
        <f>EJ89*VLOOKUP('Données projet'!$B$15,Paramètres!$A$1:$I$89,3,0)*VLOOKUP('Données projet'!$B$15,Paramètres!$A$1:$I$89,5,0)</f>
        <v>264.62591999999995</v>
      </c>
      <c r="EL89" s="14">
        <f t="shared" si="99"/>
        <v>63.707422801198604</v>
      </c>
      <c r="EM89" s="22">
        <f t="shared" si="73"/>
        <v>571.84723871208746</v>
      </c>
      <c r="EN89" s="60">
        <f t="shared" si="74"/>
        <v>844.82898677749222</v>
      </c>
      <c r="EO89" s="60">
        <f ca="1">AVERAGE(OFFSET($EN$3,0,0,'Données projet'!$E$15+1,1))-AVERAGE(OFFSET($H$3,0,0,'Données projet'!$E$15+1,1))</f>
        <v>496.33873798282525</v>
      </c>
      <c r="EP89" s="60">
        <f t="shared" si="100"/>
        <v>280.25465074992246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3.4106051316484809E-13</v>
      </c>
      <c r="FF89" s="18">
        <f>FE89*VLOOKUP('Données projet'!$B$16,Paramètres!$A$1:$I$89,3,0)*VLOOKUP('Données projet'!$B$16,Paramètres!$A$1:$I$89,5,0)</f>
        <v>2.7666828827932479E-13</v>
      </c>
      <c r="FG89" s="14">
        <f t="shared" si="101"/>
        <v>3.6920483163466686E-12</v>
      </c>
      <c r="FH89" s="22">
        <f t="shared" si="76"/>
        <v>6.9121814197236049E-12</v>
      </c>
      <c r="FI89" s="60">
        <f t="shared" si="77"/>
        <v>272.98174806541164</v>
      </c>
      <c r="FJ89" s="60">
        <f ca="1">AVERAGE(OFFSET($FI$3,0,0,'Données projet'!$E$16+1,1))-AVERAGE(OFFSET($H$3,0,0,'Données projet'!$E$16+1,1))</f>
        <v>341.66430955115521</v>
      </c>
      <c r="FK89" s="60">
        <f t="shared" si="102"/>
        <v>366.15174925159192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3.4106051316484809E-13</v>
      </c>
      <c r="GA89" s="18">
        <f>FZ89*VLOOKUP('Données projet'!$B$17,Paramètres!$A$1:$I$89,3,0)*VLOOKUP('Données projet'!$B$17,Paramètres!$A$1:$I$89,5,0)</f>
        <v>2.5006556825246659E-13</v>
      </c>
      <c r="GB89" s="14">
        <f t="shared" si="103"/>
        <v>3.3765445850268018E-12</v>
      </c>
      <c r="GC89" s="22">
        <f t="shared" si="79"/>
        <v>6.3163460169613921E-12</v>
      </c>
      <c r="GD89" s="60">
        <f t="shared" si="80"/>
        <v>272.98174806541101</v>
      </c>
      <c r="GE89" s="60">
        <f ca="1">AVERAGE(OFFSET($GD$3,0,0,'Données projet'!$E$17+1,1))-AVERAGE(OFFSET($H$3,0,0,'Données projet'!$E$17+1,1))</f>
        <v>314.58662400031631</v>
      </c>
      <c r="GF89" s="60">
        <f t="shared" si="104"/>
        <v>336.99073123405981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4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283.10879999999997</v>
      </c>
      <c r="P90" s="14">
        <f t="shared" si="87"/>
        <v>67.623564901653808</v>
      </c>
      <c r="Q90" s="22">
        <f t="shared" si="54"/>
        <v>610.85886887038032</v>
      </c>
      <c r="R90" s="60">
        <f t="shared" si="55"/>
        <v>884.19367144085516</v>
      </c>
      <c r="S90" s="60">
        <f ca="1">AVERAGE(OFFSET($R$3,0,0,'Données projet'!$E$9+1,1))-AVERAGE(OFFSET($H$3,0,0,'Données projet'!$E$9+1,1))</f>
        <v>516.30971934066179</v>
      </c>
      <c r="T90" s="60">
        <f t="shared" si="88"/>
        <v>290.84286505723571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3.8461538461538454</v>
      </c>
      <c r="AI90" s="14">
        <f>IF('Données projet'!$A$62&gt;35,AI89+AH90-AQ89,IF(A90&lt;'Données projet'!$A$62,$AF$205^A90,IF(A90='Données projet'!$A$62,'Données projet'!$B$62,AI89+AH90-AQ89)))</f>
        <v>284.61538461538436</v>
      </c>
      <c r="AJ90" s="14">
        <f>AI90*VLOOKUP('Données projet'!$B$10,Paramètres!$A$1:$I$89,3,0)*VLOOKUP('Données projet'!$B$10,Paramètres!$A$1:$I$89,5,0)</f>
        <v>297.47999999999979</v>
      </c>
      <c r="AK90" s="14">
        <f t="shared" si="89"/>
        <v>70.647915600656845</v>
      </c>
      <c r="AL90" s="22">
        <f t="shared" si="58"/>
        <v>641.15611967114364</v>
      </c>
      <c r="AM90" s="60">
        <f t="shared" si="59"/>
        <v>914.49092224161848</v>
      </c>
      <c r="AN90" s="60">
        <f ca="1">AVERAGE(OFFSET($AM$3,0,0,'Données projet'!$E$10+1,1))-AVERAGE(OFFSET($H$3,0,0,'Données projet'!$E$10+1,1))</f>
        <v>529.00505223594837</v>
      </c>
      <c r="AO90" s="60">
        <f t="shared" si="90"/>
        <v>321.23004033257985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3.4106051316484809E-13</v>
      </c>
      <c r="BE90" s="14">
        <f>BD90*VLOOKUP('Données projet'!$B$11,Paramètres!$A$1:$I$89,3,0)*VLOOKUP('Données projet'!$B$11,Paramètres!$A$1:$I$89,5,0)</f>
        <v>2.9795046430081134E-13</v>
      </c>
      <c r="BF90" s="14">
        <f t="shared" si="91"/>
        <v>3.9419014464513778E-12</v>
      </c>
      <c r="BG90" s="22">
        <f t="shared" si="61"/>
        <v>7.384408744560063E-12</v>
      </c>
      <c r="BH90" s="60">
        <f t="shared" si="62"/>
        <v>273.33480257048222</v>
      </c>
      <c r="BI90" s="60">
        <f ca="1">AVERAGE(OFFSET($BH$3,0,0,'Données projet'!$E$11+1,1))-AVERAGE(OFFSET($H$3,0,0,'Données projet'!$E$11+1,1))</f>
        <v>363.28611056308665</v>
      </c>
      <c r="BJ90" s="60">
        <f t="shared" si="92"/>
        <v>389.43647559455974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5.6</v>
      </c>
      <c r="BY90" s="13">
        <f>IF('Données projet'!$A$114&gt;35,BY89+BX90-CG89,IF(A90&lt;'Données projet'!$A$114,$BV$205^A90,IF(A90='Données projet'!$A$114,'Données projet'!$B$114,BY89+BX90-CG89)))</f>
        <v>279.2</v>
      </c>
      <c r="BZ90" s="14">
        <f>BY90*VLOOKUP('Données projet'!$B$12,Paramètres!$A$1:$I$89,3,0)*VLOOKUP('Données projet'!$B$12,Paramètres!$A$1:$I$89,5,0)</f>
        <v>300.53087999999997</v>
      </c>
      <c r="CA90" s="14">
        <f t="shared" si="93"/>
        <v>71.287744860425462</v>
      </c>
      <c r="CB90" s="22">
        <f t="shared" si="64"/>
        <v>647.58410496524095</v>
      </c>
      <c r="CC90" s="60">
        <f t="shared" si="65"/>
        <v>920.91890753571579</v>
      </c>
      <c r="CD90" s="60">
        <f ca="1">AVERAGE(OFFSET($CC$3,0,0,'Données projet'!$E$12+1,1))-AVERAGE(OFFSET($H$3,0,0,'Données projet'!$E$12+1,1))</f>
        <v>542.90832990875208</v>
      </c>
      <c r="CE90" s="60">
        <f t="shared" si="94"/>
        <v>304.94365539329362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>
        <f>VLOOKUP(A90,'Données projet'!$A$139:$I$159,2,0)</f>
        <v>383.13846153846151</v>
      </c>
      <c r="CR90" s="13">
        <f>VLOOKUP(A90,'Données projet'!$A$139:$I$159,9,0)</f>
        <v>9.0717948717948698</v>
      </c>
      <c r="CS90" s="13">
        <f t="array" ref="CS90">INDEX(CR:CR,MIN(IF(ISNUMBER(CR90:CR286),ROW(CR90:CR286),"")))</f>
        <v>9.0717948717948698</v>
      </c>
      <c r="CT90" s="13">
        <f>IF('Données projet'!$A$140&gt;35,CT89+CS90-DB89,IF(A90&lt;'Données projet'!$A$140,$CQ$205^A90,IF(A90='Données projet'!$A$140,'Données projet'!$B$140,CT89+CS90-DB89)))</f>
        <v>383.138461538461</v>
      </c>
      <c r="CU90" s="18">
        <f>CT90*VLOOKUP('Données projet'!$B$13,Paramètres!$A$1:$I$89,3,0)*VLOOKUP('Données projet'!$B$13,Paramètres!$A$1:$I$89,5,0)</f>
        <v>179.30879999999974</v>
      </c>
      <c r="CV90" s="14">
        <f t="shared" si="95"/>
        <v>45.168372484136519</v>
      </c>
      <c r="CW90" s="22">
        <f t="shared" si="67"/>
        <v>390.96440874320393</v>
      </c>
      <c r="CX90" s="60">
        <f t="shared" si="68"/>
        <v>664.29921131367882</v>
      </c>
      <c r="CY90" s="60">
        <f ca="1">AVERAGE(OFFSET($CX$3,0,0,'Données projet'!$E$13+1,1))-AVERAGE(OFFSET($H$3,0,0,'Données projet'!$E$13+1,1))</f>
        <v>277.77877239988635</v>
      </c>
      <c r="CZ90" s="60">
        <f t="shared" si="96"/>
        <v>164.65640238394164</v>
      </c>
      <c r="DA90" s="16">
        <f>IF(ISNA(VLOOKUP(A90,'Données projet'!$A$139:$I$159,3,0)),0,VLOOKUP(A90,'Données projet'!$A$139:$I$159,3,0))</f>
        <v>4</v>
      </c>
      <c r="DB90" s="16">
        <f>IF(ISNA(VLOOKUP(A90,'Données projet'!$A$139:$I$159,4,0)),0,VLOOKUP(A90,'Données projet'!$A$139:$I$159,4,0))</f>
        <v>82.938461538461524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2.9487179487179502</v>
      </c>
      <c r="DO90" s="13">
        <f>IF('Données projet'!$A$166&gt;35,DO89+DN90-DW89,IF(A90&lt;'Données projet'!$A$166,$DL$205^A90,IF(A90='Données projet'!$A$166,'Données projet'!$B$166,DO89+DN90-DW89)))</f>
        <v>213.58974358974348</v>
      </c>
      <c r="DP90" s="18">
        <f>DO90*VLOOKUP('Données projet'!$B$14,Paramètres!$A$1:$I$89,3,0)*VLOOKUP('Données projet'!$B$14,Paramètres!$A$1:$I$89,5,0)</f>
        <v>183.25999999999993</v>
      </c>
      <c r="DQ90" s="14">
        <f t="shared" si="97"/>
        <v>46.046716704420106</v>
      </c>
      <c r="DR90" s="22">
        <f t="shared" si="70"/>
        <v>399.37586492686484</v>
      </c>
      <c r="DS90" s="60">
        <f t="shared" si="71"/>
        <v>672.71066749733973</v>
      </c>
      <c r="DT90" s="60">
        <f ca="1">AVERAGE(OFFSET($DS$3,0,0,'Données projet'!$E$14+1,1))-AVERAGE(OFFSET($H$3,0,0,'Données projet'!$E$14+1,1))</f>
        <v>354.30160274624632</v>
      </c>
      <c r="DU90" s="60">
        <f t="shared" si="98"/>
        <v>218.8005329382452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5.6</v>
      </c>
      <c r="EJ90" s="13">
        <f>IF('Données projet'!$A$192&gt;35,EJ89+EI90-ER89,IF(A90&lt;'Données projet'!$A$192,$EG$205^A90,IF(A90='Données projet'!$A$192,'Données projet'!$B$192,EJ89+EI90-ER89)))</f>
        <v>279.2</v>
      </c>
      <c r="EK90" s="18">
        <f>EJ90*VLOOKUP('Données projet'!$B$15,Paramètres!$A$1:$I$89,3,0)*VLOOKUP('Données projet'!$B$15,Paramètres!$A$1:$I$89,5,0)</f>
        <v>270.04223999999999</v>
      </c>
      <c r="EL90" s="14">
        <f t="shared" si="99"/>
        <v>64.858233600288145</v>
      </c>
      <c r="EM90" s="22">
        <f t="shared" si="73"/>
        <v>583.28499152050188</v>
      </c>
      <c r="EN90" s="60">
        <f t="shared" si="74"/>
        <v>856.61979409097671</v>
      </c>
      <c r="EO90" s="60">
        <f ca="1">AVERAGE(OFFSET($EN$3,0,0,'Données projet'!$E$15+1,1))-AVERAGE(OFFSET($H$3,0,0,'Données projet'!$E$15+1,1))</f>
        <v>496.33873798282525</v>
      </c>
      <c r="EP90" s="60">
        <f t="shared" si="100"/>
        <v>280.25465074992246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3.4106051316484809E-13</v>
      </c>
      <c r="FF90" s="18">
        <f>FE90*VLOOKUP('Données projet'!$B$16,Paramètres!$A$1:$I$89,3,0)*VLOOKUP('Données projet'!$B$16,Paramètres!$A$1:$I$89,5,0)</f>
        <v>2.7666828827932479E-13</v>
      </c>
      <c r="FG90" s="14">
        <f t="shared" si="101"/>
        <v>3.6920483163466686E-12</v>
      </c>
      <c r="FH90" s="22">
        <f t="shared" si="76"/>
        <v>6.9121814197236049E-12</v>
      </c>
      <c r="FI90" s="60">
        <f t="shared" si="77"/>
        <v>273.33480257048177</v>
      </c>
      <c r="FJ90" s="60">
        <f ca="1">AVERAGE(OFFSET($FI$3,0,0,'Données projet'!$E$16+1,1))-AVERAGE(OFFSET($H$3,0,0,'Données projet'!$E$16+1,1))</f>
        <v>341.66430955115521</v>
      </c>
      <c r="FK90" s="60">
        <f t="shared" si="102"/>
        <v>366.15174925159192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3.4106051316484809E-13</v>
      </c>
      <c r="GA90" s="18">
        <f>FZ90*VLOOKUP('Données projet'!$B$17,Paramètres!$A$1:$I$89,3,0)*VLOOKUP('Données projet'!$B$17,Paramètres!$A$1:$I$89,5,0)</f>
        <v>2.5006556825246659E-13</v>
      </c>
      <c r="GB90" s="14">
        <f t="shared" si="103"/>
        <v>3.3765445850268018E-12</v>
      </c>
      <c r="GC90" s="22">
        <f t="shared" si="79"/>
        <v>6.3163460169613921E-12</v>
      </c>
      <c r="GD90" s="60">
        <f t="shared" si="80"/>
        <v>273.33480257048114</v>
      </c>
      <c r="GE90" s="60">
        <f ca="1">AVERAGE(OFFSET($GD$3,0,0,'Données projet'!$E$17+1,1))-AVERAGE(OFFSET($H$3,0,0,'Données projet'!$E$17+1,1))</f>
        <v>314.58662400031631</v>
      </c>
      <c r="GF90" s="60">
        <f t="shared" si="104"/>
        <v>336.99073123405981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4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288.78720000000004</v>
      </c>
      <c r="P91" s="14">
        <f t="shared" si="87"/>
        <v>68.820644053442436</v>
      </c>
      <c r="Q91" s="22">
        <f t="shared" si="54"/>
        <v>622.83366172641229</v>
      </c>
      <c r="R91" s="60">
        <f t="shared" si="55"/>
        <v>896.51539409560598</v>
      </c>
      <c r="S91" s="60">
        <f ca="1">AVERAGE(OFFSET($R$3,0,0,'Données projet'!$E$9+1,1))-AVERAGE(OFFSET($H$3,0,0,'Données projet'!$E$9+1,1))</f>
        <v>516.30971934066179</v>
      </c>
      <c r="T91" s="60">
        <f t="shared" si="88"/>
        <v>290.84286505723571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3.8461538461538454</v>
      </c>
      <c r="AI91" s="14">
        <f>IF('Données projet'!$A$62&gt;35,AI90+AH91-AQ90,IF(A91&lt;'Données projet'!$A$62,$AF$205^A91,IF(A91='Données projet'!$A$62,'Données projet'!$B$62,AI90+AH91-AQ90)))</f>
        <v>288.46153846153823</v>
      </c>
      <c r="AJ91" s="14">
        <f>AI91*VLOOKUP('Données projet'!$B$10,Paramètres!$A$1:$I$89,3,0)*VLOOKUP('Données projet'!$B$10,Paramètres!$A$1:$I$89,5,0)</f>
        <v>301.49999999999977</v>
      </c>
      <c r="AK91" s="14">
        <f t="shared" si="89"/>
        <v>71.490829753972974</v>
      </c>
      <c r="AL91" s="22">
        <f t="shared" si="58"/>
        <v>649.62569515483597</v>
      </c>
      <c r="AM91" s="60">
        <f t="shared" si="59"/>
        <v>923.30742752402966</v>
      </c>
      <c r="AN91" s="60">
        <f ca="1">AVERAGE(OFFSET($AM$3,0,0,'Données projet'!$E$10+1,1))-AVERAGE(OFFSET($H$3,0,0,'Données projet'!$E$10+1,1))</f>
        <v>529.00505223594837</v>
      </c>
      <c r="AO91" s="60">
        <f t="shared" si="90"/>
        <v>321.23004033257985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3.4106051316484809E-13</v>
      </c>
      <c r="BE91" s="14">
        <f>BD91*VLOOKUP('Données projet'!$B$11,Paramètres!$A$1:$I$89,3,0)*VLOOKUP('Données projet'!$B$11,Paramètres!$A$1:$I$89,5,0)</f>
        <v>2.9795046430081134E-13</v>
      </c>
      <c r="BF91" s="14">
        <f t="shared" si="91"/>
        <v>3.9419014464513778E-12</v>
      </c>
      <c r="BG91" s="22">
        <f t="shared" si="61"/>
        <v>7.384408744560063E-12</v>
      </c>
      <c r="BH91" s="60">
        <f t="shared" si="62"/>
        <v>273.68173236920109</v>
      </c>
      <c r="BI91" s="60">
        <f ca="1">AVERAGE(OFFSET($BH$3,0,0,'Données projet'!$E$11+1,1))-AVERAGE(OFFSET($H$3,0,0,'Données projet'!$E$11+1,1))</f>
        <v>363.28611056308665</v>
      </c>
      <c r="BJ91" s="60">
        <f t="shared" si="92"/>
        <v>389.43647559455974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5.6</v>
      </c>
      <c r="BY91" s="13">
        <f>IF('Données projet'!$A$114&gt;35,BY90+BX91-CG90,IF(A91&lt;'Données projet'!$A$114,$BV$205^A91,IF(A91='Données projet'!$A$114,'Données projet'!$B$114,BY90+BX91-CG90)))</f>
        <v>284.8</v>
      </c>
      <c r="BZ91" s="14">
        <f>BY91*VLOOKUP('Données projet'!$B$12,Paramètres!$A$1:$I$89,3,0)*VLOOKUP('Données projet'!$B$12,Paramètres!$A$1:$I$89,5,0)</f>
        <v>306.55871999999999</v>
      </c>
      <c r="CA91" s="14">
        <f t="shared" si="93"/>
        <v>72.549687694621639</v>
      </c>
      <c r="CB91" s="22">
        <f t="shared" si="64"/>
        <v>660.28047673479932</v>
      </c>
      <c r="CC91" s="60">
        <f t="shared" si="65"/>
        <v>933.96220910399302</v>
      </c>
      <c r="CD91" s="60">
        <f ca="1">AVERAGE(OFFSET($CC$3,0,0,'Données projet'!$E$12+1,1))-AVERAGE(OFFSET($H$3,0,0,'Données projet'!$E$12+1,1))</f>
        <v>542.90832990875208</v>
      </c>
      <c r="CE91" s="60">
        <f t="shared" si="94"/>
        <v>304.94365539329362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8.1205128205128201</v>
      </c>
      <c r="CT91" s="13">
        <f>IF('Données projet'!$A$140&gt;35,CT90+CS91-DB90,IF(A91&lt;'Données projet'!$A$140,$CQ$205^A91,IF(A91='Données projet'!$A$140,'Données projet'!$B$140,CT90+CS91-DB90)))</f>
        <v>308.32051282051231</v>
      </c>
      <c r="CU91" s="18">
        <f>CT91*VLOOKUP('Données projet'!$B$13,Paramètres!$A$1:$I$89,3,0)*VLOOKUP('Données projet'!$B$13,Paramètres!$A$1:$I$89,5,0)</f>
        <v>144.29399999999976</v>
      </c>
      <c r="CV91" s="14">
        <f t="shared" si="95"/>
        <v>37.278964348289335</v>
      </c>
      <c r="CW91" s="22">
        <f t="shared" si="67"/>
        <v>316.23957957327008</v>
      </c>
      <c r="CX91" s="60">
        <f t="shared" si="68"/>
        <v>589.92131194246372</v>
      </c>
      <c r="CY91" s="60">
        <f ca="1">AVERAGE(OFFSET($CX$3,0,0,'Données projet'!$E$13+1,1))-AVERAGE(OFFSET($H$3,0,0,'Données projet'!$E$13+1,1))</f>
        <v>277.77877239988635</v>
      </c>
      <c r="CZ91" s="60">
        <f t="shared" si="96"/>
        <v>164.65640238394164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2.9487179487179502</v>
      </c>
      <c r="DO91" s="13">
        <f>IF('Données projet'!$A$166&gt;35,DO90+DN91-DW90,IF(A91&lt;'Données projet'!$A$166,$DL$205^A91,IF(A91='Données projet'!$A$166,'Données projet'!$B$166,DO90+DN91-DW90)))</f>
        <v>216.53846153846143</v>
      </c>
      <c r="DP91" s="18">
        <f>DO91*VLOOKUP('Données projet'!$B$14,Paramètres!$A$1:$I$89,3,0)*VLOOKUP('Données projet'!$B$14,Paramètres!$A$1:$I$89,5,0)</f>
        <v>185.78999999999994</v>
      </c>
      <c r="DQ91" s="14">
        <f t="shared" si="97"/>
        <v>46.607971297863529</v>
      </c>
      <c r="DR91" s="22">
        <f t="shared" si="70"/>
        <v>404.75980001044553</v>
      </c>
      <c r="DS91" s="60">
        <f t="shared" si="71"/>
        <v>678.44153237963928</v>
      </c>
      <c r="DT91" s="60">
        <f ca="1">AVERAGE(OFFSET($DS$3,0,0,'Données projet'!$E$14+1,1))-AVERAGE(OFFSET($H$3,0,0,'Données projet'!$E$14+1,1))</f>
        <v>354.30160274624632</v>
      </c>
      <c r="DU91" s="60">
        <f t="shared" si="98"/>
        <v>218.8005329382452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5.6</v>
      </c>
      <c r="EJ91" s="13">
        <f>IF('Données projet'!$A$192&gt;35,EJ90+EI91-ER90,IF(A91&lt;'Données projet'!$A$192,$EG$205^A91,IF(A91='Données projet'!$A$192,'Données projet'!$B$192,EJ90+EI91-ER90)))</f>
        <v>284.8</v>
      </c>
      <c r="EK91" s="18">
        <f>EJ91*VLOOKUP('Données projet'!$B$15,Paramètres!$A$1:$I$89,3,0)*VLOOKUP('Données projet'!$B$15,Paramètres!$A$1:$I$89,5,0)</f>
        <v>275.45855999999998</v>
      </c>
      <c r="EL91" s="14">
        <f t="shared" si="99"/>
        <v>66.006360579066197</v>
      </c>
      <c r="EM91" s="22">
        <f t="shared" si="73"/>
        <v>594.71807000854017</v>
      </c>
      <c r="EN91" s="60">
        <f t="shared" si="74"/>
        <v>868.39980237773386</v>
      </c>
      <c r="EO91" s="60">
        <f ca="1">AVERAGE(OFFSET($EN$3,0,0,'Données projet'!$E$15+1,1))-AVERAGE(OFFSET($H$3,0,0,'Données projet'!$E$15+1,1))</f>
        <v>496.33873798282525</v>
      </c>
      <c r="EP91" s="60">
        <f t="shared" si="100"/>
        <v>280.25465074992246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3.4106051316484809E-13</v>
      </c>
      <c r="FF91" s="18">
        <f>FE91*VLOOKUP('Données projet'!$B$16,Paramètres!$A$1:$I$89,3,0)*VLOOKUP('Données projet'!$B$16,Paramètres!$A$1:$I$89,5,0)</f>
        <v>2.7666828827932479E-13</v>
      </c>
      <c r="FG91" s="14">
        <f t="shared" si="101"/>
        <v>3.6920483163466686E-12</v>
      </c>
      <c r="FH91" s="22">
        <f t="shared" si="76"/>
        <v>6.9121814197236049E-12</v>
      </c>
      <c r="FI91" s="60">
        <f t="shared" si="77"/>
        <v>273.68173236920063</v>
      </c>
      <c r="FJ91" s="60">
        <f ca="1">AVERAGE(OFFSET($FI$3,0,0,'Données projet'!$E$16+1,1))-AVERAGE(OFFSET($H$3,0,0,'Données projet'!$E$16+1,1))</f>
        <v>341.66430955115521</v>
      </c>
      <c r="FK91" s="60">
        <f t="shared" si="102"/>
        <v>366.15174925159192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3.4106051316484809E-13</v>
      </c>
      <c r="GA91" s="18">
        <f>FZ91*VLOOKUP('Données projet'!$B$17,Paramètres!$A$1:$I$89,3,0)*VLOOKUP('Données projet'!$B$17,Paramètres!$A$1:$I$89,5,0)</f>
        <v>2.5006556825246659E-13</v>
      </c>
      <c r="GB91" s="14">
        <f t="shared" si="103"/>
        <v>3.3765445850268018E-12</v>
      </c>
      <c r="GC91" s="22">
        <f t="shared" si="79"/>
        <v>6.3163460169613921E-12</v>
      </c>
      <c r="GD91" s="60">
        <f t="shared" si="80"/>
        <v>273.68173236920001</v>
      </c>
      <c r="GE91" s="60">
        <f ca="1">AVERAGE(OFFSET($GD$3,0,0,'Données projet'!$E$17+1,1))-AVERAGE(OFFSET($H$3,0,0,'Données projet'!$E$17+1,1))</f>
        <v>314.58662400031631</v>
      </c>
      <c r="GF91" s="60">
        <f t="shared" si="104"/>
        <v>336.99073123405981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4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294.46560000000005</v>
      </c>
      <c r="P92" s="14">
        <f t="shared" si="87"/>
        <v>70.014986320104285</v>
      </c>
      <c r="Q92" s="22">
        <f t="shared" si="54"/>
        <v>634.8036878408484</v>
      </c>
      <c r="R92" s="60">
        <f t="shared" si="55"/>
        <v>908.82633155237204</v>
      </c>
      <c r="S92" s="60">
        <f ca="1">AVERAGE(OFFSET($R$3,0,0,'Données projet'!$E$9+1,1))-AVERAGE(OFFSET($H$3,0,0,'Données projet'!$E$9+1,1))</f>
        <v>516.30971934066179</v>
      </c>
      <c r="T92" s="60">
        <f t="shared" si="88"/>
        <v>290.84286505723571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3.8461538461538454</v>
      </c>
      <c r="AI92" s="14">
        <f>IF('Données projet'!$A$62&gt;35,AI91+AH92-AQ91,IF(A92&lt;'Données projet'!$A$62,$AF$205^A92,IF(A92='Données projet'!$A$62,'Données projet'!$B$62,AI91+AH92-AQ91)))</f>
        <v>292.30769230769209</v>
      </c>
      <c r="AJ92" s="14">
        <f>AI92*VLOOKUP('Données projet'!$B$10,Paramètres!$A$1:$I$89,3,0)*VLOOKUP('Données projet'!$B$10,Paramètres!$A$1:$I$89,5,0)</f>
        <v>305.51999999999981</v>
      </c>
      <c r="AK92" s="14">
        <f t="shared" si="89"/>
        <v>72.332436678206648</v>
      </c>
      <c r="AL92" s="22">
        <f t="shared" si="58"/>
        <v>658.09299388120962</v>
      </c>
      <c r="AM92" s="60">
        <f t="shared" si="59"/>
        <v>932.11563759273326</v>
      </c>
      <c r="AN92" s="60">
        <f ca="1">AVERAGE(OFFSET($AM$3,0,0,'Données projet'!$E$10+1,1))-AVERAGE(OFFSET($H$3,0,0,'Données projet'!$E$10+1,1))</f>
        <v>529.00505223594837</v>
      </c>
      <c r="AO92" s="60">
        <f t="shared" si="90"/>
        <v>321.23004033257985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3.4106051316484809E-13</v>
      </c>
      <c r="BE92" s="14">
        <f>BD92*VLOOKUP('Données projet'!$B$11,Paramètres!$A$1:$I$89,3,0)*VLOOKUP('Données projet'!$B$11,Paramètres!$A$1:$I$89,5,0)</f>
        <v>2.9795046430081134E-13</v>
      </c>
      <c r="BF92" s="14">
        <f t="shared" si="91"/>
        <v>3.9419014464513778E-12</v>
      </c>
      <c r="BG92" s="22">
        <f t="shared" si="61"/>
        <v>7.384408744560063E-12</v>
      </c>
      <c r="BH92" s="60">
        <f t="shared" si="62"/>
        <v>274.02264371153097</v>
      </c>
      <c r="BI92" s="60">
        <f ca="1">AVERAGE(OFFSET($BH$3,0,0,'Données projet'!$E$11+1,1))-AVERAGE(OFFSET($H$3,0,0,'Données projet'!$E$11+1,1))</f>
        <v>363.28611056308665</v>
      </c>
      <c r="BJ92" s="60">
        <f t="shared" si="92"/>
        <v>389.43647559455974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5.6</v>
      </c>
      <c r="BY92" s="13">
        <f>IF('Données projet'!$A$114&gt;35,BY91+BX92-CG91,IF(A92&lt;'Données projet'!$A$114,$BV$205^A92,IF(A92='Données projet'!$A$114,'Données projet'!$B$114,BY91+BX92-CG91)))</f>
        <v>290.40000000000003</v>
      </c>
      <c r="BZ92" s="14">
        <f>BY92*VLOOKUP('Données projet'!$B$12,Paramètres!$A$1:$I$89,3,0)*VLOOKUP('Données projet'!$B$12,Paramètres!$A$1:$I$89,5,0)</f>
        <v>312.58656000000002</v>
      </c>
      <c r="CA92" s="14">
        <f t="shared" si="93"/>
        <v>73.808745345687967</v>
      </c>
      <c r="CB92" s="22">
        <f t="shared" si="64"/>
        <v>672.97182347707314</v>
      </c>
      <c r="CC92" s="60">
        <f t="shared" si="65"/>
        <v>946.99446718859667</v>
      </c>
      <c r="CD92" s="60">
        <f ca="1">AVERAGE(OFFSET($CC$3,0,0,'Données projet'!$E$12+1,1))-AVERAGE(OFFSET($H$3,0,0,'Données projet'!$E$12+1,1))</f>
        <v>542.90832990875208</v>
      </c>
      <c r="CE92" s="60">
        <f t="shared" si="94"/>
        <v>304.94365539329362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8.1205128205128201</v>
      </c>
      <c r="CT92" s="13">
        <f>IF('Données projet'!$A$140&gt;35,CT91+CS92-DB91,IF(A92&lt;'Données projet'!$A$140,$CQ$205^A92,IF(A92='Données projet'!$A$140,'Données projet'!$B$140,CT91+CS92-DB91)))</f>
        <v>316.44102564102513</v>
      </c>
      <c r="CU92" s="18">
        <f>CT92*VLOOKUP('Données projet'!$B$13,Paramètres!$A$1:$I$89,3,0)*VLOOKUP('Données projet'!$B$13,Paramètres!$A$1:$I$89,5,0)</f>
        <v>148.09439999999975</v>
      </c>
      <c r="CV92" s="14">
        <f t="shared" si="95"/>
        <v>38.145209470220848</v>
      </c>
      <c r="CW92" s="22">
        <f t="shared" si="67"/>
        <v>324.36731982730089</v>
      </c>
      <c r="CX92" s="60">
        <f t="shared" si="68"/>
        <v>598.38996353882453</v>
      </c>
      <c r="CY92" s="60">
        <f ca="1">AVERAGE(OFFSET($CX$3,0,0,'Données projet'!$E$13+1,1))-AVERAGE(OFFSET($H$3,0,0,'Données projet'!$E$13+1,1))</f>
        <v>277.77877239988635</v>
      </c>
      <c r="CZ92" s="60">
        <f t="shared" si="96"/>
        <v>164.65640238394164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2.9487179487179502</v>
      </c>
      <c r="DO92" s="13">
        <f>IF('Données projet'!$A$166&gt;35,DO91+DN92-DW91,IF(A92&lt;'Données projet'!$A$166,$DL$205^A92,IF(A92='Données projet'!$A$166,'Données projet'!$B$166,DO91+DN92-DW91)))</f>
        <v>219.48717948717939</v>
      </c>
      <c r="DP92" s="18">
        <f>DO92*VLOOKUP('Données projet'!$B$14,Paramètres!$A$1:$I$89,3,0)*VLOOKUP('Données projet'!$B$14,Paramètres!$A$1:$I$89,5,0)</f>
        <v>188.31999999999994</v>
      </c>
      <c r="DQ92" s="14">
        <f t="shared" si="97"/>
        <v>47.168336933561967</v>
      </c>
      <c r="DR92" s="22">
        <f t="shared" si="70"/>
        <v>410.14218682595362</v>
      </c>
      <c r="DS92" s="60">
        <f t="shared" si="71"/>
        <v>684.1648305374772</v>
      </c>
      <c r="DT92" s="60">
        <f ca="1">AVERAGE(OFFSET($DS$3,0,0,'Données projet'!$E$14+1,1))-AVERAGE(OFFSET($H$3,0,0,'Données projet'!$E$14+1,1))</f>
        <v>354.30160274624632</v>
      </c>
      <c r="DU92" s="60">
        <f t="shared" si="98"/>
        <v>218.8005329382452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5.6</v>
      </c>
      <c r="EJ92" s="13">
        <f>IF('Données projet'!$A$192&gt;35,EJ91+EI92-ER91,IF(A92&lt;'Données projet'!$A$192,$EG$205^A92,IF(A92='Données projet'!$A$192,'Données projet'!$B$192,EJ91+EI92-ER91)))</f>
        <v>290.40000000000003</v>
      </c>
      <c r="EK92" s="18">
        <f>EJ92*VLOOKUP('Données projet'!$B$15,Paramètres!$A$1:$I$89,3,0)*VLOOKUP('Données projet'!$B$15,Paramètres!$A$1:$I$89,5,0)</f>
        <v>280.87488000000008</v>
      </c>
      <c r="EL92" s="14">
        <f t="shared" si="99"/>
        <v>67.151862592195855</v>
      </c>
      <c r="EM92" s="22">
        <f t="shared" si="73"/>
        <v>606.14657668140785</v>
      </c>
      <c r="EN92" s="60">
        <f t="shared" si="74"/>
        <v>880.16922039293149</v>
      </c>
      <c r="EO92" s="60">
        <f ca="1">AVERAGE(OFFSET($EN$3,0,0,'Données projet'!$E$15+1,1))-AVERAGE(OFFSET($H$3,0,0,'Données projet'!$E$15+1,1))</f>
        <v>496.33873798282525</v>
      </c>
      <c r="EP92" s="60">
        <f t="shared" si="100"/>
        <v>280.25465074992246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3.4106051316484809E-13</v>
      </c>
      <c r="FF92" s="18">
        <f>FE92*VLOOKUP('Données projet'!$B$16,Paramètres!$A$1:$I$89,3,0)*VLOOKUP('Données projet'!$B$16,Paramètres!$A$1:$I$89,5,0)</f>
        <v>2.7666828827932479E-13</v>
      </c>
      <c r="FG92" s="14">
        <f t="shared" si="101"/>
        <v>3.6920483163466686E-12</v>
      </c>
      <c r="FH92" s="22">
        <f t="shared" si="76"/>
        <v>6.9121814197236049E-12</v>
      </c>
      <c r="FI92" s="60">
        <f t="shared" si="77"/>
        <v>274.02264371153052</v>
      </c>
      <c r="FJ92" s="60">
        <f ca="1">AVERAGE(OFFSET($FI$3,0,0,'Données projet'!$E$16+1,1))-AVERAGE(OFFSET($H$3,0,0,'Données projet'!$E$16+1,1))</f>
        <v>341.66430955115521</v>
      </c>
      <c r="FK92" s="60">
        <f t="shared" si="102"/>
        <v>366.15174925159192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3.4106051316484809E-13</v>
      </c>
      <c r="GA92" s="18">
        <f>FZ92*VLOOKUP('Données projet'!$B$17,Paramètres!$A$1:$I$89,3,0)*VLOOKUP('Données projet'!$B$17,Paramètres!$A$1:$I$89,5,0)</f>
        <v>2.5006556825246659E-13</v>
      </c>
      <c r="GB92" s="14">
        <f t="shared" si="103"/>
        <v>3.3765445850268018E-12</v>
      </c>
      <c r="GC92" s="22">
        <f t="shared" si="79"/>
        <v>6.3163460169613921E-12</v>
      </c>
      <c r="GD92" s="60">
        <f t="shared" si="80"/>
        <v>274.02264371152989</v>
      </c>
      <c r="GE92" s="60">
        <f ca="1">AVERAGE(OFFSET($GD$3,0,0,'Données projet'!$E$17+1,1))-AVERAGE(OFFSET($H$3,0,0,'Données projet'!$E$17+1,1))</f>
        <v>314.58662400031631</v>
      </c>
      <c r="GF92" s="60">
        <f t="shared" si="104"/>
        <v>336.99073123405981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4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300.14400000000006</v>
      </c>
      <c r="P93" s="14">
        <f t="shared" si="87"/>
        <v>71.206650563609855</v>
      </c>
      <c r="Q93" s="22">
        <f t="shared" si="54"/>
        <v>646.76904973162061</v>
      </c>
      <c r="R93" s="60">
        <f t="shared" si="55"/>
        <v>921.12669073584834</v>
      </c>
      <c r="S93" s="60">
        <f ca="1">AVERAGE(OFFSET($R$3,0,0,'Données projet'!$E$9+1,1))-AVERAGE(OFFSET($H$3,0,0,'Données projet'!$E$9+1,1))</f>
        <v>516.30971934066179</v>
      </c>
      <c r="T93" s="60">
        <f t="shared" si="88"/>
        <v>290.84286505723571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296.15384615384613</v>
      </c>
      <c r="AG93" s="13">
        <f>VLOOKUP(A93,'Données projet'!$A$61:$I$81,9,0)</f>
        <v>3.8461538461538454</v>
      </c>
      <c r="AH93" s="13">
        <f t="array" ref="AH93">INDEX(AG:AG,MIN(IF(ISNUMBER(AG93:AG289),ROW(AG93:AG289),"")))</f>
        <v>3.8461538461538454</v>
      </c>
      <c r="AI93" s="14">
        <f>IF('Données projet'!$A$62&gt;35,AI92+AH93-AQ92,IF(A93&lt;'Données projet'!$A$62,$AF$205^A93,IF(A93='Données projet'!$A$62,'Données projet'!$B$62,AI92+AH93-AQ92)))</f>
        <v>296.15384615384596</v>
      </c>
      <c r="AJ93" s="14">
        <f>AI93*VLOOKUP('Données projet'!$B$10,Paramètres!$A$1:$I$89,3,0)*VLOOKUP('Données projet'!$B$10,Paramètres!$A$1:$I$89,5,0)</f>
        <v>309.53999999999979</v>
      </c>
      <c r="AK93" s="14">
        <f t="shared" si="89"/>
        <v>73.172755562281282</v>
      </c>
      <c r="AL93" s="22">
        <f t="shared" si="58"/>
        <v>666.5580492709729</v>
      </c>
      <c r="AM93" s="60">
        <f t="shared" si="59"/>
        <v>940.91569027520063</v>
      </c>
      <c r="AN93" s="60">
        <f ca="1">AVERAGE(OFFSET($AM$3,0,0,'Données projet'!$E$10+1,1))-AVERAGE(OFFSET($H$3,0,0,'Données projet'!$E$10+1,1))</f>
        <v>529.00505223594837</v>
      </c>
      <c r="AO93" s="60">
        <f t="shared" si="90"/>
        <v>321.23004033257985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21.153846153846153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3.4106051316484809E-13</v>
      </c>
      <c r="BE93" s="14">
        <f>BD93*VLOOKUP('Données projet'!$B$11,Paramètres!$A$1:$I$89,3,0)*VLOOKUP('Données projet'!$B$11,Paramètres!$A$1:$I$89,5,0)</f>
        <v>2.9795046430081134E-13</v>
      </c>
      <c r="BF93" s="14">
        <f t="shared" si="91"/>
        <v>3.9419014464513778E-12</v>
      </c>
      <c r="BG93" s="22">
        <f t="shared" si="61"/>
        <v>7.384408744560063E-12</v>
      </c>
      <c r="BH93" s="60">
        <f t="shared" si="62"/>
        <v>274.35764100423506</v>
      </c>
      <c r="BI93" s="60">
        <f ca="1">AVERAGE(OFFSET($BH$3,0,0,'Données projet'!$E$11+1,1))-AVERAGE(OFFSET($H$3,0,0,'Données projet'!$E$11+1,1))</f>
        <v>363.28611056308665</v>
      </c>
      <c r="BJ93" s="60">
        <f t="shared" si="92"/>
        <v>389.43647559455974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5.6</v>
      </c>
      <c r="BX93" s="13">
        <f t="array" ref="BX93">INDEX(BW:BW,MIN(IF(ISNUMBER(BW93:BW289),ROW(BW93:BW289),"")))</f>
        <v>5.6</v>
      </c>
      <c r="BY93" s="13">
        <f>IF('Données projet'!$A$114&gt;35,BY92+BX93-CG92,IF(A93&lt;'Données projet'!$A$114,$BV$205^A93,IF(A93='Données projet'!$A$114,'Données projet'!$B$114,BY92+BX93-CG92)))</f>
        <v>296.00000000000006</v>
      </c>
      <c r="BZ93" s="14">
        <f>BY93*VLOOKUP('Données projet'!$B$12,Paramètres!$A$1:$I$89,3,0)*VLOOKUP('Données projet'!$B$12,Paramètres!$A$1:$I$89,5,0)</f>
        <v>318.61440000000005</v>
      </c>
      <c r="CA93" s="14">
        <f t="shared" si="93"/>
        <v>75.06497986502842</v>
      </c>
      <c r="CB93" s="22">
        <f t="shared" si="64"/>
        <v>685.6582532649245</v>
      </c>
      <c r="CC93" s="60">
        <f t="shared" si="65"/>
        <v>960.01589426915211</v>
      </c>
      <c r="CD93" s="60">
        <f ca="1">AVERAGE(OFFSET($CC$3,0,0,'Données projet'!$E$12+1,1))-AVERAGE(OFFSET($H$3,0,0,'Données projet'!$E$12+1,1))</f>
        <v>542.90832990875208</v>
      </c>
      <c r="CE93" s="60">
        <f t="shared" si="94"/>
        <v>304.94365539329362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8.1205128205128201</v>
      </c>
      <c r="CT93" s="13">
        <f>IF('Données projet'!$A$140&gt;35,CT92+CS93-DB92,IF(A93&lt;'Données projet'!$A$140,$CQ$205^A93,IF(A93='Données projet'!$A$140,'Données projet'!$B$140,CT92+CS93-DB92)))</f>
        <v>324.56153846153796</v>
      </c>
      <c r="CU93" s="18">
        <f>CT93*VLOOKUP('Données projet'!$B$13,Paramètres!$A$1:$I$89,3,0)*VLOOKUP('Données projet'!$B$13,Paramètres!$A$1:$I$89,5,0)</f>
        <v>151.89479999999978</v>
      </c>
      <c r="CV93" s="14">
        <f t="shared" si="95"/>
        <v>39.008870628729497</v>
      </c>
      <c r="CW93" s="22">
        <f t="shared" si="67"/>
        <v>332.49055967837018</v>
      </c>
      <c r="CX93" s="60">
        <f t="shared" si="68"/>
        <v>606.84820068259785</v>
      </c>
      <c r="CY93" s="60">
        <f ca="1">AVERAGE(OFFSET($CX$3,0,0,'Données projet'!$E$13+1,1))-AVERAGE(OFFSET($H$3,0,0,'Données projet'!$E$13+1,1))</f>
        <v>277.77877239988635</v>
      </c>
      <c r="CZ93" s="60">
        <f t="shared" si="96"/>
        <v>164.65640238394164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222.43589743589743</v>
      </c>
      <c r="DM93" s="13">
        <f>VLOOKUP(A93,'Données projet'!$A$165:$I$185,9,0)</f>
        <v>2.9487179487179502</v>
      </c>
      <c r="DN93" s="13">
        <f t="array" ref="DN93">INDEX(DM:DM,MIN(IF(ISNUMBER(DM93:DM289),ROW(DM93:DM289),"")))</f>
        <v>2.9487179487179502</v>
      </c>
      <c r="DO93" s="13">
        <f>IF('Données projet'!$A$166&gt;35,DO92+DN93-DW92,IF(A93&lt;'Données projet'!$A$166,$DL$205^A93,IF(A93='Données projet'!$A$166,'Données projet'!$B$166,DO92+DN93-DW92)))</f>
        <v>222.43589743589735</v>
      </c>
      <c r="DP93" s="18">
        <f>DO93*VLOOKUP('Données projet'!$B$14,Paramètres!$A$1:$I$89,3,0)*VLOOKUP('Données projet'!$B$14,Paramètres!$A$1:$I$89,5,0)</f>
        <v>190.84999999999994</v>
      </c>
      <c r="DQ93" s="14">
        <f t="shared" si="97"/>
        <v>47.727826934814601</v>
      </c>
      <c r="DR93" s="22">
        <f t="shared" si="70"/>
        <v>415.52304857813533</v>
      </c>
      <c r="DS93" s="60">
        <f t="shared" si="71"/>
        <v>689.88068958236295</v>
      </c>
      <c r="DT93" s="60">
        <f ca="1">AVERAGE(OFFSET($DS$3,0,0,'Données projet'!$E$14+1,1))-AVERAGE(OFFSET($H$3,0,0,'Données projet'!$E$14+1,1))</f>
        <v>354.30160274624632</v>
      </c>
      <c r="DU93" s="60">
        <f t="shared" si="98"/>
        <v>218.8005329382452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16.666666666666668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296</v>
      </c>
      <c r="EH93" s="13">
        <f>VLOOKUP(A93,'Données projet'!$A$191:$I$211,9,0)</f>
        <v>5.6</v>
      </c>
      <c r="EI93" s="13">
        <f t="array" ref="EI93">INDEX(EH:EH,MIN(IF(ISNUMBER(EH93:EH289),ROW(EH93:EH289),"")))</f>
        <v>5.6</v>
      </c>
      <c r="EJ93" s="13">
        <f>IF('Données projet'!$A$192&gt;35,EJ92+EI93-ER92,IF(A93&lt;'Données projet'!$A$192,$EG$205^A93,IF(A93='Données projet'!$A$192,'Données projet'!$B$192,EJ92+EI93-ER92)))</f>
        <v>296.00000000000006</v>
      </c>
      <c r="EK93" s="18">
        <f>EJ93*VLOOKUP('Données projet'!$B$15,Paramètres!$A$1:$I$89,3,0)*VLOOKUP('Données projet'!$B$15,Paramètres!$A$1:$I$89,5,0)</f>
        <v>286.29120000000006</v>
      </c>
      <c r="EL93" s="14">
        <f t="shared" si="99"/>
        <v>68.294796094604408</v>
      </c>
      <c r="EM93" s="22">
        <f t="shared" si="73"/>
        <v>617.57060986476938</v>
      </c>
      <c r="EN93" s="60">
        <f t="shared" si="74"/>
        <v>891.92825086899711</v>
      </c>
      <c r="EO93" s="60">
        <f ca="1">AVERAGE(OFFSET($EN$3,0,0,'Données projet'!$E$15+1,1))-AVERAGE(OFFSET($H$3,0,0,'Données projet'!$E$15+1,1))</f>
        <v>496.33873798282525</v>
      </c>
      <c r="EP93" s="60">
        <f t="shared" si="100"/>
        <v>280.25465074992246</v>
      </c>
      <c r="EQ93" s="16">
        <f>IF(ISNA(VLOOKUP(A93,'Données projet'!$A$191:$I$211,3,0)),0,VLOOKUP(A93,'Données projet'!$A$191:$I$211,3,0))</f>
        <v>7</v>
      </c>
      <c r="ER93" s="16">
        <f>IF(ISNA(VLOOKUP(A93,'Données projet'!$A$191:$I$211,4,0)),0,VLOOKUP(A93,'Données projet'!$A$191:$I$211,4,0))</f>
        <v>42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3.4106051316484809E-13</v>
      </c>
      <c r="FF93" s="18">
        <f>FE93*VLOOKUP('Données projet'!$B$16,Paramètres!$A$1:$I$89,3,0)*VLOOKUP('Données projet'!$B$16,Paramètres!$A$1:$I$89,5,0)</f>
        <v>2.7666828827932479E-13</v>
      </c>
      <c r="FG93" s="14">
        <f t="shared" si="101"/>
        <v>3.6920483163466686E-12</v>
      </c>
      <c r="FH93" s="22">
        <f t="shared" si="76"/>
        <v>6.9121814197236049E-12</v>
      </c>
      <c r="FI93" s="60">
        <f t="shared" si="77"/>
        <v>274.35764100423461</v>
      </c>
      <c r="FJ93" s="60">
        <f ca="1">AVERAGE(OFFSET($FI$3,0,0,'Données projet'!$E$16+1,1))-AVERAGE(OFFSET($H$3,0,0,'Données projet'!$E$16+1,1))</f>
        <v>341.66430955115521</v>
      </c>
      <c r="FK93" s="60">
        <f t="shared" si="102"/>
        <v>366.15174925159192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3.4106051316484809E-13</v>
      </c>
      <c r="GA93" s="18">
        <f>FZ93*VLOOKUP('Données projet'!$B$17,Paramètres!$A$1:$I$89,3,0)*VLOOKUP('Données projet'!$B$17,Paramètres!$A$1:$I$89,5,0)</f>
        <v>2.5006556825246659E-13</v>
      </c>
      <c r="GB93" s="14">
        <f t="shared" si="103"/>
        <v>3.3765445850268018E-12</v>
      </c>
      <c r="GC93" s="22">
        <f t="shared" si="79"/>
        <v>6.3163460169613921E-12</v>
      </c>
      <c r="GD93" s="60">
        <f t="shared" si="80"/>
        <v>274.35764100423398</v>
      </c>
      <c r="GE93" s="60">
        <f ca="1">AVERAGE(OFFSET($GD$3,0,0,'Données projet'!$E$17+1,1))-AVERAGE(OFFSET($H$3,0,0,'Données projet'!$E$17+1,1))</f>
        <v>314.58662400031631</v>
      </c>
      <c r="GF93" s="60">
        <f t="shared" si="104"/>
        <v>336.99073123405981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4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262.52460000000002</v>
      </c>
      <c r="P94" s="14">
        <f t="shared" si="87"/>
        <v>63.260217631774687</v>
      </c>
      <c r="Q94" s="22">
        <f t="shared" si="54"/>
        <v>567.40855737534105</v>
      </c>
      <c r="R94" s="60">
        <f t="shared" si="55"/>
        <v>842.09538421818615</v>
      </c>
      <c r="S94" s="60">
        <f ca="1">AVERAGE(OFFSET($R$3,0,0,'Données projet'!$E$9+1,1))-AVERAGE(OFFSET($H$3,0,0,'Données projet'!$E$9+1,1))</f>
        <v>516.30971934066179</v>
      </c>
      <c r="T94" s="60">
        <f t="shared" si="88"/>
        <v>290.84286505723571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3.4615384615384586</v>
      </c>
      <c r="AI94" s="14">
        <f>IF('Données projet'!$A$62&gt;35,AI93+AH94-AQ93,IF(A94&lt;'Données projet'!$A$62,$AF$205^A94,IF(A94='Données projet'!$A$62,'Données projet'!$B$62,AI93+AH94-AQ93)))</f>
        <v>278.46153846153828</v>
      </c>
      <c r="AJ94" s="14">
        <f>AI94*VLOOKUP('Données projet'!$B$10,Paramètres!$A$1:$I$89,3,0)*VLOOKUP('Données projet'!$B$10,Paramètres!$A$1:$I$89,5,0)</f>
        <v>291.04799999999983</v>
      </c>
      <c r="AK94" s="14">
        <f t="shared" si="89"/>
        <v>69.296484438588436</v>
      </c>
      <c r="AL94" s="22">
        <f t="shared" si="58"/>
        <v>627.59997706387446</v>
      </c>
      <c r="AM94" s="60">
        <f t="shared" si="59"/>
        <v>902.28680390671957</v>
      </c>
      <c r="AN94" s="60">
        <f ca="1">AVERAGE(OFFSET($AM$3,0,0,'Données projet'!$E$10+1,1))-AVERAGE(OFFSET($H$3,0,0,'Données projet'!$E$10+1,1))</f>
        <v>529.00505223594837</v>
      </c>
      <c r="AO94" s="60">
        <f t="shared" si="90"/>
        <v>321.23004033257985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3.4106051316484809E-13</v>
      </c>
      <c r="BE94" s="14">
        <f>BD94*VLOOKUP('Données projet'!$B$11,Paramètres!$A$1:$I$89,3,0)*VLOOKUP('Données projet'!$B$11,Paramètres!$A$1:$I$89,5,0)</f>
        <v>2.9795046430081134E-13</v>
      </c>
      <c r="BF94" s="14">
        <f t="shared" si="91"/>
        <v>3.9419014464513778E-12</v>
      </c>
      <c r="BG94" s="22">
        <f t="shared" si="61"/>
        <v>7.384408744560063E-12</v>
      </c>
      <c r="BH94" s="60">
        <f t="shared" si="62"/>
        <v>274.68682684285244</v>
      </c>
      <c r="BI94" s="60">
        <f ca="1">AVERAGE(OFFSET($BH$3,0,0,'Données projet'!$E$11+1,1))-AVERAGE(OFFSET($H$3,0,0,'Données projet'!$E$11+1,1))</f>
        <v>363.28611056308665</v>
      </c>
      <c r="BJ94" s="60">
        <f t="shared" si="92"/>
        <v>389.43647559455974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258.90000000000003</v>
      </c>
      <c r="BZ94" s="14">
        <f>BY94*VLOOKUP('Données projet'!$B$12,Paramètres!$A$1:$I$89,3,0)*VLOOKUP('Données projet'!$B$12,Paramètres!$A$1:$I$89,5,0)</f>
        <v>278.67996000000005</v>
      </c>
      <c r="CA94" s="14">
        <f t="shared" si="93"/>
        <v>66.687969806197728</v>
      </c>
      <c r="CB94" s="22">
        <f t="shared" si="64"/>
        <v>601.51581107912773</v>
      </c>
      <c r="CC94" s="60">
        <f t="shared" si="65"/>
        <v>876.20263792197284</v>
      </c>
      <c r="CD94" s="60">
        <f ca="1">AVERAGE(OFFSET($CC$3,0,0,'Données projet'!$E$12+1,1))-AVERAGE(OFFSET($H$3,0,0,'Données projet'!$E$12+1,1))</f>
        <v>542.90832990875208</v>
      </c>
      <c r="CE94" s="60">
        <f t="shared" si="94"/>
        <v>304.94365539329362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8.1205128205128201</v>
      </c>
      <c r="CT94" s="13">
        <f>IF('Données projet'!$A$140&gt;35,CT93+CS94-DB93,IF(A94&lt;'Données projet'!$A$140,$CQ$205^A94,IF(A94='Données projet'!$A$140,'Données projet'!$B$140,CT93+CS94-DB93)))</f>
        <v>332.68205128205079</v>
      </c>
      <c r="CU94" s="18">
        <f>CT94*VLOOKUP('Données projet'!$B$13,Paramètres!$A$1:$I$89,3,0)*VLOOKUP('Données projet'!$B$13,Paramètres!$A$1:$I$89,5,0)</f>
        <v>155.69519999999977</v>
      </c>
      <c r="CV94" s="14">
        <f t="shared" si="95"/>
        <v>39.870019909996607</v>
      </c>
      <c r="CW94" s="22">
        <f t="shared" si="67"/>
        <v>340.60942467657702</v>
      </c>
      <c r="CX94" s="60">
        <f t="shared" si="68"/>
        <v>615.29625151942207</v>
      </c>
      <c r="CY94" s="60">
        <f ca="1">AVERAGE(OFFSET($CX$3,0,0,'Données projet'!$E$13+1,1))-AVERAGE(OFFSET($H$3,0,0,'Données projet'!$E$13+1,1))</f>
        <v>277.77877239988635</v>
      </c>
      <c r="CZ94" s="60">
        <f t="shared" si="96"/>
        <v>164.65640238394164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2.9487179487179445</v>
      </c>
      <c r="DO94" s="13">
        <f>IF('Données projet'!$A$166&gt;35,DO93+DN94-DW93,IF(A94&lt;'Données projet'!$A$166,$DL$205^A94,IF(A94='Données projet'!$A$166,'Données projet'!$B$166,DO93+DN94-DW93)))</f>
        <v>208.71794871794864</v>
      </c>
      <c r="DP94" s="18">
        <f>DO94*VLOOKUP('Données projet'!$B$14,Paramètres!$A$1:$I$89,3,0)*VLOOKUP('Données projet'!$B$14,Paramètres!$A$1:$I$89,5,0)</f>
        <v>179.07999999999996</v>
      </c>
      <c r="DQ94" s="14">
        <f t="shared" si="97"/>
        <v>45.117442114052658</v>
      </c>
      <c r="DR94" s="22">
        <f t="shared" si="70"/>
        <v>390.47721168197495</v>
      </c>
      <c r="DS94" s="60">
        <f t="shared" si="71"/>
        <v>665.16403852481994</v>
      </c>
      <c r="DT94" s="60">
        <f ca="1">AVERAGE(OFFSET($DS$3,0,0,'Données projet'!$E$14+1,1))-AVERAGE(OFFSET($H$3,0,0,'Données projet'!$E$14+1,1))</f>
        <v>354.30160274624632</v>
      </c>
      <c r="DU94" s="60">
        <f t="shared" si="98"/>
        <v>218.8005329382452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4.9000000000000004</v>
      </c>
      <c r="EJ94" s="13">
        <f>IF('Données projet'!$A$192&gt;35,EJ93+EI94-ER93,IF(A94&lt;'Données projet'!$A$192,$EG$205^A94,IF(A94='Données projet'!$A$192,'Données projet'!$B$192,EJ93+EI94-ER93)))</f>
        <v>258.90000000000003</v>
      </c>
      <c r="EK94" s="18">
        <f>EJ94*VLOOKUP('Données projet'!$B$15,Paramètres!$A$1:$I$89,3,0)*VLOOKUP('Données projet'!$B$15,Paramètres!$A$1:$I$89,5,0)</f>
        <v>250.40808000000004</v>
      </c>
      <c r="EL94" s="14">
        <f t="shared" si="99"/>
        <v>60.67331674592576</v>
      </c>
      <c r="EM94" s="22">
        <f t="shared" si="73"/>
        <v>541.80009933248743</v>
      </c>
      <c r="EN94" s="60">
        <f t="shared" si="74"/>
        <v>816.48692617533243</v>
      </c>
      <c r="EO94" s="60">
        <f ca="1">AVERAGE(OFFSET($EN$3,0,0,'Données projet'!$E$15+1,1))-AVERAGE(OFFSET($H$3,0,0,'Données projet'!$E$15+1,1))</f>
        <v>496.33873798282525</v>
      </c>
      <c r="EP94" s="60">
        <f t="shared" si="100"/>
        <v>280.25465074992246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3.4106051316484809E-13</v>
      </c>
      <c r="FF94" s="18">
        <f>FE94*VLOOKUP('Données projet'!$B$16,Paramètres!$A$1:$I$89,3,0)*VLOOKUP('Données projet'!$B$16,Paramètres!$A$1:$I$89,5,0)</f>
        <v>2.7666828827932479E-13</v>
      </c>
      <c r="FG94" s="14">
        <f t="shared" si="101"/>
        <v>3.6920483163466686E-12</v>
      </c>
      <c r="FH94" s="22">
        <f t="shared" si="76"/>
        <v>6.9121814197236049E-12</v>
      </c>
      <c r="FI94" s="60">
        <f t="shared" si="77"/>
        <v>274.68682684285199</v>
      </c>
      <c r="FJ94" s="60">
        <f ca="1">AVERAGE(OFFSET($FI$3,0,0,'Données projet'!$E$16+1,1))-AVERAGE(OFFSET($H$3,0,0,'Données projet'!$E$16+1,1))</f>
        <v>341.66430955115521</v>
      </c>
      <c r="FK94" s="60">
        <f t="shared" si="102"/>
        <v>366.15174925159192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3.4106051316484809E-13</v>
      </c>
      <c r="GA94" s="18">
        <f>FZ94*VLOOKUP('Données projet'!$B$17,Paramètres!$A$1:$I$89,3,0)*VLOOKUP('Données projet'!$B$17,Paramètres!$A$1:$I$89,5,0)</f>
        <v>2.5006556825246659E-13</v>
      </c>
      <c r="GB94" s="14">
        <f t="shared" si="103"/>
        <v>3.3765445850268018E-12</v>
      </c>
      <c r="GC94" s="22">
        <f t="shared" si="79"/>
        <v>6.3163460169613921E-12</v>
      </c>
      <c r="GD94" s="60">
        <f t="shared" si="80"/>
        <v>274.68682684285136</v>
      </c>
      <c r="GE94" s="60">
        <f ca="1">AVERAGE(OFFSET($GD$3,0,0,'Données projet'!$E$17+1,1))-AVERAGE(OFFSET($H$3,0,0,'Données projet'!$E$17+1,1))</f>
        <v>314.58662400031631</v>
      </c>
      <c r="GF94" s="60">
        <f t="shared" si="104"/>
        <v>336.99073123405981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4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267.49320000000006</v>
      </c>
      <c r="P95" s="14">
        <f t="shared" si="87"/>
        <v>64.316974590266341</v>
      </c>
      <c r="Q95" s="22">
        <f t="shared" si="54"/>
        <v>577.90272074471397</v>
      </c>
      <c r="R95" s="60">
        <f t="shared" si="55"/>
        <v>852.91302278782564</v>
      </c>
      <c r="S95" s="60">
        <f ca="1">AVERAGE(OFFSET($R$3,0,0,'Données projet'!$E$9+1,1))-AVERAGE(OFFSET($H$3,0,0,'Données projet'!$E$9+1,1))</f>
        <v>516.30971934066179</v>
      </c>
      <c r="T95" s="60">
        <f t="shared" si="88"/>
        <v>290.84286505723571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3.4615384615384586</v>
      </c>
      <c r="AI95" s="14">
        <f>IF('Données projet'!$A$62&gt;35,AI94+AH95-AQ94,IF(A95&lt;'Données projet'!$A$62,$AF$205^A95,IF(A95='Données projet'!$A$62,'Données projet'!$B$62,AI94+AH95-AQ94)))</f>
        <v>281.92307692307674</v>
      </c>
      <c r="AJ95" s="14">
        <f>AI95*VLOOKUP('Données projet'!$B$10,Paramètres!$A$1:$I$89,3,0)*VLOOKUP('Données projet'!$B$10,Paramètres!$A$1:$I$89,5,0)</f>
        <v>294.66599999999983</v>
      </c>
      <c r="AK95" s="14">
        <f t="shared" si="89"/>
        <v>70.057087344971222</v>
      </c>
      <c r="AL95" s="22">
        <f t="shared" si="58"/>
        <v>635.22604379249128</v>
      </c>
      <c r="AM95" s="60">
        <f t="shared" si="59"/>
        <v>910.23634583560306</v>
      </c>
      <c r="AN95" s="60">
        <f ca="1">AVERAGE(OFFSET($AM$3,0,0,'Données projet'!$E$10+1,1))-AVERAGE(OFFSET($H$3,0,0,'Données projet'!$E$10+1,1))</f>
        <v>529.00505223594837</v>
      </c>
      <c r="AO95" s="60">
        <f t="shared" si="90"/>
        <v>321.23004033257985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3.4106051316484809E-13</v>
      </c>
      <c r="BE95" s="14">
        <f>BD95*VLOOKUP('Données projet'!$B$11,Paramètres!$A$1:$I$89,3,0)*VLOOKUP('Données projet'!$B$11,Paramètres!$A$1:$I$89,5,0)</f>
        <v>2.9795046430081134E-13</v>
      </c>
      <c r="BF95" s="14">
        <f t="shared" si="91"/>
        <v>3.9419014464513778E-12</v>
      </c>
      <c r="BG95" s="22">
        <f t="shared" si="61"/>
        <v>7.384408744560063E-12</v>
      </c>
      <c r="BH95" s="60">
        <f t="shared" si="62"/>
        <v>275.01030204311911</v>
      </c>
      <c r="BI95" s="60">
        <f ca="1">AVERAGE(OFFSET($BH$3,0,0,'Données projet'!$E$11+1,1))-AVERAGE(OFFSET($H$3,0,0,'Données projet'!$E$11+1,1))</f>
        <v>363.28611056308665</v>
      </c>
      <c r="BJ95" s="60">
        <f t="shared" si="92"/>
        <v>389.43647559455974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263.8</v>
      </c>
      <c r="BZ95" s="14">
        <f>BY95*VLOOKUP('Données projet'!$B$12,Paramètres!$A$1:$I$89,3,0)*VLOOKUP('Données projet'!$B$12,Paramètres!$A$1:$I$89,5,0)</f>
        <v>283.95432</v>
      </c>
      <c r="CA95" s="14">
        <f t="shared" si="93"/>
        <v>67.801987095081913</v>
      </c>
      <c r="CB95" s="22">
        <f t="shared" si="64"/>
        <v>612.64223485726768</v>
      </c>
      <c r="CC95" s="60">
        <f t="shared" si="65"/>
        <v>887.65253690037935</v>
      </c>
      <c r="CD95" s="60">
        <f ca="1">AVERAGE(OFFSET($CC$3,0,0,'Données projet'!$E$12+1,1))-AVERAGE(OFFSET($H$3,0,0,'Données projet'!$E$12+1,1))</f>
        <v>542.90832990875208</v>
      </c>
      <c r="CE95" s="60">
        <f t="shared" si="94"/>
        <v>304.94365539329362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8.1205128205128201</v>
      </c>
      <c r="CT95" s="13">
        <f>IF('Données projet'!$A$140&gt;35,CT94+CS95-DB94,IF(A95&lt;'Données projet'!$A$140,$CQ$205^A95,IF(A95='Données projet'!$A$140,'Données projet'!$B$140,CT94+CS95-DB94)))</f>
        <v>340.80256410256362</v>
      </c>
      <c r="CU95" s="18">
        <f>CT95*VLOOKUP('Données projet'!$B$13,Paramètres!$A$1:$I$89,3,0)*VLOOKUP('Données projet'!$B$13,Paramètres!$A$1:$I$89,5,0)</f>
        <v>159.49559999999977</v>
      </c>
      <c r="CV95" s="14">
        <f t="shared" si="95"/>
        <v>40.728725680425562</v>
      </c>
      <c r="CW95" s="22">
        <f t="shared" si="67"/>
        <v>348.72403389340735</v>
      </c>
      <c r="CX95" s="60">
        <f t="shared" si="68"/>
        <v>623.73433593651907</v>
      </c>
      <c r="CY95" s="60">
        <f ca="1">AVERAGE(OFFSET($CX$3,0,0,'Données projet'!$E$13+1,1))-AVERAGE(OFFSET($H$3,0,0,'Données projet'!$E$13+1,1))</f>
        <v>277.77877239988635</v>
      </c>
      <c r="CZ95" s="60">
        <f t="shared" si="96"/>
        <v>164.65640238394164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2.9487179487179445</v>
      </c>
      <c r="DO95" s="13">
        <f>IF('Données projet'!$A$166&gt;35,DO94+DN95-DW94,IF(A95&lt;'Données projet'!$A$166,$DL$205^A95,IF(A95='Données projet'!$A$166,'Données projet'!$B$166,DO94+DN95-DW94)))</f>
        <v>211.6666666666666</v>
      </c>
      <c r="DP95" s="18">
        <f>DO95*VLOOKUP('Données projet'!$B$14,Paramètres!$A$1:$I$89,3,0)*VLOOKUP('Données projet'!$B$14,Paramètres!$A$1:$I$89,5,0)</f>
        <v>181.60999999999996</v>
      </c>
      <c r="DQ95" s="14">
        <f t="shared" si="97"/>
        <v>45.680195657252334</v>
      </c>
      <c r="DR95" s="22">
        <f t="shared" si="70"/>
        <v>395.86375743638109</v>
      </c>
      <c r="DS95" s="60">
        <f t="shared" si="71"/>
        <v>670.87405947949287</v>
      </c>
      <c r="DT95" s="60">
        <f ca="1">AVERAGE(OFFSET($DS$3,0,0,'Données projet'!$E$14+1,1))-AVERAGE(OFFSET($H$3,0,0,'Données projet'!$E$14+1,1))</f>
        <v>354.30160274624632</v>
      </c>
      <c r="DU95" s="60">
        <f t="shared" si="98"/>
        <v>218.8005329382452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4.9000000000000004</v>
      </c>
      <c r="EJ95" s="13">
        <f>IF('Données projet'!$A$192&gt;35,EJ94+EI95-ER94,IF(A95&lt;'Données projet'!$A$192,$EG$205^A95,IF(A95='Données projet'!$A$192,'Données projet'!$B$192,EJ94+EI95-ER94)))</f>
        <v>263.8</v>
      </c>
      <c r="EK95" s="18">
        <f>EJ95*VLOOKUP('Données projet'!$B$15,Paramètres!$A$1:$I$89,3,0)*VLOOKUP('Données projet'!$B$15,Paramètres!$A$1:$I$89,5,0)</f>
        <v>255.14736000000002</v>
      </c>
      <c r="EL95" s="14">
        <f t="shared" si="99"/>
        <v>61.686859728645651</v>
      </c>
      <c r="EM95" s="22">
        <f t="shared" si="73"/>
        <v>551.81959936072451</v>
      </c>
      <c r="EN95" s="60">
        <f t="shared" si="74"/>
        <v>826.82990140383617</v>
      </c>
      <c r="EO95" s="60">
        <f ca="1">AVERAGE(OFFSET($EN$3,0,0,'Données projet'!$E$15+1,1))-AVERAGE(OFFSET($H$3,0,0,'Données projet'!$E$15+1,1))</f>
        <v>496.33873798282525</v>
      </c>
      <c r="EP95" s="60">
        <f t="shared" si="100"/>
        <v>280.25465074992246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3.4106051316484809E-13</v>
      </c>
      <c r="FF95" s="18">
        <f>FE95*VLOOKUP('Données projet'!$B$16,Paramètres!$A$1:$I$89,3,0)*VLOOKUP('Données projet'!$B$16,Paramètres!$A$1:$I$89,5,0)</f>
        <v>2.7666828827932479E-13</v>
      </c>
      <c r="FG95" s="14">
        <f t="shared" si="101"/>
        <v>3.6920483163466686E-12</v>
      </c>
      <c r="FH95" s="22">
        <f t="shared" si="76"/>
        <v>6.9121814197236049E-12</v>
      </c>
      <c r="FI95" s="60">
        <f t="shared" si="77"/>
        <v>275.01030204311866</v>
      </c>
      <c r="FJ95" s="60">
        <f ca="1">AVERAGE(OFFSET($FI$3,0,0,'Données projet'!$E$16+1,1))-AVERAGE(OFFSET($H$3,0,0,'Données projet'!$E$16+1,1))</f>
        <v>341.66430955115521</v>
      </c>
      <c r="FK95" s="60">
        <f t="shared" si="102"/>
        <v>366.15174925159192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3.4106051316484809E-13</v>
      </c>
      <c r="GA95" s="18">
        <f>FZ95*VLOOKUP('Données projet'!$B$17,Paramètres!$A$1:$I$89,3,0)*VLOOKUP('Données projet'!$B$17,Paramètres!$A$1:$I$89,5,0)</f>
        <v>2.5006556825246659E-13</v>
      </c>
      <c r="GB95" s="14">
        <f t="shared" si="103"/>
        <v>3.3765445850268018E-12</v>
      </c>
      <c r="GC95" s="22">
        <f t="shared" si="79"/>
        <v>6.3163460169613921E-12</v>
      </c>
      <c r="GD95" s="60">
        <f t="shared" si="80"/>
        <v>275.01030204311803</v>
      </c>
      <c r="GE95" s="60">
        <f ca="1">AVERAGE(OFFSET($GD$3,0,0,'Données projet'!$E$17+1,1))-AVERAGE(OFFSET($H$3,0,0,'Données projet'!$E$17+1,1))</f>
        <v>314.58662400031631</v>
      </c>
      <c r="GF95" s="60">
        <f t="shared" si="104"/>
        <v>336.99073123405981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4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272.46180000000004</v>
      </c>
      <c r="P96" s="14">
        <f t="shared" si="87"/>
        <v>65.371449071921944</v>
      </c>
      <c r="Q96" s="22">
        <f t="shared" si="54"/>
        <v>588.39290880026408</v>
      </c>
      <c r="R96" s="60">
        <f t="shared" si="55"/>
        <v>863.7210744721001</v>
      </c>
      <c r="S96" s="60">
        <f ca="1">AVERAGE(OFFSET($R$3,0,0,'Données projet'!$E$9+1,1))-AVERAGE(OFFSET($H$3,0,0,'Données projet'!$E$9+1,1))</f>
        <v>516.30971934066179</v>
      </c>
      <c r="T96" s="60">
        <f t="shared" si="88"/>
        <v>290.84286505723571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3.4615384615384586</v>
      </c>
      <c r="AI96" s="14">
        <f>IF('Données projet'!$A$62&gt;35,AI95+AH96-AQ95,IF(A96&lt;'Données projet'!$A$62,$AF$205^A96,IF(A96='Données projet'!$A$62,'Données projet'!$B$62,AI95+AH96-AQ95)))</f>
        <v>285.38461538461519</v>
      </c>
      <c r="AJ96" s="14">
        <f>AI96*VLOOKUP('Données projet'!$B$10,Paramètres!$A$1:$I$89,3,0)*VLOOKUP('Données projet'!$B$10,Paramètres!$A$1:$I$89,5,0)</f>
        <v>298.28399999999982</v>
      </c>
      <c r="AK96" s="14">
        <f t="shared" si="89"/>
        <v>70.816603948985517</v>
      </c>
      <c r="AL96" s="22">
        <f t="shared" si="58"/>
        <v>642.8502185444828</v>
      </c>
      <c r="AM96" s="60">
        <f t="shared" si="59"/>
        <v>918.17838421631882</v>
      </c>
      <c r="AN96" s="60">
        <f ca="1">AVERAGE(OFFSET($AM$3,0,0,'Données projet'!$E$10+1,1))-AVERAGE(OFFSET($H$3,0,0,'Données projet'!$E$10+1,1))</f>
        <v>529.00505223594837</v>
      </c>
      <c r="AO96" s="60">
        <f t="shared" si="90"/>
        <v>321.23004033257985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3.4106051316484809E-13</v>
      </c>
      <c r="BE96" s="14">
        <f>BD96*VLOOKUP('Données projet'!$B$11,Paramètres!$A$1:$I$89,3,0)*VLOOKUP('Données projet'!$B$11,Paramètres!$A$1:$I$89,5,0)</f>
        <v>2.9795046430081134E-13</v>
      </c>
      <c r="BF96" s="14">
        <f t="shared" si="91"/>
        <v>3.9419014464513778E-12</v>
      </c>
      <c r="BG96" s="22">
        <f t="shared" si="61"/>
        <v>7.384408744560063E-12</v>
      </c>
      <c r="BH96" s="60">
        <f t="shared" si="62"/>
        <v>275.32816567184335</v>
      </c>
      <c r="BI96" s="60">
        <f ca="1">AVERAGE(OFFSET($BH$3,0,0,'Données projet'!$E$11+1,1))-AVERAGE(OFFSET($H$3,0,0,'Données projet'!$E$11+1,1))</f>
        <v>363.28611056308665</v>
      </c>
      <c r="BJ96" s="60">
        <f t="shared" si="92"/>
        <v>389.43647559455974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268.7</v>
      </c>
      <c r="BZ96" s="14">
        <f>BY96*VLOOKUP('Données projet'!$B$12,Paramètres!$A$1:$I$89,3,0)*VLOOKUP('Données projet'!$B$12,Paramètres!$A$1:$I$89,5,0)</f>
        <v>289.22868</v>
      </c>
      <c r="CA96" s="14">
        <f t="shared" si="93"/>
        <v>68.913598231220931</v>
      </c>
      <c r="CB96" s="22">
        <f t="shared" si="64"/>
        <v>623.76446791937644</v>
      </c>
      <c r="CC96" s="60">
        <f t="shared" si="65"/>
        <v>899.09263359121246</v>
      </c>
      <c r="CD96" s="60">
        <f ca="1">AVERAGE(OFFSET($CC$3,0,0,'Données projet'!$E$12+1,1))-AVERAGE(OFFSET($H$3,0,0,'Données projet'!$E$12+1,1))</f>
        <v>542.90832990875208</v>
      </c>
      <c r="CE96" s="60">
        <f t="shared" si="94"/>
        <v>304.94365539329362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>
        <f>VLOOKUP(A96,'Données projet'!$A$139:$I$159,2,0)</f>
        <v>348.92307692307691</v>
      </c>
      <c r="CR96" s="13">
        <f>VLOOKUP(A96,'Données projet'!$A$139:$I$159,9,0)</f>
        <v>8.1205128205128201</v>
      </c>
      <c r="CS96" s="13">
        <f t="array" ref="CS96">INDEX(CR:CR,MIN(IF(ISNUMBER(CR96:CR292),ROW(CR96:CR292),"")))</f>
        <v>8.1205128205128201</v>
      </c>
      <c r="CT96" s="13">
        <f>IF('Données projet'!$A$140&gt;35,CT95+CS96-DB95,IF(A96&lt;'Données projet'!$A$140,$CQ$205^A96,IF(A96='Données projet'!$A$140,'Données projet'!$B$140,CT95+CS96-DB95)))</f>
        <v>348.92307692307645</v>
      </c>
      <c r="CU96" s="18">
        <f>CT96*VLOOKUP('Données projet'!$B$13,Paramètres!$A$1:$I$89,3,0)*VLOOKUP('Données projet'!$B$13,Paramètres!$A$1:$I$89,5,0)</f>
        <v>163.29599999999979</v>
      </c>
      <c r="CV96" s="14">
        <f t="shared" si="95"/>
        <v>41.585052862581854</v>
      </c>
      <c r="CW96" s="22">
        <f t="shared" si="67"/>
        <v>356.8345004023297</v>
      </c>
      <c r="CX96" s="60">
        <f t="shared" si="68"/>
        <v>632.1626660741656</v>
      </c>
      <c r="CY96" s="60">
        <f ca="1">AVERAGE(OFFSET($CX$3,0,0,'Données projet'!$E$13+1,1))-AVERAGE(OFFSET($H$3,0,0,'Données projet'!$E$13+1,1))</f>
        <v>277.77877239988635</v>
      </c>
      <c r="CZ96" s="60">
        <f t="shared" si="96"/>
        <v>164.65640238394164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2.9487179487179445</v>
      </c>
      <c r="DO96" s="13">
        <f>IF('Données projet'!$A$166&gt;35,DO95+DN96-DW95,IF(A96&lt;'Données projet'!$A$166,$DL$205^A96,IF(A96='Données projet'!$A$166,'Données projet'!$B$166,DO95+DN96-DW95)))</f>
        <v>214.61538461538456</v>
      </c>
      <c r="DP96" s="18">
        <f>DO96*VLOOKUP('Données projet'!$B$14,Paramètres!$A$1:$I$89,3,0)*VLOOKUP('Données projet'!$B$14,Paramètres!$A$1:$I$89,5,0)</f>
        <v>184.14</v>
      </c>
      <c r="DQ96" s="14">
        <f t="shared" si="97"/>
        <v>46.242037368587773</v>
      </c>
      <c r="DR96" s="22">
        <f t="shared" si="70"/>
        <v>401.24871508362367</v>
      </c>
      <c r="DS96" s="60">
        <f t="shared" si="71"/>
        <v>676.57688075545957</v>
      </c>
      <c r="DT96" s="60">
        <f ca="1">AVERAGE(OFFSET($DS$3,0,0,'Données projet'!$E$14+1,1))-AVERAGE(OFFSET($H$3,0,0,'Données projet'!$E$14+1,1))</f>
        <v>354.30160274624632</v>
      </c>
      <c r="DU96" s="60">
        <f t="shared" si="98"/>
        <v>218.8005329382452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4.9000000000000004</v>
      </c>
      <c r="EJ96" s="13">
        <f>IF('Données projet'!$A$192&gt;35,EJ95+EI96-ER95,IF(A96&lt;'Données projet'!$A$192,$EG$205^A96,IF(A96='Données projet'!$A$192,'Données projet'!$B$192,EJ95+EI96-ER95)))</f>
        <v>268.7</v>
      </c>
      <c r="EK96" s="18">
        <f>EJ96*VLOOKUP('Données projet'!$B$15,Paramètres!$A$1:$I$89,3,0)*VLOOKUP('Données projet'!$B$15,Paramètres!$A$1:$I$89,5,0)</f>
        <v>259.88664</v>
      </c>
      <c r="EL96" s="14">
        <f t="shared" si="99"/>
        <v>62.698213571884004</v>
      </c>
      <c r="EM96" s="22">
        <f t="shared" si="73"/>
        <v>561.835286637698</v>
      </c>
      <c r="EN96" s="60">
        <f t="shared" si="74"/>
        <v>837.16345230953402</v>
      </c>
      <c r="EO96" s="60">
        <f ca="1">AVERAGE(OFFSET($EN$3,0,0,'Données projet'!$E$15+1,1))-AVERAGE(OFFSET($H$3,0,0,'Données projet'!$E$15+1,1))</f>
        <v>496.33873798282525</v>
      </c>
      <c r="EP96" s="60">
        <f t="shared" si="100"/>
        <v>280.25465074992246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3.4106051316484809E-13</v>
      </c>
      <c r="FF96" s="18">
        <f>FE96*VLOOKUP('Données projet'!$B$16,Paramètres!$A$1:$I$89,3,0)*VLOOKUP('Données projet'!$B$16,Paramètres!$A$1:$I$89,5,0)</f>
        <v>2.7666828827932479E-13</v>
      </c>
      <c r="FG96" s="14">
        <f t="shared" si="101"/>
        <v>3.6920483163466686E-12</v>
      </c>
      <c r="FH96" s="22">
        <f t="shared" si="76"/>
        <v>6.9121814197236049E-12</v>
      </c>
      <c r="FI96" s="60">
        <f t="shared" si="77"/>
        <v>275.3281656718429</v>
      </c>
      <c r="FJ96" s="60">
        <f ca="1">AVERAGE(OFFSET($FI$3,0,0,'Données projet'!$E$16+1,1))-AVERAGE(OFFSET($H$3,0,0,'Données projet'!$E$16+1,1))</f>
        <v>341.66430955115521</v>
      </c>
      <c r="FK96" s="60">
        <f t="shared" si="102"/>
        <v>366.15174925159192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3.4106051316484809E-13</v>
      </c>
      <c r="GA96" s="18">
        <f>FZ96*VLOOKUP('Données projet'!$B$17,Paramètres!$A$1:$I$89,3,0)*VLOOKUP('Données projet'!$B$17,Paramètres!$A$1:$I$89,5,0)</f>
        <v>2.5006556825246659E-13</v>
      </c>
      <c r="GB96" s="14">
        <f t="shared" si="103"/>
        <v>3.3765445850268018E-12</v>
      </c>
      <c r="GC96" s="22">
        <f t="shared" si="79"/>
        <v>6.3163460169613921E-12</v>
      </c>
      <c r="GD96" s="60">
        <f t="shared" si="80"/>
        <v>275.32816567184227</v>
      </c>
      <c r="GE96" s="60">
        <f ca="1">AVERAGE(OFFSET($GD$3,0,0,'Données projet'!$E$17+1,1))-AVERAGE(OFFSET($H$3,0,0,'Données projet'!$E$17+1,1))</f>
        <v>314.58662400031631</v>
      </c>
      <c r="GF96" s="60">
        <f t="shared" si="104"/>
        <v>336.99073123405981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4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277.43039999999996</v>
      </c>
      <c r="P97" s="14">
        <f t="shared" si="87"/>
        <v>66.423687500715673</v>
      </c>
      <c r="Q97" s="22">
        <f t="shared" si="54"/>
        <v>598.87920239707967</v>
      </c>
      <c r="R97" s="60">
        <f t="shared" si="55"/>
        <v>874.51971747431821</v>
      </c>
      <c r="S97" s="60">
        <f ca="1">AVERAGE(OFFSET($R$3,0,0,'Données projet'!$E$9+1,1))-AVERAGE(OFFSET($H$3,0,0,'Données projet'!$E$9+1,1))</f>
        <v>516.30971934066179</v>
      </c>
      <c r="T97" s="60">
        <f t="shared" si="88"/>
        <v>290.84286505723571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3.4615384615384586</v>
      </c>
      <c r="AI97" s="14">
        <f>IF('Données projet'!$A$62&gt;35,AI96+AH97-AQ96,IF(A97&lt;'Données projet'!$A$62,$AF$205^A97,IF(A97='Données projet'!$A$62,'Données projet'!$B$62,AI96+AH97-AQ96)))</f>
        <v>288.84615384615364</v>
      </c>
      <c r="AJ97" s="14">
        <f>AI97*VLOOKUP('Données projet'!$B$10,Paramètres!$A$1:$I$89,3,0)*VLOOKUP('Données projet'!$B$10,Paramètres!$A$1:$I$89,5,0)</f>
        <v>301.90199999999982</v>
      </c>
      <c r="AK97" s="14">
        <f t="shared" si="89"/>
        <v>71.575048950857877</v>
      </c>
      <c r="AL97" s="22">
        <f t="shared" si="58"/>
        <v>650.47252692274378</v>
      </c>
      <c r="AM97" s="60">
        <f t="shared" si="59"/>
        <v>926.11304199998222</v>
      </c>
      <c r="AN97" s="60">
        <f ca="1">AVERAGE(OFFSET($AM$3,0,0,'Données projet'!$E$10+1,1))-AVERAGE(OFFSET($H$3,0,0,'Données projet'!$E$10+1,1))</f>
        <v>529.00505223594837</v>
      </c>
      <c r="AO97" s="60">
        <f t="shared" si="90"/>
        <v>321.23004033257985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3.4106051316484809E-13</v>
      </c>
      <c r="BE97" s="14">
        <f>BD97*VLOOKUP('Données projet'!$B$11,Paramètres!$A$1:$I$89,3,0)*VLOOKUP('Données projet'!$B$11,Paramètres!$A$1:$I$89,5,0)</f>
        <v>2.9795046430081134E-13</v>
      </c>
      <c r="BF97" s="14">
        <f t="shared" si="91"/>
        <v>3.9419014464513778E-12</v>
      </c>
      <c r="BG97" s="22">
        <f t="shared" si="61"/>
        <v>7.384408744560063E-12</v>
      </c>
      <c r="BH97" s="60">
        <f t="shared" si="62"/>
        <v>275.64051507724588</v>
      </c>
      <c r="BI97" s="60">
        <f ca="1">AVERAGE(OFFSET($BH$3,0,0,'Données projet'!$E$11+1,1))-AVERAGE(OFFSET($H$3,0,0,'Données projet'!$E$11+1,1))</f>
        <v>363.28611056308665</v>
      </c>
      <c r="BJ97" s="60">
        <f t="shared" si="92"/>
        <v>389.43647559455974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273.59999999999997</v>
      </c>
      <c r="BZ97" s="14">
        <f>BY97*VLOOKUP('Données projet'!$B$12,Paramètres!$A$1:$I$89,3,0)*VLOOKUP('Données projet'!$B$12,Paramètres!$A$1:$I$89,5,0)</f>
        <v>294.50303999999994</v>
      </c>
      <c r="CA97" s="14">
        <f t="shared" si="93"/>
        <v>70.022852154069838</v>
      </c>
      <c r="CB97" s="22">
        <f t="shared" si="64"/>
        <v>634.88259550167152</v>
      </c>
      <c r="CC97" s="60">
        <f t="shared" si="65"/>
        <v>910.52311057891006</v>
      </c>
      <c r="CD97" s="60">
        <f ca="1">AVERAGE(OFFSET($CC$3,0,0,'Données projet'!$E$12+1,1))-AVERAGE(OFFSET($H$3,0,0,'Données projet'!$E$12+1,1))</f>
        <v>542.90832990875208</v>
      </c>
      <c r="CE97" s="60">
        <f t="shared" si="94"/>
        <v>304.94365539329362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8.1576923076923151</v>
      </c>
      <c r="CT97" s="13">
        <f>IF('Données projet'!$A$140&gt;35,CT96+CS97-DB96,IF(A97&lt;'Données projet'!$A$140,$CQ$205^A97,IF(A97='Données projet'!$A$140,'Données projet'!$B$140,CT96+CS97-DB96)))</f>
        <v>357.08076923076874</v>
      </c>
      <c r="CU97" s="18">
        <f>CT97*VLOOKUP('Données projet'!$B$13,Paramètres!$A$1:$I$89,3,0)*VLOOKUP('Données projet'!$B$13,Paramètres!$A$1:$I$89,5,0)</f>
        <v>167.11379999999977</v>
      </c>
      <c r="CV97" s="14">
        <f t="shared" si="95"/>
        <v>42.442968004718075</v>
      </c>
      <c r="CW97" s="22">
        <f t="shared" si="67"/>
        <v>364.97803760821688</v>
      </c>
      <c r="CX97" s="60">
        <f t="shared" si="68"/>
        <v>640.61855268545537</v>
      </c>
      <c r="CY97" s="60">
        <f ca="1">AVERAGE(OFFSET($CX$3,0,0,'Données projet'!$E$13+1,1))-AVERAGE(OFFSET($H$3,0,0,'Données projet'!$E$13+1,1))</f>
        <v>277.77877239988635</v>
      </c>
      <c r="CZ97" s="60">
        <f t="shared" si="96"/>
        <v>164.65640238394164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2.9487179487179445</v>
      </c>
      <c r="DO97" s="13">
        <f>IF('Données projet'!$A$166&gt;35,DO96+DN97-DW96,IF(A97&lt;'Données projet'!$A$166,$DL$205^A97,IF(A97='Données projet'!$A$166,'Données projet'!$B$166,DO96+DN97-DW96)))</f>
        <v>217.56410256410251</v>
      </c>
      <c r="DP97" s="18">
        <f>DO97*VLOOKUP('Données projet'!$B$14,Paramètres!$A$1:$I$89,3,0)*VLOOKUP('Données projet'!$B$14,Paramètres!$A$1:$I$89,5,0)</f>
        <v>186.67</v>
      </c>
      <c r="DQ97" s="14">
        <f t="shared" si="97"/>
        <v>46.802981224198852</v>
      </c>
      <c r="DR97" s="22">
        <f t="shared" si="70"/>
        <v>406.63210896547963</v>
      </c>
      <c r="DS97" s="60">
        <f t="shared" si="71"/>
        <v>682.27262404271812</v>
      </c>
      <c r="DT97" s="60">
        <f ca="1">AVERAGE(OFFSET($DS$3,0,0,'Données projet'!$E$14+1,1))-AVERAGE(OFFSET($H$3,0,0,'Données projet'!$E$14+1,1))</f>
        <v>354.30160274624632</v>
      </c>
      <c r="DU97" s="60">
        <f t="shared" si="98"/>
        <v>218.8005329382452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4.9000000000000004</v>
      </c>
      <c r="EJ97" s="13">
        <f>IF('Données projet'!$A$192&gt;35,EJ96+EI97-ER96,IF(A97&lt;'Données projet'!$A$192,$EG$205^A97,IF(A97='Données projet'!$A$192,'Données projet'!$B$192,EJ96+EI97-ER96)))</f>
        <v>273.59999999999997</v>
      </c>
      <c r="EK97" s="18">
        <f>EJ97*VLOOKUP('Données projet'!$B$15,Paramètres!$A$1:$I$89,3,0)*VLOOKUP('Données projet'!$B$15,Paramètres!$A$1:$I$89,5,0)</f>
        <v>264.62591999999995</v>
      </c>
      <c r="EL97" s="14">
        <f t="shared" si="99"/>
        <v>63.707422801198604</v>
      </c>
      <c r="EM97" s="22">
        <f t="shared" si="73"/>
        <v>571.84723871208746</v>
      </c>
      <c r="EN97" s="60">
        <f t="shared" si="74"/>
        <v>847.48775378932601</v>
      </c>
      <c r="EO97" s="60">
        <f ca="1">AVERAGE(OFFSET($EN$3,0,0,'Données projet'!$E$15+1,1))-AVERAGE(OFFSET($H$3,0,0,'Données projet'!$E$15+1,1))</f>
        <v>496.33873798282525</v>
      </c>
      <c r="EP97" s="60">
        <f t="shared" si="100"/>
        <v>280.25465074992246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3.4106051316484809E-13</v>
      </c>
      <c r="FF97" s="18">
        <f>FE97*VLOOKUP('Données projet'!$B$16,Paramètres!$A$1:$I$89,3,0)*VLOOKUP('Données projet'!$B$16,Paramètres!$A$1:$I$89,5,0)</f>
        <v>2.7666828827932479E-13</v>
      </c>
      <c r="FG97" s="14">
        <f t="shared" si="101"/>
        <v>3.6920483163466686E-12</v>
      </c>
      <c r="FH97" s="22">
        <f t="shared" si="76"/>
        <v>6.9121814197236049E-12</v>
      </c>
      <c r="FI97" s="60">
        <f t="shared" si="77"/>
        <v>275.64051507724542</v>
      </c>
      <c r="FJ97" s="60">
        <f ca="1">AVERAGE(OFFSET($FI$3,0,0,'Données projet'!$E$16+1,1))-AVERAGE(OFFSET($H$3,0,0,'Données projet'!$E$16+1,1))</f>
        <v>341.66430955115521</v>
      </c>
      <c r="FK97" s="60">
        <f t="shared" si="102"/>
        <v>366.15174925159192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3.4106051316484809E-13</v>
      </c>
      <c r="GA97" s="18">
        <f>FZ97*VLOOKUP('Données projet'!$B$17,Paramètres!$A$1:$I$89,3,0)*VLOOKUP('Données projet'!$B$17,Paramètres!$A$1:$I$89,5,0)</f>
        <v>2.5006556825246659E-13</v>
      </c>
      <c r="GB97" s="14">
        <f t="shared" si="103"/>
        <v>3.3765445850268018E-12</v>
      </c>
      <c r="GC97" s="22">
        <f t="shared" si="79"/>
        <v>6.3163460169613921E-12</v>
      </c>
      <c r="GD97" s="60">
        <f t="shared" si="80"/>
        <v>275.6405150772448</v>
      </c>
      <c r="GE97" s="60">
        <f ca="1">AVERAGE(OFFSET($GD$3,0,0,'Données projet'!$E$17+1,1))-AVERAGE(OFFSET($H$3,0,0,'Données projet'!$E$17+1,1))</f>
        <v>314.58662400031631</v>
      </c>
      <c r="GF97" s="60">
        <f t="shared" si="104"/>
        <v>336.99073123405981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4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282.399</v>
      </c>
      <c r="P98" s="14">
        <f t="shared" si="87"/>
        <v>67.473734542548371</v>
      </c>
      <c r="Q98" s="22">
        <f t="shared" si="54"/>
        <v>609.36167932827175</v>
      </c>
      <c r="R98" s="60">
        <f t="shared" si="55"/>
        <v>885.30912524703763</v>
      </c>
      <c r="S98" s="60">
        <f ca="1">AVERAGE(OFFSET($R$3,0,0,'Données projet'!$E$9+1,1))-AVERAGE(OFFSET($H$3,0,0,'Données projet'!$E$9+1,1))</f>
        <v>516.30971934066179</v>
      </c>
      <c r="T98" s="60">
        <f t="shared" si="88"/>
        <v>290.84286505723571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3.4615384615384586</v>
      </c>
      <c r="AI98" s="14">
        <f>IF('Données projet'!$A$62&gt;35,AI97+AH98-AQ97,IF(A98&lt;'Données projet'!$A$62,$AF$205^A98,IF(A98='Données projet'!$A$62,'Données projet'!$B$62,AI97+AH98-AQ97)))</f>
        <v>292.30769230769209</v>
      </c>
      <c r="AJ98" s="14">
        <f>AI98*VLOOKUP('Données projet'!$B$10,Paramètres!$A$1:$I$89,3,0)*VLOOKUP('Données projet'!$B$10,Paramètres!$A$1:$I$89,5,0)</f>
        <v>305.51999999999981</v>
      </c>
      <c r="AK98" s="14">
        <f t="shared" si="89"/>
        <v>72.332436678206648</v>
      </c>
      <c r="AL98" s="22">
        <f t="shared" si="58"/>
        <v>658.09299388120962</v>
      </c>
      <c r="AM98" s="60">
        <f t="shared" si="59"/>
        <v>934.0404397999755</v>
      </c>
      <c r="AN98" s="60">
        <f ca="1">AVERAGE(OFFSET($AM$3,0,0,'Données projet'!$E$10+1,1))-AVERAGE(OFFSET($H$3,0,0,'Données projet'!$E$10+1,1))</f>
        <v>529.00505223594837</v>
      </c>
      <c r="AO98" s="60">
        <f t="shared" si="90"/>
        <v>321.23004033257985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3.4106051316484809E-13</v>
      </c>
      <c r="BE98" s="14">
        <f>BD98*VLOOKUP('Données projet'!$B$11,Paramètres!$A$1:$I$89,3,0)*VLOOKUP('Données projet'!$B$11,Paramètres!$A$1:$I$89,5,0)</f>
        <v>2.9795046430081134E-13</v>
      </c>
      <c r="BF98" s="14">
        <f t="shared" si="91"/>
        <v>3.9419014464513778E-12</v>
      </c>
      <c r="BG98" s="22">
        <f t="shared" si="61"/>
        <v>7.384408744560063E-12</v>
      </c>
      <c r="BH98" s="60">
        <f t="shared" si="62"/>
        <v>275.94744591877333</v>
      </c>
      <c r="BI98" s="60">
        <f ca="1">AVERAGE(OFFSET($BH$3,0,0,'Données projet'!$E$11+1,1))-AVERAGE(OFFSET($H$3,0,0,'Données projet'!$E$11+1,1))</f>
        <v>363.28611056308665</v>
      </c>
      <c r="BJ98" s="60">
        <f t="shared" si="92"/>
        <v>389.43647559455974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278.49999999999994</v>
      </c>
      <c r="BZ98" s="14">
        <f>BY98*VLOOKUP('Données projet'!$B$12,Paramètres!$A$1:$I$89,3,0)*VLOOKUP('Données projet'!$B$12,Paramètres!$A$1:$I$89,5,0)</f>
        <v>299.77739999999989</v>
      </c>
      <c r="CA98" s="14">
        <f t="shared" si="93"/>
        <v>71.129795949749251</v>
      </c>
      <c r="CB98" s="22">
        <f t="shared" si="64"/>
        <v>645.9966996124798</v>
      </c>
      <c r="CC98" s="60">
        <f t="shared" si="65"/>
        <v>921.94414553124579</v>
      </c>
      <c r="CD98" s="60">
        <f ca="1">AVERAGE(OFFSET($CC$3,0,0,'Données projet'!$E$12+1,1))-AVERAGE(OFFSET($H$3,0,0,'Données projet'!$E$12+1,1))</f>
        <v>542.90832990875208</v>
      </c>
      <c r="CE98" s="60">
        <f t="shared" si="94"/>
        <v>304.94365539329362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8.1576923076923151</v>
      </c>
      <c r="CT98" s="13">
        <f>IF('Données projet'!$A$140&gt;35,CT97+CS98-DB97,IF(A98&lt;'Données projet'!$A$140,$CQ$205^A98,IF(A98='Données projet'!$A$140,'Données projet'!$B$140,CT97+CS98-DB97)))</f>
        <v>365.23846153846102</v>
      </c>
      <c r="CU98" s="18">
        <f>CT98*VLOOKUP('Données projet'!$B$13,Paramètres!$A$1:$I$89,3,0)*VLOOKUP('Données projet'!$B$13,Paramètres!$A$1:$I$89,5,0)</f>
        <v>170.93159999999975</v>
      </c>
      <c r="CV98" s="14">
        <f t="shared" si="95"/>
        <v>43.298604585177706</v>
      </c>
      <c r="CW98" s="22">
        <f t="shared" si="67"/>
        <v>373.11760631918406</v>
      </c>
      <c r="CX98" s="60">
        <f t="shared" si="68"/>
        <v>649.06505223795</v>
      </c>
      <c r="CY98" s="60">
        <f ca="1">AVERAGE(OFFSET($CX$3,0,0,'Données projet'!$E$13+1,1))-AVERAGE(OFFSET($H$3,0,0,'Données projet'!$E$13+1,1))</f>
        <v>277.77877239988635</v>
      </c>
      <c r="CZ98" s="60">
        <f t="shared" si="96"/>
        <v>164.65640238394164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220.5128205128205</v>
      </c>
      <c r="DM98" s="13">
        <f>VLOOKUP(A98,'Données projet'!$A$165:$I$185,9,0)</f>
        <v>2.9487179487179445</v>
      </c>
      <c r="DN98" s="13">
        <f t="array" ref="DN98">INDEX(DM:DM,MIN(IF(ISNUMBER(DM98:DM294),ROW(DM98:DM294),"")))</f>
        <v>2.9487179487179445</v>
      </c>
      <c r="DO98" s="13">
        <f>IF('Données projet'!$A$166&gt;35,DO97+DN98-DW97,IF(A98&lt;'Données projet'!$A$166,$DL$205^A98,IF(A98='Données projet'!$A$166,'Données projet'!$B$166,DO97+DN98-DW97)))</f>
        <v>220.51282051282047</v>
      </c>
      <c r="DP98" s="18">
        <f>DO98*VLOOKUP('Données projet'!$B$14,Paramètres!$A$1:$I$89,3,0)*VLOOKUP('Données projet'!$B$14,Paramètres!$A$1:$I$89,5,0)</f>
        <v>189.2</v>
      </c>
      <c r="DQ98" s="14">
        <f t="shared" si="97"/>
        <v>47.363040799609699</v>
      </c>
      <c r="DR98" s="22">
        <f t="shared" si="70"/>
        <v>412.01396272598686</v>
      </c>
      <c r="DS98" s="60">
        <f t="shared" si="71"/>
        <v>687.96140864475274</v>
      </c>
      <c r="DT98" s="60">
        <f ca="1">AVERAGE(OFFSET($DS$3,0,0,'Données projet'!$E$14+1,1))-AVERAGE(OFFSET($H$3,0,0,'Données projet'!$E$14+1,1))</f>
        <v>354.30160274624632</v>
      </c>
      <c r="DU98" s="60">
        <f t="shared" si="98"/>
        <v>218.8005329382452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4.9000000000000004</v>
      </c>
      <c r="EJ98" s="13">
        <f>IF('Données projet'!$A$192&gt;35,EJ97+EI98-ER97,IF(A98&lt;'Données projet'!$A$192,$EG$205^A98,IF(A98='Données projet'!$A$192,'Données projet'!$B$192,EJ97+EI98-ER97)))</f>
        <v>278.49999999999994</v>
      </c>
      <c r="EK98" s="18">
        <f>EJ98*VLOOKUP('Données projet'!$B$15,Paramètres!$A$1:$I$89,3,0)*VLOOKUP('Données projet'!$B$15,Paramètres!$A$1:$I$89,5,0)</f>
        <v>269.36519999999996</v>
      </c>
      <c r="EL98" s="14">
        <f t="shared" si="99"/>
        <v>64.714530255967034</v>
      </c>
      <c r="EM98" s="22">
        <f t="shared" si="73"/>
        <v>581.85553019580914</v>
      </c>
      <c r="EN98" s="60">
        <f t="shared" si="74"/>
        <v>857.80297611457513</v>
      </c>
      <c r="EO98" s="60">
        <f ca="1">AVERAGE(OFFSET($EN$3,0,0,'Données projet'!$E$15+1,1))-AVERAGE(OFFSET($H$3,0,0,'Données projet'!$E$15+1,1))</f>
        <v>496.33873798282525</v>
      </c>
      <c r="EP98" s="60">
        <f t="shared" si="100"/>
        <v>280.25465074992246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3.4106051316484809E-13</v>
      </c>
      <c r="FF98" s="18">
        <f>FE98*VLOOKUP('Données projet'!$B$16,Paramètres!$A$1:$I$89,3,0)*VLOOKUP('Données projet'!$B$16,Paramètres!$A$1:$I$89,5,0)</f>
        <v>2.7666828827932479E-13</v>
      </c>
      <c r="FG98" s="14">
        <f t="shared" si="101"/>
        <v>3.6920483163466686E-12</v>
      </c>
      <c r="FH98" s="22">
        <f t="shared" si="76"/>
        <v>6.9121814197236049E-12</v>
      </c>
      <c r="FI98" s="60">
        <f t="shared" si="77"/>
        <v>275.94744591877287</v>
      </c>
      <c r="FJ98" s="60">
        <f ca="1">AVERAGE(OFFSET($FI$3,0,0,'Données projet'!$E$16+1,1))-AVERAGE(OFFSET($H$3,0,0,'Données projet'!$E$16+1,1))</f>
        <v>341.66430955115521</v>
      </c>
      <c r="FK98" s="60">
        <f t="shared" si="102"/>
        <v>366.15174925159192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3.4106051316484809E-13</v>
      </c>
      <c r="GA98" s="18">
        <f>FZ98*VLOOKUP('Données projet'!$B$17,Paramètres!$A$1:$I$89,3,0)*VLOOKUP('Données projet'!$B$17,Paramètres!$A$1:$I$89,5,0)</f>
        <v>2.5006556825246659E-13</v>
      </c>
      <c r="GB98" s="14">
        <f t="shared" si="103"/>
        <v>3.3765445850268018E-12</v>
      </c>
      <c r="GC98" s="22">
        <f t="shared" si="79"/>
        <v>6.3163460169613921E-12</v>
      </c>
      <c r="GD98" s="60">
        <f t="shared" si="80"/>
        <v>275.94744591877225</v>
      </c>
      <c r="GE98" s="60">
        <f ca="1">AVERAGE(OFFSET($GD$3,0,0,'Données projet'!$E$17+1,1))-AVERAGE(OFFSET($H$3,0,0,'Données projet'!$E$17+1,1))</f>
        <v>314.58662400031631</v>
      </c>
      <c r="GF98" s="60">
        <f t="shared" si="104"/>
        <v>336.99073123405981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4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287.36759999999992</v>
      </c>
      <c r="P99" s="14">
        <f t="shared" si="87"/>
        <v>68.521633201565123</v>
      </c>
      <c r="Q99" s="22">
        <f t="shared" ref="Q99:Q130" si="107">(O99+P99)*0.475*44/12</f>
        <v>619.84041449272581</v>
      </c>
      <c r="R99" s="60">
        <f t="shared" si="55"/>
        <v>896.08946668911324</v>
      </c>
      <c r="S99" s="60">
        <f ca="1">AVERAGE(OFFSET($R$3,0,0,'Données projet'!$E$9+1,1))-AVERAGE(OFFSET($H$3,0,0,'Données projet'!$E$9+1,1))</f>
        <v>516.30971934066179</v>
      </c>
      <c r="T99" s="60">
        <f t="shared" si="88"/>
        <v>290.84286505723571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3.4615384615384586</v>
      </c>
      <c r="AI99" s="14">
        <f>IF('Données projet'!$A$62&gt;35,AI98+AH99-AQ98,IF(A99&lt;'Données projet'!$A$62,$AF$205^A99,IF(A99='Données projet'!$A$62,'Données projet'!$B$62,AI98+AH99-AQ98)))</f>
        <v>295.76923076923055</v>
      </c>
      <c r="AJ99" s="14">
        <f>AI99*VLOOKUP('Données projet'!$B$10,Paramètres!$A$1:$I$89,3,0)*VLOOKUP('Données projet'!$B$10,Paramètres!$A$1:$I$89,5,0)</f>
        <v>309.13799999999981</v>
      </c>
      <c r="AK99" s="14">
        <f t="shared" si="89"/>
        <v>73.088781099784711</v>
      </c>
      <c r="AL99" s="22">
        <f t="shared" si="58"/>
        <v>665.71164374879129</v>
      </c>
      <c r="AM99" s="60">
        <f t="shared" si="59"/>
        <v>941.96069594517871</v>
      </c>
      <c r="AN99" s="60">
        <f ca="1">AVERAGE(OFFSET($AM$3,0,0,'Données projet'!$E$10+1,1))-AVERAGE(OFFSET($H$3,0,0,'Données projet'!$E$10+1,1))</f>
        <v>529.00505223594837</v>
      </c>
      <c r="AO99" s="60">
        <f t="shared" si="90"/>
        <v>321.23004033257985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3.4106051316484809E-13</v>
      </c>
      <c r="BE99" s="14">
        <f>BD99*VLOOKUP('Données projet'!$B$11,Paramètres!$A$1:$I$89,3,0)*VLOOKUP('Données projet'!$B$11,Paramètres!$A$1:$I$89,5,0)</f>
        <v>2.9795046430081134E-13</v>
      </c>
      <c r="BF99" s="14">
        <f t="shared" si="91"/>
        <v>3.9419014464513778E-12</v>
      </c>
      <c r="BG99" s="22">
        <f t="shared" si="61"/>
        <v>7.384408744560063E-12</v>
      </c>
      <c r="BH99" s="60">
        <f t="shared" si="62"/>
        <v>276.24905219639481</v>
      </c>
      <c r="BI99" s="60">
        <f ca="1">AVERAGE(OFFSET($BH$3,0,0,'Données projet'!$E$11+1,1))-AVERAGE(OFFSET($H$3,0,0,'Données projet'!$E$11+1,1))</f>
        <v>363.28611056308665</v>
      </c>
      <c r="BJ99" s="60">
        <f t="shared" si="92"/>
        <v>389.43647559455974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283.39999999999992</v>
      </c>
      <c r="BZ99" s="14">
        <f>BY99*VLOOKUP('Données projet'!$B$12,Paramètres!$A$1:$I$89,3,0)*VLOOKUP('Données projet'!$B$12,Paramètres!$A$1:$I$89,5,0)</f>
        <v>305.05175999999989</v>
      </c>
      <c r="CA99" s="14">
        <f t="shared" si="93"/>
        <v>72.23447495258219</v>
      </c>
      <c r="CB99" s="22">
        <f t="shared" si="64"/>
        <v>657.10685920908043</v>
      </c>
      <c r="CC99" s="60">
        <f t="shared" si="65"/>
        <v>933.35591140546785</v>
      </c>
      <c r="CD99" s="60">
        <f ca="1">AVERAGE(OFFSET($CC$3,0,0,'Données projet'!$E$12+1,1))-AVERAGE(OFFSET($H$3,0,0,'Données projet'!$E$12+1,1))</f>
        <v>542.90832990875208</v>
      </c>
      <c r="CE99" s="60">
        <f t="shared" si="94"/>
        <v>304.94365539329362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8.1576923076923151</v>
      </c>
      <c r="CT99" s="13">
        <f>IF('Données projet'!$A$140&gt;35,CT98+CS99-DB98,IF(A99&lt;'Données projet'!$A$140,$CQ$205^A99,IF(A99='Données projet'!$A$140,'Données projet'!$B$140,CT98+CS99-DB98)))</f>
        <v>373.39615384615331</v>
      </c>
      <c r="CU99" s="18">
        <f>CT99*VLOOKUP('Données projet'!$B$13,Paramètres!$A$1:$I$89,3,0)*VLOOKUP('Données projet'!$B$13,Paramètres!$A$1:$I$89,5,0)</f>
        <v>174.74939999999975</v>
      </c>
      <c r="CV99" s="14">
        <f t="shared" si="95"/>
        <v>44.152019355804249</v>
      </c>
      <c r="CW99" s="22">
        <f t="shared" si="67"/>
        <v>381.25330537802529</v>
      </c>
      <c r="CX99" s="60">
        <f t="shared" si="68"/>
        <v>657.50235757441271</v>
      </c>
      <c r="CY99" s="60">
        <f ca="1">AVERAGE(OFFSET($CX$3,0,0,'Données projet'!$E$13+1,1))-AVERAGE(OFFSET($H$3,0,0,'Données projet'!$E$13+1,1))</f>
        <v>277.77877239988635</v>
      </c>
      <c r="CZ99" s="60">
        <f t="shared" si="96"/>
        <v>164.65640238394164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2.6923076923076961</v>
      </c>
      <c r="DO99" s="13">
        <f>IF('Données projet'!$A$166&gt;35,DO98+DN99-DW98,IF(A99&lt;'Données projet'!$A$166,$DL$205^A99,IF(A99='Données projet'!$A$166,'Données projet'!$B$166,DO98+DN99-DW98)))</f>
        <v>223.20512820512818</v>
      </c>
      <c r="DP99" s="18">
        <f>DO99*VLOOKUP('Données projet'!$B$14,Paramètres!$A$1:$I$89,3,0)*VLOOKUP('Données projet'!$B$14,Paramètres!$A$1:$I$89,5,0)</f>
        <v>191.51</v>
      </c>
      <c r="DQ99" s="14">
        <f t="shared" si="97"/>
        <v>47.873638453591653</v>
      </c>
      <c r="DR99" s="22">
        <f t="shared" si="70"/>
        <v>416.92650364000542</v>
      </c>
      <c r="DS99" s="60">
        <f t="shared" si="71"/>
        <v>693.17555583639285</v>
      </c>
      <c r="DT99" s="60">
        <f ca="1">AVERAGE(OFFSET($DS$3,0,0,'Données projet'!$E$14+1,1))-AVERAGE(OFFSET($H$3,0,0,'Données projet'!$E$14+1,1))</f>
        <v>354.30160274624632</v>
      </c>
      <c r="DU99" s="60">
        <f t="shared" si="98"/>
        <v>218.8005329382452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4.9000000000000004</v>
      </c>
      <c r="EJ99" s="13">
        <f>IF('Données projet'!$A$192&gt;35,EJ98+EI99-ER98,IF(A99&lt;'Données projet'!$A$192,$EG$205^A99,IF(A99='Données projet'!$A$192,'Données projet'!$B$192,EJ98+EI99-ER98)))</f>
        <v>283.39999999999992</v>
      </c>
      <c r="EK99" s="18">
        <f>EJ99*VLOOKUP('Données projet'!$B$15,Paramètres!$A$1:$I$89,3,0)*VLOOKUP('Données projet'!$B$15,Paramètres!$A$1:$I$89,5,0)</f>
        <v>274.10447999999991</v>
      </c>
      <c r="EL99" s="14">
        <f t="shared" si="99"/>
        <v>65.719577181765516</v>
      </c>
      <c r="EM99" s="22">
        <f t="shared" si="73"/>
        <v>591.86023292490802</v>
      </c>
      <c r="EN99" s="60">
        <f t="shared" si="74"/>
        <v>868.10928512129544</v>
      </c>
      <c r="EO99" s="60">
        <f ca="1">AVERAGE(OFFSET($EN$3,0,0,'Données projet'!$E$15+1,1))-AVERAGE(OFFSET($H$3,0,0,'Données projet'!$E$15+1,1))</f>
        <v>496.33873798282525</v>
      </c>
      <c r="EP99" s="60">
        <f t="shared" si="100"/>
        <v>280.25465074992246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3.4106051316484809E-13</v>
      </c>
      <c r="FF99" s="18">
        <f>FE99*VLOOKUP('Données projet'!$B$16,Paramètres!$A$1:$I$89,3,0)*VLOOKUP('Données projet'!$B$16,Paramètres!$A$1:$I$89,5,0)</f>
        <v>2.7666828827932479E-13</v>
      </c>
      <c r="FG99" s="14">
        <f t="shared" si="101"/>
        <v>3.6920483163466686E-12</v>
      </c>
      <c r="FH99" s="22">
        <f t="shared" si="76"/>
        <v>6.9121814197236049E-12</v>
      </c>
      <c r="FI99" s="60">
        <f t="shared" si="77"/>
        <v>276.24905219639436</v>
      </c>
      <c r="FJ99" s="60">
        <f ca="1">AVERAGE(OFFSET($FI$3,0,0,'Données projet'!$E$16+1,1))-AVERAGE(OFFSET($H$3,0,0,'Données projet'!$E$16+1,1))</f>
        <v>341.66430955115521</v>
      </c>
      <c r="FK99" s="60">
        <f t="shared" si="102"/>
        <v>366.15174925159192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3.4106051316484809E-13</v>
      </c>
      <c r="GA99" s="18">
        <f>FZ99*VLOOKUP('Données projet'!$B$17,Paramètres!$A$1:$I$89,3,0)*VLOOKUP('Données projet'!$B$17,Paramètres!$A$1:$I$89,5,0)</f>
        <v>2.5006556825246659E-13</v>
      </c>
      <c r="GB99" s="14">
        <f t="shared" si="103"/>
        <v>3.3765445850268018E-12</v>
      </c>
      <c r="GC99" s="22">
        <f t="shared" si="79"/>
        <v>6.3163460169613921E-12</v>
      </c>
      <c r="GD99" s="60">
        <f t="shared" si="80"/>
        <v>276.24905219639373</v>
      </c>
      <c r="GE99" s="60">
        <f ca="1">AVERAGE(OFFSET($GD$3,0,0,'Données projet'!$E$17+1,1))-AVERAGE(OFFSET($H$3,0,0,'Données projet'!$E$17+1,1))</f>
        <v>314.58662400031631</v>
      </c>
      <c r="GF99" s="60">
        <f t="shared" si="104"/>
        <v>336.99073123405981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4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292.33619999999996</v>
      </c>
      <c r="P100" s="14">
        <f t="shared" si="87"/>
        <v>69.56742490962327</v>
      </c>
      <c r="Q100" s="22">
        <f t="shared" si="107"/>
        <v>630.31548005092702</v>
      </c>
      <c r="R100" s="60">
        <f t="shared" si="55"/>
        <v>906.86090633030983</v>
      </c>
      <c r="S100" s="60">
        <f ca="1">AVERAGE(OFFSET($R$3,0,0,'Données projet'!$E$9+1,1))-AVERAGE(OFFSET($H$3,0,0,'Données projet'!$E$9+1,1))</f>
        <v>516.30971934066179</v>
      </c>
      <c r="T100" s="60">
        <f t="shared" si="88"/>
        <v>290.84286505723571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3.4615384615384586</v>
      </c>
      <c r="AI100" s="14">
        <f>IF('Données projet'!$A$62&gt;35,AI99+AH100-AQ99,IF(A100&lt;'Données projet'!$A$62,$AF$205^A100,IF(A100='Données projet'!$A$62,'Données projet'!$B$62,AI99+AH100-AQ99)))</f>
        <v>299.230769230769</v>
      </c>
      <c r="AJ100" s="14">
        <f>AI100*VLOOKUP('Données projet'!$B$10,Paramètres!$A$1:$I$89,3,0)*VLOOKUP('Données projet'!$B$10,Paramètres!$A$1:$I$89,5,0)</f>
        <v>312.7559999999998</v>
      </c>
      <c r="AK100" s="14">
        <f t="shared" si="89"/>
        <v>73.844095838560634</v>
      </c>
      <c r="AL100" s="22">
        <f t="shared" si="58"/>
        <v>673.32850025215942</v>
      </c>
      <c r="AM100" s="60">
        <f t="shared" si="59"/>
        <v>949.87392653154222</v>
      </c>
      <c r="AN100" s="60">
        <f ca="1">AVERAGE(OFFSET($AM$3,0,0,'Données projet'!$E$10+1,1))-AVERAGE(OFFSET($H$3,0,0,'Données projet'!$E$10+1,1))</f>
        <v>529.00505223594837</v>
      </c>
      <c r="AO100" s="60">
        <f t="shared" si="90"/>
        <v>321.23004033257985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3.4106051316484809E-13</v>
      </c>
      <c r="BE100" s="14">
        <f>BD100*VLOOKUP('Données projet'!$B$11,Paramètres!$A$1:$I$89,3,0)*VLOOKUP('Données projet'!$B$11,Paramètres!$A$1:$I$89,5,0)</f>
        <v>2.9795046430081134E-13</v>
      </c>
      <c r="BF100" s="14">
        <f t="shared" si="91"/>
        <v>3.9419014464513778E-12</v>
      </c>
      <c r="BG100" s="22">
        <f t="shared" si="61"/>
        <v>7.384408744560063E-12</v>
      </c>
      <c r="BH100" s="60">
        <f t="shared" si="62"/>
        <v>276.5454262793902</v>
      </c>
      <c r="BI100" s="60">
        <f ca="1">AVERAGE(OFFSET($BH$3,0,0,'Données projet'!$E$11+1,1))-AVERAGE(OFFSET($H$3,0,0,'Données projet'!$E$11+1,1))</f>
        <v>363.28611056308665</v>
      </c>
      <c r="BJ100" s="60">
        <f t="shared" si="92"/>
        <v>389.43647559455974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288.2999999999999</v>
      </c>
      <c r="BZ100" s="14">
        <f>BY100*VLOOKUP('Données projet'!$B$12,Paramètres!$A$1:$I$89,3,0)*VLOOKUP('Données projet'!$B$12,Paramètres!$A$1:$I$89,5,0)</f>
        <v>310.32611999999989</v>
      </c>
      <c r="CA100" s="14">
        <f t="shared" si="93"/>
        <v>73.336932839409357</v>
      </c>
      <c r="CB100" s="22">
        <f t="shared" si="64"/>
        <v>668.21315036197109</v>
      </c>
      <c r="CC100" s="60">
        <f t="shared" si="65"/>
        <v>944.7585766413539</v>
      </c>
      <c r="CD100" s="60">
        <f ca="1">AVERAGE(OFFSET($CC$3,0,0,'Données projet'!$E$12+1,1))-AVERAGE(OFFSET($H$3,0,0,'Données projet'!$E$12+1,1))</f>
        <v>542.90832990875208</v>
      </c>
      <c r="CE100" s="60">
        <f t="shared" si="94"/>
        <v>304.94365539329362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8.1576923076923151</v>
      </c>
      <c r="CT100" s="13">
        <f>IF('Données projet'!$A$140&gt;35,CT99+CS100-DB99,IF(A100&lt;'Données projet'!$A$140,$CQ$205^A100,IF(A100='Données projet'!$A$140,'Données projet'!$B$140,CT99+CS100-DB99)))</f>
        <v>381.5538461538456</v>
      </c>
      <c r="CU100" s="18">
        <f>CT100*VLOOKUP('Données projet'!$B$13,Paramètres!$A$1:$I$89,3,0)*VLOOKUP('Données projet'!$B$13,Paramètres!$A$1:$I$89,5,0)</f>
        <v>178.56719999999976</v>
      </c>
      <c r="CV100" s="14">
        <f t="shared" si="95"/>
        <v>45.003266447079469</v>
      </c>
      <c r="CW100" s="22">
        <f t="shared" si="67"/>
        <v>389.38522906199631</v>
      </c>
      <c r="CX100" s="60">
        <f t="shared" si="68"/>
        <v>665.93065534137918</v>
      </c>
      <c r="CY100" s="60">
        <f ca="1">AVERAGE(OFFSET($CX$3,0,0,'Données projet'!$E$13+1,1))-AVERAGE(OFFSET($H$3,0,0,'Données projet'!$E$13+1,1))</f>
        <v>277.77877239988635</v>
      </c>
      <c r="CZ100" s="60">
        <f t="shared" si="96"/>
        <v>164.65640238394164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2.6923076923076961</v>
      </c>
      <c r="DO100" s="13">
        <f>IF('Données projet'!$A$166&gt;35,DO99+DN100-DW99,IF(A100&lt;'Données projet'!$A$166,$DL$205^A100,IF(A100='Données projet'!$A$166,'Données projet'!$B$166,DO99+DN100-DW99)))</f>
        <v>225.89743589743588</v>
      </c>
      <c r="DP100" s="18">
        <f>DO100*VLOOKUP('Données projet'!$B$14,Paramètres!$A$1:$I$89,3,0)*VLOOKUP('Données projet'!$B$14,Paramètres!$A$1:$I$89,5,0)</f>
        <v>193.82000000000002</v>
      </c>
      <c r="DQ100" s="14">
        <f t="shared" si="97"/>
        <v>48.38351970256722</v>
      </c>
      <c r="DR100" s="22">
        <f t="shared" si="70"/>
        <v>421.83779681530456</v>
      </c>
      <c r="DS100" s="60">
        <f t="shared" si="71"/>
        <v>698.38322309468731</v>
      </c>
      <c r="DT100" s="60">
        <f ca="1">AVERAGE(OFFSET($DS$3,0,0,'Données projet'!$E$14+1,1))-AVERAGE(OFFSET($H$3,0,0,'Données projet'!$E$14+1,1))</f>
        <v>354.30160274624632</v>
      </c>
      <c r="DU100" s="60">
        <f t="shared" si="98"/>
        <v>218.8005329382452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4.9000000000000004</v>
      </c>
      <c r="EJ100" s="13">
        <f>IF('Données projet'!$A$192&gt;35,EJ99+EI100-ER99,IF(A100&lt;'Données projet'!$A$192,$EG$205^A100,IF(A100='Données projet'!$A$192,'Données projet'!$B$192,EJ99+EI100-ER99)))</f>
        <v>288.2999999999999</v>
      </c>
      <c r="EK100" s="18">
        <f>EJ100*VLOOKUP('Données projet'!$B$15,Paramètres!$A$1:$I$89,3,0)*VLOOKUP('Données projet'!$B$15,Paramètres!$A$1:$I$89,5,0)</f>
        <v>278.84375999999992</v>
      </c>
      <c r="EL100" s="14">
        <f t="shared" si="99"/>
        <v>66.722603316177725</v>
      </c>
      <c r="EM100" s="22">
        <f t="shared" si="73"/>
        <v>601.86141610900938</v>
      </c>
      <c r="EN100" s="60">
        <f t="shared" si="74"/>
        <v>878.40684238839219</v>
      </c>
      <c r="EO100" s="60">
        <f ca="1">AVERAGE(OFFSET($EN$3,0,0,'Données projet'!$E$15+1,1))-AVERAGE(OFFSET($H$3,0,0,'Données projet'!$E$15+1,1))</f>
        <v>496.33873798282525</v>
      </c>
      <c r="EP100" s="60">
        <f t="shared" si="100"/>
        <v>280.25465074992246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3.4106051316484809E-13</v>
      </c>
      <c r="FF100" s="18">
        <f>FE100*VLOOKUP('Données projet'!$B$16,Paramètres!$A$1:$I$89,3,0)*VLOOKUP('Données projet'!$B$16,Paramètres!$A$1:$I$89,5,0)</f>
        <v>2.7666828827932479E-13</v>
      </c>
      <c r="FG100" s="14">
        <f t="shared" si="101"/>
        <v>3.6920483163466686E-12</v>
      </c>
      <c r="FH100" s="22">
        <f t="shared" si="76"/>
        <v>6.9121814197236049E-12</v>
      </c>
      <c r="FI100" s="60">
        <f t="shared" si="77"/>
        <v>276.54542627938974</v>
      </c>
      <c r="FJ100" s="60">
        <f ca="1">AVERAGE(OFFSET($FI$3,0,0,'Données projet'!$E$16+1,1))-AVERAGE(OFFSET($H$3,0,0,'Données projet'!$E$16+1,1))</f>
        <v>341.66430955115521</v>
      </c>
      <c r="FK100" s="60">
        <f t="shared" si="102"/>
        <v>366.15174925159192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3.4106051316484809E-13</v>
      </c>
      <c r="GA100" s="18">
        <f>FZ100*VLOOKUP('Données projet'!$B$17,Paramètres!$A$1:$I$89,3,0)*VLOOKUP('Données projet'!$B$17,Paramètres!$A$1:$I$89,5,0)</f>
        <v>2.5006556825246659E-13</v>
      </c>
      <c r="GB100" s="14">
        <f t="shared" si="103"/>
        <v>3.3765445850268018E-12</v>
      </c>
      <c r="GC100" s="22">
        <f t="shared" si="79"/>
        <v>6.3163460169613921E-12</v>
      </c>
      <c r="GD100" s="60">
        <f t="shared" si="80"/>
        <v>276.54542627938912</v>
      </c>
      <c r="GE100" s="60">
        <f ca="1">AVERAGE(OFFSET($GD$3,0,0,'Données projet'!$E$17+1,1))-AVERAGE(OFFSET($H$3,0,0,'Données projet'!$E$17+1,1))</f>
        <v>314.58662400031631</v>
      </c>
      <c r="GF100" s="60">
        <f t="shared" si="104"/>
        <v>336.99073123405981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4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297.30479999999989</v>
      </c>
      <c r="P101" s="14">
        <f t="shared" si="87"/>
        <v>70.611149609504906</v>
      </c>
      <c r="Q101" s="22">
        <f t="shared" si="107"/>
        <v>640.78694556988739</v>
      </c>
      <c r="R101" s="60">
        <f t="shared" si="55"/>
        <v>917.62360450451877</v>
      </c>
      <c r="S101" s="60">
        <f ca="1">AVERAGE(OFFSET($R$3,0,0,'Données projet'!$E$9+1,1))-AVERAGE(OFFSET($H$3,0,0,'Données projet'!$E$9+1,1))</f>
        <v>516.30971934066179</v>
      </c>
      <c r="T101" s="60">
        <f t="shared" si="88"/>
        <v>290.84286505723571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3.4615384615384586</v>
      </c>
      <c r="AI101" s="14">
        <f>IF('Données projet'!$A$62&gt;35,AI100+AH101-AQ100,IF(A101&lt;'Données projet'!$A$62,$AF$205^A101,IF(A101='Données projet'!$A$62,'Données projet'!$B$62,AI100+AH101-AQ100)))</f>
        <v>302.69230769230745</v>
      </c>
      <c r="AJ101" s="14">
        <f>AI101*VLOOKUP('Données projet'!$B$10,Paramètres!$A$1:$I$89,3,0)*VLOOKUP('Données projet'!$B$10,Paramètres!$A$1:$I$89,5,0)</f>
        <v>316.37399999999974</v>
      </c>
      <c r="AK101" s="14">
        <f t="shared" si="89"/>
        <v>74.598394184177479</v>
      </c>
      <c r="AL101" s="22">
        <f t="shared" si="58"/>
        <v>680.943586537442</v>
      </c>
      <c r="AM101" s="60">
        <f t="shared" si="59"/>
        <v>957.78024547207337</v>
      </c>
      <c r="AN101" s="60">
        <f ca="1">AVERAGE(OFFSET($AM$3,0,0,'Données projet'!$E$10+1,1))-AVERAGE(OFFSET($H$3,0,0,'Données projet'!$E$10+1,1))</f>
        <v>529.00505223594837</v>
      </c>
      <c r="AO101" s="60">
        <f t="shared" si="90"/>
        <v>321.23004033257985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3.4106051316484809E-13</v>
      </c>
      <c r="BE101" s="14">
        <f>BD101*VLOOKUP('Données projet'!$B$11,Paramètres!$A$1:$I$89,3,0)*VLOOKUP('Données projet'!$B$11,Paramètres!$A$1:$I$89,5,0)</f>
        <v>2.9795046430081134E-13</v>
      </c>
      <c r="BF101" s="14">
        <f t="shared" si="91"/>
        <v>3.9419014464513778E-12</v>
      </c>
      <c r="BG101" s="22">
        <f t="shared" si="61"/>
        <v>7.384408744560063E-12</v>
      </c>
      <c r="BH101" s="60">
        <f t="shared" si="62"/>
        <v>276.83665893463876</v>
      </c>
      <c r="BI101" s="60">
        <f ca="1">AVERAGE(OFFSET($BH$3,0,0,'Données projet'!$E$11+1,1))-AVERAGE(OFFSET($H$3,0,0,'Données projet'!$E$11+1,1))</f>
        <v>363.28611056308665</v>
      </c>
      <c r="BJ101" s="60">
        <f t="shared" si="92"/>
        <v>389.43647559455974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293.19999999999987</v>
      </c>
      <c r="BZ101" s="14">
        <f>BY101*VLOOKUP('Données projet'!$B$12,Paramètres!$A$1:$I$89,3,0)*VLOOKUP('Données projet'!$B$12,Paramètres!$A$1:$I$89,5,0)</f>
        <v>315.60047999999989</v>
      </c>
      <c r="CA101" s="14">
        <f t="shared" si="93"/>
        <v>74.437211717310802</v>
      </c>
      <c r="CB101" s="22">
        <f t="shared" si="64"/>
        <v>679.31564640764952</v>
      </c>
      <c r="CC101" s="60">
        <f t="shared" si="65"/>
        <v>956.1523053422809</v>
      </c>
      <c r="CD101" s="60">
        <f ca="1">AVERAGE(OFFSET($CC$3,0,0,'Données projet'!$E$12+1,1))-AVERAGE(OFFSET($H$3,0,0,'Données projet'!$E$12+1,1))</f>
        <v>542.90832990875208</v>
      </c>
      <c r="CE101" s="60">
        <f t="shared" si="94"/>
        <v>304.94365539329362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8.1576923076923151</v>
      </c>
      <c r="CT101" s="13">
        <f>IF('Données projet'!$A$140&gt;35,CT100+CS101-DB100,IF(A101&lt;'Données projet'!$A$140,$CQ$205^A101,IF(A101='Données projet'!$A$140,'Données projet'!$B$140,CT100+CS101-DB100)))</f>
        <v>389.71153846153788</v>
      </c>
      <c r="CU101" s="18">
        <f>CT101*VLOOKUP('Données projet'!$B$13,Paramètres!$A$1:$I$89,3,0)*VLOOKUP('Données projet'!$B$13,Paramètres!$A$1:$I$89,5,0)</f>
        <v>182.38499999999974</v>
      </c>
      <c r="CV101" s="14">
        <f t="shared" si="95"/>
        <v>45.852397542618846</v>
      </c>
      <c r="CW101" s="22">
        <f t="shared" si="67"/>
        <v>397.51346738672737</v>
      </c>
      <c r="CX101" s="60">
        <f t="shared" si="68"/>
        <v>674.35012632135874</v>
      </c>
      <c r="CY101" s="60">
        <f ca="1">AVERAGE(OFFSET($CX$3,0,0,'Données projet'!$E$13+1,1))-AVERAGE(OFFSET($H$3,0,0,'Données projet'!$E$13+1,1))</f>
        <v>277.77877239988635</v>
      </c>
      <c r="CZ101" s="60">
        <f t="shared" si="96"/>
        <v>164.65640238394164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2.6923076923076961</v>
      </c>
      <c r="DO101" s="13">
        <f>IF('Données projet'!$A$166&gt;35,DO100+DN101-DW100,IF(A101&lt;'Données projet'!$A$166,$DL$205^A101,IF(A101='Données projet'!$A$166,'Données projet'!$B$166,DO100+DN101-DW100)))</f>
        <v>228.58974358974359</v>
      </c>
      <c r="DP101" s="18">
        <f>DO101*VLOOKUP('Données projet'!$B$14,Paramètres!$A$1:$I$89,3,0)*VLOOKUP('Données projet'!$B$14,Paramètres!$A$1:$I$89,5,0)</f>
        <v>196.13000000000002</v>
      </c>
      <c r="DQ101" s="14">
        <f t="shared" si="97"/>
        <v>48.892694072552018</v>
      </c>
      <c r="DR101" s="22">
        <f t="shared" si="70"/>
        <v>426.74785884302815</v>
      </c>
      <c r="DS101" s="60">
        <f t="shared" si="71"/>
        <v>703.58451777765958</v>
      </c>
      <c r="DT101" s="60">
        <f ca="1">AVERAGE(OFFSET($DS$3,0,0,'Données projet'!$E$14+1,1))-AVERAGE(OFFSET($H$3,0,0,'Données projet'!$E$14+1,1))</f>
        <v>354.30160274624632</v>
      </c>
      <c r="DU101" s="60">
        <f t="shared" si="98"/>
        <v>218.8005329382452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4.9000000000000004</v>
      </c>
      <c r="EJ101" s="13">
        <f>IF('Données projet'!$A$192&gt;35,EJ100+EI101-ER100,IF(A101&lt;'Données projet'!$A$192,$EG$205^A101,IF(A101='Données projet'!$A$192,'Données projet'!$B$192,EJ100+EI101-ER100)))</f>
        <v>293.19999999999987</v>
      </c>
      <c r="EK101" s="18">
        <f>EJ101*VLOOKUP('Données projet'!$B$15,Paramètres!$A$1:$I$89,3,0)*VLOOKUP('Données projet'!$B$15,Paramètres!$A$1:$I$89,5,0)</f>
        <v>283.58303999999993</v>
      </c>
      <c r="EL101" s="14">
        <f t="shared" si="99"/>
        <v>67.723646968605209</v>
      </c>
      <c r="EM101" s="22">
        <f t="shared" si="73"/>
        <v>611.85914647032064</v>
      </c>
      <c r="EN101" s="60">
        <f t="shared" si="74"/>
        <v>888.69580540495201</v>
      </c>
      <c r="EO101" s="60">
        <f ca="1">AVERAGE(OFFSET($EN$3,0,0,'Données projet'!$E$15+1,1))-AVERAGE(OFFSET($H$3,0,0,'Données projet'!$E$15+1,1))</f>
        <v>496.33873798282525</v>
      </c>
      <c r="EP101" s="60">
        <f t="shared" si="100"/>
        <v>280.25465074992246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3.4106051316484809E-13</v>
      </c>
      <c r="FF101" s="18">
        <f>FE101*VLOOKUP('Données projet'!$B$16,Paramètres!$A$1:$I$89,3,0)*VLOOKUP('Données projet'!$B$16,Paramètres!$A$1:$I$89,5,0)</f>
        <v>2.7666828827932479E-13</v>
      </c>
      <c r="FG101" s="14">
        <f t="shared" si="101"/>
        <v>3.6920483163466686E-12</v>
      </c>
      <c r="FH101" s="22">
        <f t="shared" si="76"/>
        <v>6.9121814197236049E-12</v>
      </c>
      <c r="FI101" s="60">
        <f t="shared" si="77"/>
        <v>276.83665893463831</v>
      </c>
      <c r="FJ101" s="60">
        <f ca="1">AVERAGE(OFFSET($FI$3,0,0,'Données projet'!$E$16+1,1))-AVERAGE(OFFSET($H$3,0,0,'Données projet'!$E$16+1,1))</f>
        <v>341.66430955115521</v>
      </c>
      <c r="FK101" s="60">
        <f t="shared" si="102"/>
        <v>366.15174925159192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3.4106051316484809E-13</v>
      </c>
      <c r="GA101" s="18">
        <f>FZ101*VLOOKUP('Données projet'!$B$17,Paramètres!$A$1:$I$89,3,0)*VLOOKUP('Données projet'!$B$17,Paramètres!$A$1:$I$89,5,0)</f>
        <v>2.5006556825246659E-13</v>
      </c>
      <c r="GB101" s="14">
        <f t="shared" si="103"/>
        <v>3.3765445850268018E-12</v>
      </c>
      <c r="GC101" s="22">
        <f t="shared" si="79"/>
        <v>6.3163460169613921E-12</v>
      </c>
      <c r="GD101" s="60">
        <f t="shared" si="80"/>
        <v>276.83665893463768</v>
      </c>
      <c r="GE101" s="60">
        <f ca="1">AVERAGE(OFFSET($GD$3,0,0,'Données projet'!$E$17+1,1))-AVERAGE(OFFSET($H$3,0,0,'Données projet'!$E$17+1,1))</f>
        <v>314.58662400031631</v>
      </c>
      <c r="GF101" s="60">
        <f t="shared" si="104"/>
        <v>336.99073123405981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4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302.27339999999987</v>
      </c>
      <c r="P102" s="14">
        <f t="shared" si="87"/>
        <v>71.652845832409739</v>
      </c>
      <c r="Q102" s="22">
        <f t="shared" si="107"/>
        <v>651.25487815811346</v>
      </c>
      <c r="R102" s="60">
        <f t="shared" si="55"/>
        <v>928.37771751252353</v>
      </c>
      <c r="S102" s="60">
        <f ca="1">AVERAGE(OFFSET($R$3,0,0,'Données projet'!$E$9+1,1))-AVERAGE(OFFSET($H$3,0,0,'Données projet'!$E$9+1,1))</f>
        <v>516.30971934066179</v>
      </c>
      <c r="T102" s="60">
        <f t="shared" si="88"/>
        <v>290.84286505723571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3.4615384615384586</v>
      </c>
      <c r="AI102" s="14">
        <f>IF('Données projet'!$A$62&gt;35,AI101+AH102-AQ101,IF(A102&lt;'Données projet'!$A$62,$AF$205^A102,IF(A102='Données projet'!$A$62,'Données projet'!$B$62,AI101+AH102-AQ101)))</f>
        <v>306.1538461538459</v>
      </c>
      <c r="AJ102" s="14">
        <f>AI102*VLOOKUP('Données projet'!$B$10,Paramètres!$A$1:$I$89,3,0)*VLOOKUP('Données projet'!$B$10,Paramètres!$A$1:$I$89,5,0)</f>
        <v>319.99199999999979</v>
      </c>
      <c r="AK102" s="14">
        <f t="shared" si="89"/>
        <v>75.351689104824757</v>
      </c>
      <c r="AL102" s="22">
        <f t="shared" si="58"/>
        <v>688.55692519090269</v>
      </c>
      <c r="AM102" s="60">
        <f t="shared" si="59"/>
        <v>965.67976454531276</v>
      </c>
      <c r="AN102" s="60">
        <f ca="1">AVERAGE(OFFSET($AM$3,0,0,'Données projet'!$E$10+1,1))-AVERAGE(OFFSET($H$3,0,0,'Données projet'!$E$10+1,1))</f>
        <v>529.00505223594837</v>
      </c>
      <c r="AO102" s="60">
        <f t="shared" si="90"/>
        <v>321.23004033257985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3.4106051316484809E-13</v>
      </c>
      <c r="BE102" s="14">
        <f>BD102*VLOOKUP('Données projet'!$B$11,Paramètres!$A$1:$I$89,3,0)*VLOOKUP('Données projet'!$B$11,Paramètres!$A$1:$I$89,5,0)</f>
        <v>2.9795046430081134E-13</v>
      </c>
      <c r="BF102" s="14">
        <f t="shared" si="91"/>
        <v>3.9419014464513778E-12</v>
      </c>
      <c r="BG102" s="22">
        <f t="shared" si="61"/>
        <v>7.384408744560063E-12</v>
      </c>
      <c r="BH102" s="60">
        <f t="shared" si="62"/>
        <v>277.12283935441752</v>
      </c>
      <c r="BI102" s="60">
        <f ca="1">AVERAGE(OFFSET($BH$3,0,0,'Données projet'!$E$11+1,1))-AVERAGE(OFFSET($H$3,0,0,'Données projet'!$E$11+1,1))</f>
        <v>363.28611056308665</v>
      </c>
      <c r="BJ102" s="60">
        <f t="shared" si="92"/>
        <v>389.43647559455974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298.09999999999985</v>
      </c>
      <c r="BZ102" s="14">
        <f>BY102*VLOOKUP('Données projet'!$B$12,Paramètres!$A$1:$I$89,3,0)*VLOOKUP('Données projet'!$B$12,Paramètres!$A$1:$I$89,5,0)</f>
        <v>320.87483999999984</v>
      </c>
      <c r="CA102" s="14">
        <f t="shared" si="93"/>
        <v>75.535352205297585</v>
      </c>
      <c r="CB102" s="22">
        <f t="shared" si="64"/>
        <v>690.41441809089304</v>
      </c>
      <c r="CC102" s="60">
        <f t="shared" si="65"/>
        <v>967.53725744530311</v>
      </c>
      <c r="CD102" s="60">
        <f ca="1">AVERAGE(OFFSET($CC$3,0,0,'Données projet'!$E$12+1,1))-AVERAGE(OFFSET($H$3,0,0,'Données projet'!$E$12+1,1))</f>
        <v>542.90832990875208</v>
      </c>
      <c r="CE102" s="60">
        <f t="shared" si="94"/>
        <v>304.94365539329362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>
        <f>VLOOKUP(A102,'Données projet'!$A$139:$I$159,2,0)</f>
        <v>397.8692307692308</v>
      </c>
      <c r="CR102" s="13">
        <f>VLOOKUP(A102,'Données projet'!$A$139:$I$159,9,0)</f>
        <v>8.1576923076923151</v>
      </c>
      <c r="CS102" s="13">
        <f t="array" ref="CS102">INDEX(CR:CR,MIN(IF(ISNUMBER(CR102:CR298),ROW(CR102:CR298),"")))</f>
        <v>8.1576923076923151</v>
      </c>
      <c r="CT102" s="13">
        <f>IF('Données projet'!$A$140&gt;35,CT101+CS102-DB101,IF(A102&lt;'Données projet'!$A$140,$CQ$205^A102,IF(A102='Données projet'!$A$140,'Données projet'!$B$140,CT101+CS102-DB101)))</f>
        <v>397.86923076923017</v>
      </c>
      <c r="CU102" s="18">
        <f>CT102*VLOOKUP('Données projet'!$B$13,Paramètres!$A$1:$I$89,3,0)*VLOOKUP('Données projet'!$B$13,Paramètres!$A$1:$I$89,5,0)</f>
        <v>186.20279999999971</v>
      </c>
      <c r="CV102" s="14">
        <f t="shared" si="95"/>
        <v>46.699462038644107</v>
      </c>
      <c r="CW102" s="22">
        <f t="shared" si="67"/>
        <v>405.63810638397126</v>
      </c>
      <c r="CX102" s="60">
        <f t="shared" si="68"/>
        <v>682.76094573838145</v>
      </c>
      <c r="CY102" s="60">
        <f ca="1">AVERAGE(OFFSET($CX$3,0,0,'Données projet'!$E$13+1,1))-AVERAGE(OFFSET($H$3,0,0,'Données projet'!$E$13+1,1))</f>
        <v>277.77877239988635</v>
      </c>
      <c r="CZ102" s="60">
        <f t="shared" si="96"/>
        <v>164.65640238394164</v>
      </c>
      <c r="DA102" s="16">
        <f>IF(ISNA(VLOOKUP(A102,'Données projet'!$A$139:$I$159,3,0)),0,VLOOKUP(A102,'Données projet'!$A$139:$I$159,3,0))</f>
        <v>5</v>
      </c>
      <c r="DB102" s="16">
        <f>IF(ISNA(VLOOKUP(A102,'Données projet'!$A$139:$I$159,4,0)),0,VLOOKUP(A102,'Données projet'!$A$139:$I$159,4,0))</f>
        <v>198.32307692307691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2.6923076923076961</v>
      </c>
      <c r="DO102" s="13">
        <f>IF('Données projet'!$A$166&gt;35,DO101+DN102-DW101,IF(A102&lt;'Données projet'!$A$166,$DL$205^A102,IF(A102='Données projet'!$A$166,'Données projet'!$B$166,DO101+DN102-DW101)))</f>
        <v>231.2820512820513</v>
      </c>
      <c r="DP102" s="18">
        <f>DO102*VLOOKUP('Données projet'!$B$14,Paramètres!$A$1:$I$89,3,0)*VLOOKUP('Données projet'!$B$14,Paramètres!$A$1:$I$89,5,0)</f>
        <v>198.44000000000003</v>
      </c>
      <c r="DQ102" s="14">
        <f t="shared" si="97"/>
        <v>49.401170852255561</v>
      </c>
      <c r="DR102" s="22">
        <f t="shared" si="70"/>
        <v>431.65670590101172</v>
      </c>
      <c r="DS102" s="60">
        <f t="shared" si="71"/>
        <v>708.77954525542191</v>
      </c>
      <c r="DT102" s="60">
        <f ca="1">AVERAGE(OFFSET($DS$3,0,0,'Données projet'!$E$14+1,1))-AVERAGE(OFFSET($H$3,0,0,'Données projet'!$E$14+1,1))</f>
        <v>354.30160274624632</v>
      </c>
      <c r="DU102" s="60">
        <f t="shared" si="98"/>
        <v>218.8005329382452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4.9000000000000004</v>
      </c>
      <c r="EJ102" s="13">
        <f>IF('Données projet'!$A$192&gt;35,EJ101+EI102-ER101,IF(A102&lt;'Données projet'!$A$192,$EG$205^A102,IF(A102='Données projet'!$A$192,'Données projet'!$B$192,EJ101+EI102-ER101)))</f>
        <v>298.09999999999985</v>
      </c>
      <c r="EK102" s="18">
        <f>EJ102*VLOOKUP('Données projet'!$B$15,Paramètres!$A$1:$I$89,3,0)*VLOOKUP('Données projet'!$B$15,Paramètres!$A$1:$I$89,5,0)</f>
        <v>288.32231999999988</v>
      </c>
      <c r="EL102" s="14">
        <f t="shared" si="99"/>
        <v>68.722745094590621</v>
      </c>
      <c r="EM102" s="22">
        <f t="shared" si="73"/>
        <v>621.85348837307845</v>
      </c>
      <c r="EN102" s="60">
        <f t="shared" si="74"/>
        <v>898.97632772748852</v>
      </c>
      <c r="EO102" s="60">
        <f ca="1">AVERAGE(OFFSET($EN$3,0,0,'Données projet'!$E$15+1,1))-AVERAGE(OFFSET($H$3,0,0,'Données projet'!$E$15+1,1))</f>
        <v>496.33873798282525</v>
      </c>
      <c r="EP102" s="60">
        <f t="shared" si="100"/>
        <v>280.25465074992246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3.4106051316484809E-13</v>
      </c>
      <c r="FF102" s="18">
        <f>FE102*VLOOKUP('Données projet'!$B$16,Paramètres!$A$1:$I$89,3,0)*VLOOKUP('Données projet'!$B$16,Paramètres!$A$1:$I$89,5,0)</f>
        <v>2.7666828827932479E-13</v>
      </c>
      <c r="FG102" s="14">
        <f t="shared" si="101"/>
        <v>3.6920483163466686E-12</v>
      </c>
      <c r="FH102" s="22">
        <f t="shared" si="76"/>
        <v>6.9121814197236049E-12</v>
      </c>
      <c r="FI102" s="60">
        <f t="shared" si="77"/>
        <v>277.12283935441707</v>
      </c>
      <c r="FJ102" s="60">
        <f ca="1">AVERAGE(OFFSET($FI$3,0,0,'Données projet'!$E$16+1,1))-AVERAGE(OFFSET($H$3,0,0,'Données projet'!$E$16+1,1))</f>
        <v>341.66430955115521</v>
      </c>
      <c r="FK102" s="60">
        <f t="shared" si="102"/>
        <v>366.15174925159192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3.4106051316484809E-13</v>
      </c>
      <c r="GA102" s="18">
        <f>FZ102*VLOOKUP('Données projet'!$B$17,Paramètres!$A$1:$I$89,3,0)*VLOOKUP('Données projet'!$B$17,Paramètres!$A$1:$I$89,5,0)</f>
        <v>2.5006556825246659E-13</v>
      </c>
      <c r="GB102" s="14">
        <f t="shared" si="103"/>
        <v>3.3765445850268018E-12</v>
      </c>
      <c r="GC102" s="22">
        <f t="shared" si="79"/>
        <v>6.3163460169613921E-12</v>
      </c>
      <c r="GD102" s="60">
        <f t="shared" si="80"/>
        <v>277.12283935441644</v>
      </c>
      <c r="GE102" s="60">
        <f ca="1">AVERAGE(OFFSET($GD$3,0,0,'Données projet'!$E$17+1,1))-AVERAGE(OFFSET($H$3,0,0,'Données projet'!$E$17+1,1))</f>
        <v>314.58662400031631</v>
      </c>
      <c r="GF102" s="60">
        <f t="shared" si="104"/>
        <v>336.99073123405981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4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307.24199999999985</v>
      </c>
      <c r="P103" s="14">
        <f t="shared" si="87"/>
        <v>72.692550770207774</v>
      </c>
      <c r="Q103" s="22">
        <f t="shared" si="107"/>
        <v>661.71934259144484</v>
      </c>
      <c r="R103" s="60">
        <f t="shared" si="55"/>
        <v>939.12339777515399</v>
      </c>
      <c r="S103" s="60">
        <f ca="1">AVERAGE(OFFSET($R$3,0,0,'Données projet'!$E$9+1,1))-AVERAGE(OFFSET($H$3,0,0,'Données projet'!$E$9+1,1))</f>
        <v>516.30971934066179</v>
      </c>
      <c r="T103" s="60">
        <f t="shared" si="88"/>
        <v>290.84286505723571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309.61538461538458</v>
      </c>
      <c r="AG103" s="13">
        <f>VLOOKUP(A103,'Données projet'!$A$61:$I$81,9,0)</f>
        <v>3.4615384615384586</v>
      </c>
      <c r="AH103" s="13">
        <f t="array" ref="AH103">INDEX(AG:AG,MIN(IF(ISNUMBER(AG103:AG299),ROW(AG103:AG299),"")))</f>
        <v>3.4615384615384586</v>
      </c>
      <c r="AI103" s="14">
        <f>IF('Données projet'!$A$62&gt;35,AI102+AH103-AQ102,IF(A103&lt;'Données projet'!$A$62,$AF$205^A103,IF(A103='Données projet'!$A$62,'Données projet'!$B$62,AI102+AH103-AQ102)))</f>
        <v>309.61538461538436</v>
      </c>
      <c r="AJ103" s="14">
        <f>AI103*VLOOKUP('Données projet'!$B$10,Paramètres!$A$1:$I$89,3,0)*VLOOKUP('Données projet'!$B$10,Paramètres!$A$1:$I$89,5,0)</f>
        <v>323.60999999999979</v>
      </c>
      <c r="AK103" s="14">
        <f t="shared" si="89"/>
        <v>76.103993258558603</v>
      </c>
      <c r="AL103" s="22">
        <f t="shared" si="58"/>
        <v>696.16853825865599</v>
      </c>
      <c r="AM103" s="60">
        <f t="shared" si="59"/>
        <v>973.57259344236513</v>
      </c>
      <c r="AN103" s="60">
        <f ca="1">AVERAGE(OFFSET($AM$3,0,0,'Données projet'!$E$10+1,1))-AVERAGE(OFFSET($H$3,0,0,'Données projet'!$E$10+1,1))</f>
        <v>529.00505223594837</v>
      </c>
      <c r="AO103" s="60">
        <f t="shared" si="90"/>
        <v>321.23004033257985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20.512820512820511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3.4106051316484809E-13</v>
      </c>
      <c r="BE103" s="14">
        <f>BD103*VLOOKUP('Données projet'!$B$11,Paramètres!$A$1:$I$89,3,0)*VLOOKUP('Données projet'!$B$11,Paramètres!$A$1:$I$89,5,0)</f>
        <v>2.9795046430081134E-13</v>
      </c>
      <c r="BF103" s="14">
        <f t="shared" si="91"/>
        <v>3.9419014464513778E-12</v>
      </c>
      <c r="BG103" s="22">
        <f t="shared" si="61"/>
        <v>7.384408744560063E-12</v>
      </c>
      <c r="BH103" s="60">
        <f t="shared" si="62"/>
        <v>277.40405518371659</v>
      </c>
      <c r="BI103" s="60">
        <f ca="1">AVERAGE(OFFSET($BH$3,0,0,'Données projet'!$E$11+1,1))-AVERAGE(OFFSET($H$3,0,0,'Données projet'!$E$11+1,1))</f>
        <v>363.28611056308665</v>
      </c>
      <c r="BJ103" s="60">
        <f t="shared" si="92"/>
        <v>389.43647559455974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302.99999999999983</v>
      </c>
      <c r="BZ103" s="14">
        <f>BY103*VLOOKUP('Données projet'!$B$12,Paramètres!$A$1:$I$89,3,0)*VLOOKUP('Données projet'!$B$12,Paramètres!$A$1:$I$89,5,0)</f>
        <v>326.14919999999984</v>
      </c>
      <c r="CA103" s="14">
        <f t="shared" si="93"/>
        <v>76.631393510479555</v>
      </c>
      <c r="CB103" s="22">
        <f t="shared" si="64"/>
        <v>701.50953369741819</v>
      </c>
      <c r="CC103" s="60">
        <f t="shared" si="65"/>
        <v>978.91358888112745</v>
      </c>
      <c r="CD103" s="60">
        <f ca="1">AVERAGE(OFFSET($CC$3,0,0,'Données projet'!$E$12+1,1))-AVERAGE(OFFSET($H$3,0,0,'Données projet'!$E$12+1,1))</f>
        <v>542.90832990875208</v>
      </c>
      <c r="CE103" s="60">
        <f t="shared" si="94"/>
        <v>304.94365539329362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5.849230769230763</v>
      </c>
      <c r="CT103" s="13">
        <f>IF('Données projet'!$A$140&gt;35,CT102+CS103-DB102,IF(A103&lt;'Données projet'!$A$140,$CQ$205^A103,IF(A103='Données projet'!$A$140,'Données projet'!$B$140,CT102+CS103-DB102)))</f>
        <v>205.39538461538402</v>
      </c>
      <c r="CU103" s="18">
        <f>CT103*VLOOKUP('Données projet'!$B$13,Paramètres!$A$1:$I$89,3,0)*VLOOKUP('Données projet'!$B$13,Paramètres!$A$1:$I$89,5,0)</f>
        <v>96.125039999999714</v>
      </c>
      <c r="CV103" s="14">
        <f t="shared" si="95"/>
        <v>26.03672918496029</v>
      </c>
      <c r="CW103" s="22">
        <f t="shared" si="67"/>
        <v>212.76508133047199</v>
      </c>
      <c r="CX103" s="60">
        <f t="shared" si="68"/>
        <v>490.16913651418122</v>
      </c>
      <c r="CY103" s="60">
        <f ca="1">AVERAGE(OFFSET($CX$3,0,0,'Données projet'!$E$13+1,1))-AVERAGE(OFFSET($H$3,0,0,'Données projet'!$E$13+1,1))</f>
        <v>277.77877239988635</v>
      </c>
      <c r="CZ103" s="60">
        <f t="shared" si="96"/>
        <v>164.65640238394164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233.97435897435898</v>
      </c>
      <c r="DM103" s="13">
        <f>VLOOKUP(A103,'Données projet'!$A$165:$I$185,9,0)</f>
        <v>2.6923076923076961</v>
      </c>
      <c r="DN103" s="13">
        <f t="array" ref="DN103">INDEX(DM:DM,MIN(IF(ISNUMBER(DM103:DM299),ROW(DM103:DM299),"")))</f>
        <v>2.6923076923076961</v>
      </c>
      <c r="DO103" s="13">
        <f>IF('Données projet'!$A$166&gt;35,DO102+DN103-DW102,IF(A103&lt;'Données projet'!$A$166,$DL$205^A103,IF(A103='Données projet'!$A$166,'Données projet'!$B$166,DO102+DN103-DW102)))</f>
        <v>233.97435897435901</v>
      </c>
      <c r="DP103" s="18">
        <f>DO103*VLOOKUP('Données projet'!$B$14,Paramètres!$A$1:$I$89,3,0)*VLOOKUP('Données projet'!$B$14,Paramètres!$A$1:$I$89,5,0)</f>
        <v>200.75000000000006</v>
      </c>
      <c r="DQ103" s="14">
        <f t="shared" si="97"/>
        <v>49.908959101684808</v>
      </c>
      <c r="DR103" s="22">
        <f t="shared" si="70"/>
        <v>436.56435376876772</v>
      </c>
      <c r="DS103" s="60">
        <f t="shared" si="71"/>
        <v>713.96840895247692</v>
      </c>
      <c r="DT103" s="60">
        <f ca="1">AVERAGE(OFFSET($DS$3,0,0,'Données projet'!$E$14+1,1))-AVERAGE(OFFSET($H$3,0,0,'Données projet'!$E$14+1,1))</f>
        <v>354.30160274624632</v>
      </c>
      <c r="DU103" s="60">
        <f t="shared" si="98"/>
        <v>218.8005329382452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16.025641025641026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303</v>
      </c>
      <c r="EH103" s="13">
        <f>VLOOKUP(A103,'Données projet'!$A$191:$I$211,9,0)</f>
        <v>4.9000000000000004</v>
      </c>
      <c r="EI103" s="13">
        <f t="array" ref="EI103">INDEX(EH:EH,MIN(IF(ISNUMBER(EH103:EH299),ROW(EH103:EH299),"")))</f>
        <v>4.9000000000000004</v>
      </c>
      <c r="EJ103" s="13">
        <f>IF('Données projet'!$A$192&gt;35,EJ102+EI103-ER102,IF(A103&lt;'Données projet'!$A$192,$EG$205^A103,IF(A103='Données projet'!$A$192,'Données projet'!$B$192,EJ102+EI103-ER102)))</f>
        <v>302.99999999999983</v>
      </c>
      <c r="EK103" s="18">
        <f>EJ103*VLOOKUP('Données projet'!$B$15,Paramètres!$A$1:$I$89,3,0)*VLOOKUP('Données projet'!$B$15,Paramètres!$A$1:$I$89,5,0)</f>
        <v>293.06159999999983</v>
      </c>
      <c r="EL103" s="14">
        <f t="shared" si="99"/>
        <v>69.719933365116546</v>
      </c>
      <c r="EM103" s="22">
        <f t="shared" si="73"/>
        <v>631.84450394424437</v>
      </c>
      <c r="EN103" s="60">
        <f t="shared" si="74"/>
        <v>909.24855912795351</v>
      </c>
      <c r="EO103" s="60">
        <f ca="1">AVERAGE(OFFSET($EN$3,0,0,'Données projet'!$E$15+1,1))-AVERAGE(OFFSET($H$3,0,0,'Données projet'!$E$15+1,1))</f>
        <v>496.33873798282525</v>
      </c>
      <c r="EP103" s="60">
        <f t="shared" si="100"/>
        <v>280.25465074992246</v>
      </c>
      <c r="EQ103" s="16">
        <f>IF(ISNA(VLOOKUP(A103,'Données projet'!$A$191:$I$211,3,0)),0,VLOOKUP(A103,'Données projet'!$A$191:$I$211,3,0))</f>
        <v>8</v>
      </c>
      <c r="ER103" s="16">
        <f>IF(ISNA(VLOOKUP(A103,'Données projet'!$A$191:$I$211,4,0)),0,VLOOKUP(A103,'Données projet'!$A$191:$I$211,4,0))</f>
        <v>42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3.4106051316484809E-13</v>
      </c>
      <c r="FF103" s="18">
        <f>FE103*VLOOKUP('Données projet'!$B$16,Paramètres!$A$1:$I$89,3,0)*VLOOKUP('Données projet'!$B$16,Paramètres!$A$1:$I$89,5,0)</f>
        <v>2.7666828827932479E-13</v>
      </c>
      <c r="FG103" s="14">
        <f t="shared" si="101"/>
        <v>3.6920483163466686E-12</v>
      </c>
      <c r="FH103" s="22">
        <f t="shared" si="76"/>
        <v>6.9121814197236049E-12</v>
      </c>
      <c r="FI103" s="60">
        <f t="shared" si="77"/>
        <v>277.40405518371614</v>
      </c>
      <c r="FJ103" s="60">
        <f ca="1">AVERAGE(OFFSET($FI$3,0,0,'Données projet'!$E$16+1,1))-AVERAGE(OFFSET($H$3,0,0,'Données projet'!$E$16+1,1))</f>
        <v>341.66430955115521</v>
      </c>
      <c r="FK103" s="60">
        <f t="shared" si="102"/>
        <v>366.15174925159192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3.4106051316484809E-13</v>
      </c>
      <c r="GA103" s="18">
        <f>FZ103*VLOOKUP('Données projet'!$B$17,Paramètres!$A$1:$I$89,3,0)*VLOOKUP('Données projet'!$B$17,Paramètres!$A$1:$I$89,5,0)</f>
        <v>2.5006556825246659E-13</v>
      </c>
      <c r="GB103" s="14">
        <f t="shared" si="103"/>
        <v>3.3765445850268018E-12</v>
      </c>
      <c r="GC103" s="22">
        <f t="shared" si="79"/>
        <v>6.3163460169613921E-12</v>
      </c>
      <c r="GD103" s="60">
        <f t="shared" si="80"/>
        <v>277.40405518371551</v>
      </c>
      <c r="GE103" s="60">
        <f ca="1">AVERAGE(OFFSET($GD$3,0,0,'Données projet'!$E$17+1,1))-AVERAGE(OFFSET($H$3,0,0,'Données projet'!$E$17+1,1))</f>
        <v>314.58662400031631</v>
      </c>
      <c r="GF103" s="60">
        <f t="shared" si="104"/>
        <v>336.99073123405981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4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269.1155999999998</v>
      </c>
      <c r="P104" s="14">
        <f t="shared" si="87"/>
        <v>64.661541462287076</v>
      </c>
      <c r="Q104" s="22">
        <f t="shared" si="107"/>
        <v>581.3285213801496</v>
      </c>
      <c r="R104" s="60">
        <f t="shared" si="55"/>
        <v>859.00891392722406</v>
      </c>
      <c r="S104" s="60">
        <f ca="1">AVERAGE(OFFSET($R$3,0,0,'Données projet'!$E$9+1,1))-AVERAGE(OFFSET($H$3,0,0,'Données projet'!$E$9+1,1))</f>
        <v>516.30971934066179</v>
      </c>
      <c r="T104" s="60">
        <f t="shared" si="88"/>
        <v>290.84286505723571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3.2051282051282044</v>
      </c>
      <c r="AI104" s="14">
        <f>IF('Données projet'!$A$62&gt;35,AI103+AH104-AQ103,IF(A104&lt;'Données projet'!$A$62,$AF$205^A104,IF(A104='Données projet'!$A$62,'Données projet'!$B$62,AI103+AH104-AQ103)))</f>
        <v>292.30769230769209</v>
      </c>
      <c r="AJ104" s="14">
        <f>AI104*VLOOKUP('Données projet'!$B$10,Paramètres!$A$1:$I$89,3,0)*VLOOKUP('Données projet'!$B$10,Paramètres!$A$1:$I$89,5,0)</f>
        <v>305.51999999999981</v>
      </c>
      <c r="AK104" s="14">
        <f t="shared" si="89"/>
        <v>72.332436678206648</v>
      </c>
      <c r="AL104" s="22">
        <f t="shared" si="58"/>
        <v>658.09299388120962</v>
      </c>
      <c r="AM104" s="60">
        <f t="shared" si="59"/>
        <v>935.77338642828408</v>
      </c>
      <c r="AN104" s="60">
        <f ca="1">AVERAGE(OFFSET($AM$3,0,0,'Données projet'!$E$10+1,1))-AVERAGE(OFFSET($H$3,0,0,'Données projet'!$E$10+1,1))</f>
        <v>529.00505223594837</v>
      </c>
      <c r="AO104" s="60">
        <f t="shared" si="90"/>
        <v>321.23004033257985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3.4106051316484809E-13</v>
      </c>
      <c r="BE104" s="14">
        <f>BD104*VLOOKUP('Données projet'!$B$11,Paramètres!$A$1:$I$89,3,0)*VLOOKUP('Données projet'!$B$11,Paramètres!$A$1:$I$89,5,0)</f>
        <v>2.9795046430081134E-13</v>
      </c>
      <c r="BF104" s="14">
        <f t="shared" si="91"/>
        <v>3.9419014464513778E-12</v>
      </c>
      <c r="BG104" s="22">
        <f t="shared" si="61"/>
        <v>7.384408744560063E-12</v>
      </c>
      <c r="BH104" s="60">
        <f t="shared" si="62"/>
        <v>277.68039254708179</v>
      </c>
      <c r="BI104" s="60">
        <f ca="1">AVERAGE(OFFSET($BH$3,0,0,'Données projet'!$E$11+1,1))-AVERAGE(OFFSET($H$3,0,0,'Données projet'!$E$11+1,1))</f>
        <v>363.28611056308665</v>
      </c>
      <c r="BJ104" s="60">
        <f t="shared" si="92"/>
        <v>389.43647559455974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265.39999999999981</v>
      </c>
      <c r="BZ104" s="14">
        <f>BY104*VLOOKUP('Données projet'!$B$12,Paramètres!$A$1:$I$89,3,0)*VLOOKUP('Données projet'!$B$12,Paramètres!$A$1:$I$89,5,0)</f>
        <v>285.67655999999977</v>
      </c>
      <c r="CA104" s="14">
        <f t="shared" si="93"/>
        <v>68.165224308258956</v>
      </c>
      <c r="CB104" s="22">
        <f t="shared" si="64"/>
        <v>616.27444100355058</v>
      </c>
      <c r="CC104" s="60">
        <f t="shared" si="65"/>
        <v>893.95483355062493</v>
      </c>
      <c r="CD104" s="60">
        <f ca="1">AVERAGE(OFFSET($CC$3,0,0,'Données projet'!$E$12+1,1))-AVERAGE(OFFSET($H$3,0,0,'Données projet'!$E$12+1,1))</f>
        <v>542.90832990875208</v>
      </c>
      <c r="CE104" s="60">
        <f t="shared" si="94"/>
        <v>304.94365539329362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5.849230769230763</v>
      </c>
      <c r="CT104" s="13">
        <f>IF('Données projet'!$A$140&gt;35,CT103+CS104-DB103,IF(A104&lt;'Données projet'!$A$140,$CQ$205^A104,IF(A104='Données projet'!$A$140,'Données projet'!$B$140,CT103+CS104-DB103)))</f>
        <v>211.24461538461478</v>
      </c>
      <c r="CU104" s="18">
        <f>CT104*VLOOKUP('Données projet'!$B$13,Paramètres!$A$1:$I$89,3,0)*VLOOKUP('Données projet'!$B$13,Paramètres!$A$1:$I$89,5,0)</f>
        <v>98.862479999999707</v>
      </c>
      <c r="CV104" s="14">
        <f t="shared" si="95"/>
        <v>26.690818919395912</v>
      </c>
      <c r="CW104" s="22">
        <f t="shared" si="67"/>
        <v>218.67199561794735</v>
      </c>
      <c r="CX104" s="60">
        <f t="shared" si="68"/>
        <v>496.35238816502175</v>
      </c>
      <c r="CY104" s="60">
        <f ca="1">AVERAGE(OFFSET($CX$3,0,0,'Données projet'!$E$13+1,1))-AVERAGE(OFFSET($H$3,0,0,'Données projet'!$E$13+1,1))</f>
        <v>277.77877239988635</v>
      </c>
      <c r="CZ104" s="60">
        <f t="shared" si="96"/>
        <v>164.65640238394164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2.4999999999999973</v>
      </c>
      <c r="DO104" s="13">
        <f>IF('Données projet'!$A$166&gt;35,DO103+DN104-DW103,IF(A104&lt;'Données projet'!$A$166,$DL$205^A104,IF(A104='Données projet'!$A$166,'Données projet'!$B$166,DO103+DN104-DW103)))</f>
        <v>220.44871794871798</v>
      </c>
      <c r="DP104" s="18">
        <f>DO104*VLOOKUP('Données projet'!$B$14,Paramètres!$A$1:$I$89,3,0)*VLOOKUP('Données projet'!$B$14,Paramètres!$A$1:$I$89,5,0)</f>
        <v>189.14500000000007</v>
      </c>
      <c r="DQ104" s="14">
        <f t="shared" si="97"/>
        <v>47.350874901071805</v>
      </c>
      <c r="DR104" s="22">
        <f t="shared" si="70"/>
        <v>411.89698211936684</v>
      </c>
      <c r="DS104" s="60">
        <f t="shared" si="71"/>
        <v>689.5773746664413</v>
      </c>
      <c r="DT104" s="60">
        <f ca="1">AVERAGE(OFFSET($DS$3,0,0,'Données projet'!$E$14+1,1))-AVERAGE(OFFSET($H$3,0,0,'Données projet'!$E$14+1,1))</f>
        <v>354.30160274624632</v>
      </c>
      <c r="DU104" s="60">
        <f t="shared" si="98"/>
        <v>218.8005329382452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4.4000000000000004</v>
      </c>
      <c r="EJ104" s="13">
        <f>IF('Données projet'!$A$192&gt;35,EJ103+EI104-ER103,IF(A104&lt;'Données projet'!$A$192,$EG$205^A104,IF(A104='Données projet'!$A$192,'Données projet'!$B$192,EJ103+EI104-ER103)))</f>
        <v>265.39999999999981</v>
      </c>
      <c r="EK104" s="18">
        <f>EJ104*VLOOKUP('Données projet'!$B$15,Paramètres!$A$1:$I$89,3,0)*VLOOKUP('Données projet'!$B$15,Paramètres!$A$1:$I$89,5,0)</f>
        <v>256.69487999999984</v>
      </c>
      <c r="EL104" s="14">
        <f t="shared" si="99"/>
        <v>62.017336223177502</v>
      </c>
      <c r="EM104" s="22">
        <f t="shared" si="73"/>
        <v>555.09044325536718</v>
      </c>
      <c r="EN104" s="60">
        <f t="shared" si="74"/>
        <v>832.77083580244152</v>
      </c>
      <c r="EO104" s="60">
        <f ca="1">AVERAGE(OFFSET($EN$3,0,0,'Données projet'!$E$15+1,1))-AVERAGE(OFFSET($H$3,0,0,'Données projet'!$E$15+1,1))</f>
        <v>496.33873798282525</v>
      </c>
      <c r="EP104" s="60">
        <f t="shared" si="100"/>
        <v>280.25465074992246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3.4106051316484809E-13</v>
      </c>
      <c r="FF104" s="18">
        <f>FE104*VLOOKUP('Données projet'!$B$16,Paramètres!$A$1:$I$89,3,0)*VLOOKUP('Données projet'!$B$16,Paramètres!$A$1:$I$89,5,0)</f>
        <v>2.7666828827932479E-13</v>
      </c>
      <c r="FG104" s="14">
        <f t="shared" si="101"/>
        <v>3.6920483163466686E-12</v>
      </c>
      <c r="FH104" s="22">
        <f t="shared" si="76"/>
        <v>6.9121814197236049E-12</v>
      </c>
      <c r="FI104" s="60">
        <f t="shared" si="77"/>
        <v>277.68039254708134</v>
      </c>
      <c r="FJ104" s="60">
        <f ca="1">AVERAGE(OFFSET($FI$3,0,0,'Données projet'!$E$16+1,1))-AVERAGE(OFFSET($H$3,0,0,'Données projet'!$E$16+1,1))</f>
        <v>341.66430955115521</v>
      </c>
      <c r="FK104" s="60">
        <f t="shared" si="102"/>
        <v>366.15174925159192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3.4106051316484809E-13</v>
      </c>
      <c r="GA104" s="18">
        <f>FZ104*VLOOKUP('Données projet'!$B$17,Paramètres!$A$1:$I$89,3,0)*VLOOKUP('Données projet'!$B$17,Paramètres!$A$1:$I$89,5,0)</f>
        <v>2.5006556825246659E-13</v>
      </c>
      <c r="GB104" s="14">
        <f t="shared" si="103"/>
        <v>3.3765445850268018E-12</v>
      </c>
      <c r="GC104" s="22">
        <f t="shared" si="79"/>
        <v>6.3163460169613921E-12</v>
      </c>
      <c r="GD104" s="60">
        <f t="shared" si="80"/>
        <v>277.68039254708071</v>
      </c>
      <c r="GE104" s="60">
        <f ca="1">AVERAGE(OFFSET($GD$3,0,0,'Données projet'!$E$17+1,1))-AVERAGE(OFFSET($H$3,0,0,'Données projet'!$E$17+1,1))</f>
        <v>314.58662400031631</v>
      </c>
      <c r="GF104" s="60">
        <f t="shared" si="104"/>
        <v>336.99073123405981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4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273.57719999999978</v>
      </c>
      <c r="P105" s="14">
        <f t="shared" si="87"/>
        <v>65.60785888991505</v>
      </c>
      <c r="Q105" s="22">
        <f t="shared" si="107"/>
        <v>590.74731089993509</v>
      </c>
      <c r="R105" s="60">
        <f t="shared" si="55"/>
        <v>868.69924697491797</v>
      </c>
      <c r="S105" s="60">
        <f ca="1">AVERAGE(OFFSET($R$3,0,0,'Données projet'!$E$9+1,1))-AVERAGE(OFFSET($H$3,0,0,'Données projet'!$E$9+1,1))</f>
        <v>516.30971934066179</v>
      </c>
      <c r="T105" s="60">
        <f t="shared" si="88"/>
        <v>290.84286505723571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3.2051282051282044</v>
      </c>
      <c r="AI105" s="14">
        <f>IF('Données projet'!$A$62&gt;35,AI104+AH105-AQ104,IF(A105&lt;'Données projet'!$A$62,$AF$205^A105,IF(A105='Données projet'!$A$62,'Données projet'!$B$62,AI104+AH105-AQ104)))</f>
        <v>295.51282051282033</v>
      </c>
      <c r="AJ105" s="14">
        <f>AI105*VLOOKUP('Données projet'!$B$10,Paramètres!$A$1:$I$89,3,0)*VLOOKUP('Données projet'!$B$10,Paramètres!$A$1:$I$89,5,0)</f>
        <v>308.86999999999983</v>
      </c>
      <c r="AK105" s="14">
        <f t="shared" si="89"/>
        <v>73.032791063818379</v>
      </c>
      <c r="AL105" s="22">
        <f t="shared" si="58"/>
        <v>665.14736110281672</v>
      </c>
      <c r="AM105" s="60">
        <f t="shared" si="59"/>
        <v>943.0992971777996</v>
      </c>
      <c r="AN105" s="60">
        <f ca="1">AVERAGE(OFFSET($AM$3,0,0,'Données projet'!$E$10+1,1))-AVERAGE(OFFSET($H$3,0,0,'Données projet'!$E$10+1,1))</f>
        <v>529.00505223594837</v>
      </c>
      <c r="AO105" s="60">
        <f t="shared" si="90"/>
        <v>321.23004033257985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3.4106051316484809E-13</v>
      </c>
      <c r="BE105" s="14">
        <f>BD105*VLOOKUP('Données projet'!$B$11,Paramètres!$A$1:$I$89,3,0)*VLOOKUP('Données projet'!$B$11,Paramètres!$A$1:$I$89,5,0)</f>
        <v>2.9795046430081134E-13</v>
      </c>
      <c r="BF105" s="14">
        <f t="shared" si="91"/>
        <v>3.9419014464513778E-12</v>
      </c>
      <c r="BG105" s="22">
        <f t="shared" si="61"/>
        <v>7.384408744560063E-12</v>
      </c>
      <c r="BH105" s="60">
        <f t="shared" si="62"/>
        <v>277.95193607499033</v>
      </c>
      <c r="BI105" s="60">
        <f ca="1">AVERAGE(OFFSET($BH$3,0,0,'Données projet'!$E$11+1,1))-AVERAGE(OFFSET($H$3,0,0,'Données projet'!$E$11+1,1))</f>
        <v>363.28611056308665</v>
      </c>
      <c r="BJ105" s="60">
        <f t="shared" si="92"/>
        <v>389.43647559455974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269.79999999999978</v>
      </c>
      <c r="BZ105" s="14">
        <f>BY105*VLOOKUP('Données projet'!$B$12,Paramètres!$A$1:$I$89,3,0)*VLOOKUP('Données projet'!$B$12,Paramètres!$A$1:$I$89,5,0)</f>
        <v>290.41271999999975</v>
      </c>
      <c r="CA105" s="14">
        <f t="shared" si="93"/>
        <v>69.162817905044719</v>
      </c>
      <c r="CB105" s="22">
        <f t="shared" si="64"/>
        <v>626.26072851795254</v>
      </c>
      <c r="CC105" s="60">
        <f t="shared" si="65"/>
        <v>904.21266459293543</v>
      </c>
      <c r="CD105" s="60">
        <f ca="1">AVERAGE(OFFSET($CC$3,0,0,'Données projet'!$E$12+1,1))-AVERAGE(OFFSET($H$3,0,0,'Données projet'!$E$12+1,1))</f>
        <v>542.90832990875208</v>
      </c>
      <c r="CE105" s="60">
        <f t="shared" si="94"/>
        <v>304.94365539329362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5.849230769230763</v>
      </c>
      <c r="CT105" s="13">
        <f>IF('Données projet'!$A$140&gt;35,CT104+CS105-DB104,IF(A105&lt;'Données projet'!$A$140,$CQ$205^A105,IF(A105='Données projet'!$A$140,'Données projet'!$B$140,CT104+CS105-DB104)))</f>
        <v>217.09384615384553</v>
      </c>
      <c r="CU105" s="18">
        <f>CT105*VLOOKUP('Données projet'!$B$13,Paramètres!$A$1:$I$89,3,0)*VLOOKUP('Données projet'!$B$13,Paramètres!$A$1:$I$89,5,0)</f>
        <v>101.59991999999971</v>
      </c>
      <c r="CV105" s="14">
        <f t="shared" si="95"/>
        <v>27.342803604001922</v>
      </c>
      <c r="CW105" s="22">
        <f t="shared" si="67"/>
        <v>224.57524361030281</v>
      </c>
      <c r="CX105" s="60">
        <f t="shared" si="68"/>
        <v>502.52717968528577</v>
      </c>
      <c r="CY105" s="60">
        <f ca="1">AVERAGE(OFFSET($CX$3,0,0,'Données projet'!$E$13+1,1))-AVERAGE(OFFSET($H$3,0,0,'Données projet'!$E$13+1,1))</f>
        <v>277.77877239988635</v>
      </c>
      <c r="CZ105" s="60">
        <f t="shared" si="96"/>
        <v>164.65640238394164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2.4999999999999973</v>
      </c>
      <c r="DO105" s="13">
        <f>IF('Données projet'!$A$166&gt;35,DO104+DN105-DW104,IF(A105&lt;'Données projet'!$A$166,$DL$205^A105,IF(A105='Données projet'!$A$166,'Données projet'!$B$166,DO104+DN105-DW104)))</f>
        <v>222.94871794871798</v>
      </c>
      <c r="DP105" s="18">
        <f>DO105*VLOOKUP('Données projet'!$B$14,Paramètres!$A$1:$I$89,3,0)*VLOOKUP('Données projet'!$B$14,Paramètres!$A$1:$I$89,5,0)</f>
        <v>191.29000000000005</v>
      </c>
      <c r="DQ105" s="14">
        <f t="shared" si="97"/>
        <v>47.825041122950864</v>
      </c>
      <c r="DR105" s="22">
        <f t="shared" si="70"/>
        <v>416.45869662247281</v>
      </c>
      <c r="DS105" s="60">
        <f t="shared" si="71"/>
        <v>694.41063269745575</v>
      </c>
      <c r="DT105" s="60">
        <f ca="1">AVERAGE(OFFSET($DS$3,0,0,'Données projet'!$E$14+1,1))-AVERAGE(OFFSET($H$3,0,0,'Données projet'!$E$14+1,1))</f>
        <v>354.30160274624632</v>
      </c>
      <c r="DU105" s="60">
        <f t="shared" si="98"/>
        <v>218.8005329382452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4.4000000000000004</v>
      </c>
      <c r="EJ105" s="13">
        <f>IF('Données projet'!$A$192&gt;35,EJ104+EI105-ER104,IF(A105&lt;'Données projet'!$A$192,$EG$205^A105,IF(A105='Données projet'!$A$192,'Données projet'!$B$192,EJ104+EI105-ER104)))</f>
        <v>269.79999999999978</v>
      </c>
      <c r="EK105" s="18">
        <f>EJ105*VLOOKUP('Données projet'!$B$15,Paramètres!$A$1:$I$89,3,0)*VLOOKUP('Données projet'!$B$15,Paramètres!$A$1:$I$89,5,0)</f>
        <v>260.95055999999983</v>
      </c>
      <c r="EL105" s="14">
        <f t="shared" si="99"/>
        <v>62.924955880176938</v>
      </c>
      <c r="EM105" s="22">
        <f t="shared" si="73"/>
        <v>564.08319015797451</v>
      </c>
      <c r="EN105" s="60">
        <f t="shared" si="74"/>
        <v>842.03512623295751</v>
      </c>
      <c r="EO105" s="60">
        <f ca="1">AVERAGE(OFFSET($EN$3,0,0,'Données projet'!$E$15+1,1))-AVERAGE(OFFSET($H$3,0,0,'Données projet'!$E$15+1,1))</f>
        <v>496.33873798282525</v>
      </c>
      <c r="EP105" s="60">
        <f t="shared" si="100"/>
        <v>280.25465074992246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3.4106051316484809E-13</v>
      </c>
      <c r="FF105" s="18">
        <f>FE105*VLOOKUP('Données projet'!$B$16,Paramètres!$A$1:$I$89,3,0)*VLOOKUP('Données projet'!$B$16,Paramètres!$A$1:$I$89,5,0)</f>
        <v>2.7666828827932479E-13</v>
      </c>
      <c r="FG105" s="14">
        <f t="shared" si="101"/>
        <v>3.6920483163466686E-12</v>
      </c>
      <c r="FH105" s="22">
        <f t="shared" si="76"/>
        <v>6.9121814197236049E-12</v>
      </c>
      <c r="FI105" s="60">
        <f t="shared" si="77"/>
        <v>277.95193607498987</v>
      </c>
      <c r="FJ105" s="60">
        <f ca="1">AVERAGE(OFFSET($FI$3,0,0,'Données projet'!$E$16+1,1))-AVERAGE(OFFSET($H$3,0,0,'Données projet'!$E$16+1,1))</f>
        <v>341.66430955115521</v>
      </c>
      <c r="FK105" s="60">
        <f t="shared" si="102"/>
        <v>366.15174925159192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3.4106051316484809E-13</v>
      </c>
      <c r="GA105" s="18">
        <f>FZ105*VLOOKUP('Données projet'!$B$17,Paramètres!$A$1:$I$89,3,0)*VLOOKUP('Données projet'!$B$17,Paramètres!$A$1:$I$89,5,0)</f>
        <v>2.5006556825246659E-13</v>
      </c>
      <c r="GB105" s="14">
        <f t="shared" si="103"/>
        <v>3.3765445850268018E-12</v>
      </c>
      <c r="GC105" s="22">
        <f t="shared" si="79"/>
        <v>6.3163460169613921E-12</v>
      </c>
      <c r="GD105" s="60">
        <f t="shared" si="80"/>
        <v>277.95193607498925</v>
      </c>
      <c r="GE105" s="60">
        <f ca="1">AVERAGE(OFFSET($GD$3,0,0,'Données projet'!$E$17+1,1))-AVERAGE(OFFSET($H$3,0,0,'Données projet'!$E$17+1,1))</f>
        <v>314.58662400031631</v>
      </c>
      <c r="GF105" s="60">
        <f t="shared" si="104"/>
        <v>336.99073123405981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4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278.03879999999975</v>
      </c>
      <c r="P106" s="14">
        <f t="shared" si="87"/>
        <v>66.552381547717744</v>
      </c>
      <c r="Q106" s="22">
        <f t="shared" si="107"/>
        <v>600.16297452894128</v>
      </c>
      <c r="R106" s="60">
        <f t="shared" si="55"/>
        <v>878.38174345870402</v>
      </c>
      <c r="S106" s="60">
        <f ca="1">AVERAGE(OFFSET($R$3,0,0,'Données projet'!$E$9+1,1))-AVERAGE(OFFSET($H$3,0,0,'Données projet'!$E$9+1,1))</f>
        <v>516.30971934066179</v>
      </c>
      <c r="T106" s="60">
        <f t="shared" si="88"/>
        <v>290.84286505723571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3.2051282051282044</v>
      </c>
      <c r="AI106" s="14">
        <f>IF('Données projet'!$A$62&gt;35,AI105+AH106-AQ105,IF(A106&lt;'Données projet'!$A$62,$AF$205^A106,IF(A106='Données projet'!$A$62,'Données projet'!$B$62,AI105+AH106-AQ105)))</f>
        <v>298.7179487179485</v>
      </c>
      <c r="AJ106" s="14">
        <f>AI106*VLOOKUP('Données projet'!$B$10,Paramètres!$A$1:$I$89,3,0)*VLOOKUP('Données projet'!$B$10,Paramètres!$A$1:$I$89,5,0)</f>
        <v>312.2199999999998</v>
      </c>
      <c r="AK106" s="14">
        <f t="shared" si="89"/>
        <v>73.732261810577455</v>
      </c>
      <c r="AL106" s="22">
        <f t="shared" si="58"/>
        <v>672.20018932008873</v>
      </c>
      <c r="AM106" s="60">
        <f t="shared" si="59"/>
        <v>950.41895824985136</v>
      </c>
      <c r="AN106" s="60">
        <f ca="1">AVERAGE(OFFSET($AM$3,0,0,'Données projet'!$E$10+1,1))-AVERAGE(OFFSET($H$3,0,0,'Données projet'!$E$10+1,1))</f>
        <v>529.00505223594837</v>
      </c>
      <c r="AO106" s="60">
        <f t="shared" si="90"/>
        <v>321.23004033257985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3.4106051316484809E-13</v>
      </c>
      <c r="BE106" s="14">
        <f>BD106*VLOOKUP('Données projet'!$B$11,Paramètres!$A$1:$I$89,3,0)*VLOOKUP('Données projet'!$B$11,Paramètres!$A$1:$I$89,5,0)</f>
        <v>2.9795046430081134E-13</v>
      </c>
      <c r="BF106" s="14">
        <f t="shared" si="91"/>
        <v>3.9419014464513778E-12</v>
      </c>
      <c r="BG106" s="22">
        <f t="shared" si="61"/>
        <v>7.384408744560063E-12</v>
      </c>
      <c r="BH106" s="60">
        <f t="shared" si="62"/>
        <v>278.21876892977008</v>
      </c>
      <c r="BI106" s="60">
        <f ca="1">AVERAGE(OFFSET($BH$3,0,0,'Données projet'!$E$11+1,1))-AVERAGE(OFFSET($H$3,0,0,'Données projet'!$E$11+1,1))</f>
        <v>363.28611056308665</v>
      </c>
      <c r="BJ106" s="60">
        <f t="shared" si="92"/>
        <v>389.43647559455974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274.19999999999976</v>
      </c>
      <c r="BZ106" s="14">
        <f>BY106*VLOOKUP('Données projet'!$B$12,Paramètres!$A$1:$I$89,3,0)*VLOOKUP('Données projet'!$B$12,Paramètres!$A$1:$I$89,5,0)</f>
        <v>295.14887999999974</v>
      </c>
      <c r="CA106" s="14">
        <f t="shared" si="93"/>
        <v>70.158519482479349</v>
      </c>
      <c r="CB106" s="22">
        <f t="shared" si="64"/>
        <v>636.24372076531768</v>
      </c>
      <c r="CC106" s="60">
        <f t="shared" si="65"/>
        <v>914.46248969508042</v>
      </c>
      <c r="CD106" s="60">
        <f ca="1">AVERAGE(OFFSET($CC$3,0,0,'Données projet'!$E$12+1,1))-AVERAGE(OFFSET($H$3,0,0,'Données projet'!$E$12+1,1))</f>
        <v>542.90832990875208</v>
      </c>
      <c r="CE106" s="60">
        <f t="shared" si="94"/>
        <v>304.94365539329362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5.849230769230763</v>
      </c>
      <c r="CT106" s="13">
        <f>IF('Données projet'!$A$140&gt;35,CT105+CS106-DB105,IF(A106&lt;'Données projet'!$A$140,$CQ$205^A106,IF(A106='Données projet'!$A$140,'Données projet'!$B$140,CT105+CS106-DB105)))</f>
        <v>222.94307692307629</v>
      </c>
      <c r="CU106" s="18">
        <f>CT106*VLOOKUP('Données projet'!$B$13,Paramètres!$A$1:$I$89,3,0)*VLOOKUP('Données projet'!$B$13,Paramètres!$A$1:$I$89,5,0)</f>
        <v>104.33735999999971</v>
      </c>
      <c r="CV106" s="14">
        <f t="shared" si="95"/>
        <v>27.992746473996831</v>
      </c>
      <c r="CW106" s="22">
        <f t="shared" si="67"/>
        <v>230.47493544221061</v>
      </c>
      <c r="CX106" s="60">
        <f t="shared" si="68"/>
        <v>508.6937043719733</v>
      </c>
      <c r="CY106" s="60">
        <f ca="1">AVERAGE(OFFSET($CX$3,0,0,'Données projet'!$E$13+1,1))-AVERAGE(OFFSET($H$3,0,0,'Données projet'!$E$13+1,1))</f>
        <v>277.77877239988635</v>
      </c>
      <c r="CZ106" s="60">
        <f t="shared" si="96"/>
        <v>164.65640238394164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2.4999999999999973</v>
      </c>
      <c r="DO106" s="13">
        <f>IF('Données projet'!$A$166&gt;35,DO105+DN106-DW105,IF(A106&lt;'Données projet'!$A$166,$DL$205^A106,IF(A106='Données projet'!$A$166,'Données projet'!$B$166,DO105+DN106-DW105)))</f>
        <v>225.44871794871798</v>
      </c>
      <c r="DP106" s="18">
        <f>DO106*VLOOKUP('Données projet'!$B$14,Paramètres!$A$1:$I$89,3,0)*VLOOKUP('Données projet'!$B$14,Paramètres!$A$1:$I$89,5,0)</f>
        <v>193.43500000000006</v>
      </c>
      <c r="DQ106" s="14">
        <f t="shared" si="97"/>
        <v>48.29858883750002</v>
      </c>
      <c r="DR106" s="22">
        <f t="shared" si="70"/>
        <v>421.01933389197922</v>
      </c>
      <c r="DS106" s="60">
        <f t="shared" si="71"/>
        <v>699.2381028217419</v>
      </c>
      <c r="DT106" s="60">
        <f ca="1">AVERAGE(OFFSET($DS$3,0,0,'Données projet'!$E$14+1,1))-AVERAGE(OFFSET($H$3,0,0,'Données projet'!$E$14+1,1))</f>
        <v>354.30160274624632</v>
      </c>
      <c r="DU106" s="60">
        <f t="shared" si="98"/>
        <v>218.8005329382452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4.4000000000000004</v>
      </c>
      <c r="EJ106" s="13">
        <f>IF('Données projet'!$A$192&gt;35,EJ105+EI106-ER105,IF(A106&lt;'Données projet'!$A$192,$EG$205^A106,IF(A106='Données projet'!$A$192,'Données projet'!$B$192,EJ105+EI106-ER105)))</f>
        <v>274.19999999999976</v>
      </c>
      <c r="EK106" s="18">
        <f>EJ106*VLOOKUP('Données projet'!$B$15,Paramètres!$A$1:$I$89,3,0)*VLOOKUP('Données projet'!$B$15,Paramètres!$A$1:$I$89,5,0)</f>
        <v>265.20623999999975</v>
      </c>
      <c r="EL106" s="14">
        <f t="shared" si="99"/>
        <v>63.830854160896386</v>
      </c>
      <c r="EM106" s="22">
        <f t="shared" si="73"/>
        <v>573.07293899689409</v>
      </c>
      <c r="EN106" s="60">
        <f t="shared" si="74"/>
        <v>851.29170792665673</v>
      </c>
      <c r="EO106" s="60">
        <f ca="1">AVERAGE(OFFSET($EN$3,0,0,'Données projet'!$E$15+1,1))-AVERAGE(OFFSET($H$3,0,0,'Données projet'!$E$15+1,1))</f>
        <v>496.33873798282525</v>
      </c>
      <c r="EP106" s="60">
        <f t="shared" si="100"/>
        <v>280.25465074992246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3.4106051316484809E-13</v>
      </c>
      <c r="FF106" s="18">
        <f>FE106*VLOOKUP('Données projet'!$B$16,Paramètres!$A$1:$I$89,3,0)*VLOOKUP('Données projet'!$B$16,Paramètres!$A$1:$I$89,5,0)</f>
        <v>2.7666828827932479E-13</v>
      </c>
      <c r="FG106" s="14">
        <f t="shared" si="101"/>
        <v>3.6920483163466686E-12</v>
      </c>
      <c r="FH106" s="22">
        <f t="shared" si="76"/>
        <v>6.9121814197236049E-12</v>
      </c>
      <c r="FI106" s="60">
        <f t="shared" si="77"/>
        <v>278.21876892976962</v>
      </c>
      <c r="FJ106" s="60">
        <f ca="1">AVERAGE(OFFSET($FI$3,0,0,'Données projet'!$E$16+1,1))-AVERAGE(OFFSET($H$3,0,0,'Données projet'!$E$16+1,1))</f>
        <v>341.66430955115521</v>
      </c>
      <c r="FK106" s="60">
        <f t="shared" si="102"/>
        <v>366.15174925159192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3.4106051316484809E-13</v>
      </c>
      <c r="GA106" s="18">
        <f>FZ106*VLOOKUP('Données projet'!$B$17,Paramètres!$A$1:$I$89,3,0)*VLOOKUP('Données projet'!$B$17,Paramètres!$A$1:$I$89,5,0)</f>
        <v>2.5006556825246659E-13</v>
      </c>
      <c r="GB106" s="14">
        <f t="shared" si="103"/>
        <v>3.3765445850268018E-12</v>
      </c>
      <c r="GC106" s="22">
        <f t="shared" si="79"/>
        <v>6.3163460169613921E-12</v>
      </c>
      <c r="GD106" s="60">
        <f t="shared" si="80"/>
        <v>278.218768929769</v>
      </c>
      <c r="GE106" s="60">
        <f ca="1">AVERAGE(OFFSET($GD$3,0,0,'Données projet'!$E$17+1,1))-AVERAGE(OFFSET($H$3,0,0,'Données projet'!$E$17+1,1))</f>
        <v>314.58662400031631</v>
      </c>
      <c r="GF106" s="60">
        <f t="shared" si="104"/>
        <v>336.99073123405981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4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282.50039999999973</v>
      </c>
      <c r="P107" s="14">
        <f t="shared" si="87"/>
        <v>67.495141560894311</v>
      </c>
      <c r="Q107" s="22">
        <f t="shared" si="107"/>
        <v>609.57556821855712</v>
      </c>
      <c r="R107" s="60">
        <f t="shared" si="55"/>
        <v>888.05654104961809</v>
      </c>
      <c r="S107" s="60">
        <f ca="1">AVERAGE(OFFSET($R$3,0,0,'Données projet'!$E$9+1,1))-AVERAGE(OFFSET($H$3,0,0,'Données projet'!$E$9+1,1))</f>
        <v>516.30971934066179</v>
      </c>
      <c r="T107" s="60">
        <f t="shared" si="88"/>
        <v>290.84286505723571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3.2051282051282044</v>
      </c>
      <c r="AI107" s="14">
        <f>IF('Données projet'!$A$62&gt;35,AI106+AH107-AQ106,IF(A107&lt;'Données projet'!$A$62,$AF$205^A107,IF(A107='Données projet'!$A$62,'Données projet'!$B$62,AI106+AH107-AQ106)))</f>
        <v>301.92307692307668</v>
      </c>
      <c r="AJ107" s="14">
        <f>AI107*VLOOKUP('Données projet'!$B$10,Paramètres!$A$1:$I$89,3,0)*VLOOKUP('Données projet'!$B$10,Paramètres!$A$1:$I$89,5,0)</f>
        <v>315.56999999999977</v>
      </c>
      <c r="AK107" s="14">
        <f t="shared" si="89"/>
        <v>74.430859496988774</v>
      </c>
      <c r="AL107" s="22">
        <f t="shared" si="58"/>
        <v>679.25149695725497</v>
      </c>
      <c r="AM107" s="60">
        <f t="shared" si="59"/>
        <v>957.73246978831594</v>
      </c>
      <c r="AN107" s="60">
        <f ca="1">AVERAGE(OFFSET($AM$3,0,0,'Données projet'!$E$10+1,1))-AVERAGE(OFFSET($H$3,0,0,'Données projet'!$E$10+1,1))</f>
        <v>529.00505223594837</v>
      </c>
      <c r="AO107" s="60">
        <f t="shared" si="90"/>
        <v>321.23004033257985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3.4106051316484809E-13</v>
      </c>
      <c r="BE107" s="14">
        <f>BD107*VLOOKUP('Données projet'!$B$11,Paramètres!$A$1:$I$89,3,0)*VLOOKUP('Données projet'!$B$11,Paramètres!$A$1:$I$89,5,0)</f>
        <v>2.9795046430081134E-13</v>
      </c>
      <c r="BF107" s="14">
        <f t="shared" si="91"/>
        <v>3.9419014464513778E-12</v>
      </c>
      <c r="BG107" s="22">
        <f t="shared" si="61"/>
        <v>7.384408744560063E-12</v>
      </c>
      <c r="BH107" s="60">
        <f t="shared" si="62"/>
        <v>278.4809728310683</v>
      </c>
      <c r="BI107" s="60">
        <f ca="1">AVERAGE(OFFSET($BH$3,0,0,'Données projet'!$E$11+1,1))-AVERAGE(OFFSET($H$3,0,0,'Données projet'!$E$11+1,1))</f>
        <v>363.28611056308665</v>
      </c>
      <c r="BJ107" s="60">
        <f t="shared" si="92"/>
        <v>389.43647559455974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278.59999999999974</v>
      </c>
      <c r="BZ107" s="14">
        <f>BY107*VLOOKUP('Données projet'!$B$12,Paramètres!$A$1:$I$89,3,0)*VLOOKUP('Données projet'!$B$12,Paramètres!$A$1:$I$89,5,0)</f>
        <v>299.88503999999972</v>
      </c>
      <c r="CA107" s="14">
        <f t="shared" si="93"/>
        <v>71.152362906464575</v>
      </c>
      <c r="CB107" s="22">
        <f t="shared" si="64"/>
        <v>646.22347672875867</v>
      </c>
      <c r="CC107" s="60">
        <f t="shared" si="65"/>
        <v>924.70444955981952</v>
      </c>
      <c r="CD107" s="60">
        <f ca="1">AVERAGE(OFFSET($CC$3,0,0,'Données projet'!$E$12+1,1))-AVERAGE(OFFSET($H$3,0,0,'Données projet'!$E$12+1,1))</f>
        <v>542.90832990875208</v>
      </c>
      <c r="CE107" s="60">
        <f t="shared" si="94"/>
        <v>304.94365539329362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>
        <f>VLOOKUP(A107,'Données projet'!$A$139:$I$159,2,0)</f>
        <v>228.7923076923077</v>
      </c>
      <c r="CR107" s="13">
        <f>VLOOKUP(A107,'Données projet'!$A$139:$I$159,9,0)</f>
        <v>5.849230769230763</v>
      </c>
      <c r="CS107" s="13">
        <f t="array" ref="CS107">INDEX(CR:CR,MIN(IF(ISNUMBER(CR107:CR303),ROW(CR107:CR303),"")))</f>
        <v>5.849230769230763</v>
      </c>
      <c r="CT107" s="13">
        <f>IF('Données projet'!$A$140&gt;35,CT106+CS107-DB106,IF(A107&lt;'Données projet'!$A$140,$CQ$205^A107,IF(A107='Données projet'!$A$140,'Données projet'!$B$140,CT106+CS107-DB106)))</f>
        <v>228.79230769230705</v>
      </c>
      <c r="CU107" s="18">
        <f>CT107*VLOOKUP('Données projet'!$B$13,Paramètres!$A$1:$I$89,3,0)*VLOOKUP('Données projet'!$B$13,Paramètres!$A$1:$I$89,5,0)</f>
        <v>107.0747999999997</v>
      </c>
      <c r="CV107" s="14">
        <f t="shared" si="95"/>
        <v>28.640707257492455</v>
      </c>
      <c r="CW107" s="22">
        <f t="shared" si="67"/>
        <v>236.37117514013221</v>
      </c>
      <c r="CX107" s="60">
        <f t="shared" si="68"/>
        <v>514.85214797119306</v>
      </c>
      <c r="CY107" s="60">
        <f ca="1">AVERAGE(OFFSET($CX$3,0,0,'Données projet'!$E$13+1,1))-AVERAGE(OFFSET($H$3,0,0,'Données projet'!$E$13+1,1))</f>
        <v>277.77877239988635</v>
      </c>
      <c r="CZ107" s="60">
        <f t="shared" si="96"/>
        <v>164.65640238394164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2.4999999999999973</v>
      </c>
      <c r="DO107" s="13">
        <f>IF('Données projet'!$A$166&gt;35,DO106+DN107-DW106,IF(A107&lt;'Données projet'!$A$166,$DL$205^A107,IF(A107='Données projet'!$A$166,'Données projet'!$B$166,DO106+DN107-DW106)))</f>
        <v>227.94871794871798</v>
      </c>
      <c r="DP107" s="18">
        <f>DO107*VLOOKUP('Données projet'!$B$14,Paramètres!$A$1:$I$89,3,0)*VLOOKUP('Données projet'!$B$14,Paramètres!$A$1:$I$89,5,0)</f>
        <v>195.58000000000007</v>
      </c>
      <c r="DQ107" s="14">
        <f t="shared" si="97"/>
        <v>48.771525697064362</v>
      </c>
      <c r="DR107" s="22">
        <f t="shared" si="70"/>
        <v>425.57890725572048</v>
      </c>
      <c r="DS107" s="60">
        <f t="shared" si="71"/>
        <v>704.05988008678139</v>
      </c>
      <c r="DT107" s="60">
        <f ca="1">AVERAGE(OFFSET($DS$3,0,0,'Données projet'!$E$14+1,1))-AVERAGE(OFFSET($H$3,0,0,'Données projet'!$E$14+1,1))</f>
        <v>354.30160274624632</v>
      </c>
      <c r="DU107" s="60">
        <f t="shared" si="98"/>
        <v>218.8005329382452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4.4000000000000004</v>
      </c>
      <c r="EJ107" s="13">
        <f>IF('Données projet'!$A$192&gt;35,EJ106+EI107-ER106,IF(A107&lt;'Données projet'!$A$192,$EG$205^A107,IF(A107='Données projet'!$A$192,'Données projet'!$B$192,EJ106+EI107-ER106)))</f>
        <v>278.59999999999974</v>
      </c>
      <c r="EK107" s="18">
        <f>EJ107*VLOOKUP('Données projet'!$B$15,Paramètres!$A$1:$I$89,3,0)*VLOOKUP('Données projet'!$B$15,Paramètres!$A$1:$I$89,5,0)</f>
        <v>269.46191999999974</v>
      </c>
      <c r="EL107" s="14">
        <f t="shared" si="99"/>
        <v>64.735061876839055</v>
      </c>
      <c r="EM107" s="22">
        <f t="shared" si="73"/>
        <v>582.05974343549417</v>
      </c>
      <c r="EN107" s="60">
        <f t="shared" si="74"/>
        <v>860.54071626655514</v>
      </c>
      <c r="EO107" s="60">
        <f ca="1">AVERAGE(OFFSET($EN$3,0,0,'Données projet'!$E$15+1,1))-AVERAGE(OFFSET($H$3,0,0,'Données projet'!$E$15+1,1))</f>
        <v>496.33873798282525</v>
      </c>
      <c r="EP107" s="60">
        <f t="shared" si="100"/>
        <v>280.25465074992246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3.4106051316484809E-13</v>
      </c>
      <c r="FF107" s="18">
        <f>FE107*VLOOKUP('Données projet'!$B$16,Paramètres!$A$1:$I$89,3,0)*VLOOKUP('Données projet'!$B$16,Paramètres!$A$1:$I$89,5,0)</f>
        <v>2.7666828827932479E-13</v>
      </c>
      <c r="FG107" s="14">
        <f t="shared" si="101"/>
        <v>3.6920483163466686E-12</v>
      </c>
      <c r="FH107" s="22">
        <f t="shared" si="76"/>
        <v>6.9121814197236049E-12</v>
      </c>
      <c r="FI107" s="60">
        <f t="shared" si="77"/>
        <v>278.48097283106785</v>
      </c>
      <c r="FJ107" s="60">
        <f ca="1">AVERAGE(OFFSET($FI$3,0,0,'Données projet'!$E$16+1,1))-AVERAGE(OFFSET($H$3,0,0,'Données projet'!$E$16+1,1))</f>
        <v>341.66430955115521</v>
      </c>
      <c r="FK107" s="60">
        <f t="shared" si="102"/>
        <v>366.15174925159192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3.4106051316484809E-13</v>
      </c>
      <c r="GA107" s="18">
        <f>FZ107*VLOOKUP('Données projet'!$B$17,Paramètres!$A$1:$I$89,3,0)*VLOOKUP('Données projet'!$B$17,Paramètres!$A$1:$I$89,5,0)</f>
        <v>2.5006556825246659E-13</v>
      </c>
      <c r="GB107" s="14">
        <f t="shared" si="103"/>
        <v>3.3765445850268018E-12</v>
      </c>
      <c r="GC107" s="22">
        <f t="shared" si="79"/>
        <v>6.3163460169613921E-12</v>
      </c>
      <c r="GD107" s="60">
        <f t="shared" si="80"/>
        <v>278.48097283106722</v>
      </c>
      <c r="GE107" s="60">
        <f ca="1">AVERAGE(OFFSET($GD$3,0,0,'Données projet'!$E$17+1,1))-AVERAGE(OFFSET($H$3,0,0,'Données projet'!$E$17+1,1))</f>
        <v>314.58662400031631</v>
      </c>
      <c r="GF107" s="60">
        <f t="shared" si="104"/>
        <v>336.99073123405981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4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286.9619999999997</v>
      </c>
      <c r="P108" s="14">
        <f t="shared" si="87"/>
        <v>68.436169981717796</v>
      </c>
      <c r="Q108" s="22">
        <f t="shared" si="107"/>
        <v>618.98514605149137</v>
      </c>
      <c r="R108" s="60">
        <f t="shared" si="55"/>
        <v>897.72377413236313</v>
      </c>
      <c r="S108" s="60">
        <f ca="1">AVERAGE(OFFSET($R$3,0,0,'Données projet'!$E$9+1,1))-AVERAGE(OFFSET($H$3,0,0,'Données projet'!$E$9+1,1))</f>
        <v>516.30971934066179</v>
      </c>
      <c r="T108" s="60">
        <f t="shared" si="88"/>
        <v>290.84286505723571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3.2051282051282044</v>
      </c>
      <c r="AI108" s="14">
        <f>IF('Données projet'!$A$62&gt;35,AI107+AH108-AQ107,IF(A108&lt;'Données projet'!$A$62,$AF$205^A108,IF(A108='Données projet'!$A$62,'Données projet'!$B$62,AI107+AH108-AQ107)))</f>
        <v>305.12820512820485</v>
      </c>
      <c r="AJ108" s="14">
        <f>AI108*VLOOKUP('Données projet'!$B$10,Paramètres!$A$1:$I$89,3,0)*VLOOKUP('Données projet'!$B$10,Paramètres!$A$1:$I$89,5,0)</f>
        <v>318.91999999999973</v>
      </c>
      <c r="AK108" s="14">
        <f t="shared" si="89"/>
        <v>75.128594464022456</v>
      </c>
      <c r="AL108" s="22">
        <f t="shared" si="58"/>
        <v>686.30130202483861</v>
      </c>
      <c r="AM108" s="60">
        <f t="shared" si="59"/>
        <v>965.03993010571037</v>
      </c>
      <c r="AN108" s="60">
        <f ca="1">AVERAGE(OFFSET($AM$3,0,0,'Données projet'!$E$10+1,1))-AVERAGE(OFFSET($H$3,0,0,'Données projet'!$E$10+1,1))</f>
        <v>529.00505223594837</v>
      </c>
      <c r="AO108" s="60">
        <f t="shared" si="90"/>
        <v>321.23004033257985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3.4106051316484809E-13</v>
      </c>
      <c r="BE108" s="14">
        <f>BD108*VLOOKUP('Données projet'!$B$11,Paramètres!$A$1:$I$89,3,0)*VLOOKUP('Données projet'!$B$11,Paramètres!$A$1:$I$89,5,0)</f>
        <v>2.9795046430081134E-13</v>
      </c>
      <c r="BF108" s="14">
        <f t="shared" si="91"/>
        <v>3.9419014464513778E-12</v>
      </c>
      <c r="BG108" s="22">
        <f t="shared" si="61"/>
        <v>7.384408744560063E-12</v>
      </c>
      <c r="BH108" s="60">
        <f t="shared" si="62"/>
        <v>278.73862808087915</v>
      </c>
      <c r="BI108" s="60">
        <f ca="1">AVERAGE(OFFSET($BH$3,0,0,'Données projet'!$E$11+1,1))-AVERAGE(OFFSET($H$3,0,0,'Données projet'!$E$11+1,1))</f>
        <v>363.28611056308665</v>
      </c>
      <c r="BJ108" s="60">
        <f t="shared" si="92"/>
        <v>389.43647559455974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282.99999999999972</v>
      </c>
      <c r="BZ108" s="14">
        <f>BY108*VLOOKUP('Données projet'!$B$12,Paramètres!$A$1:$I$89,3,0)*VLOOKUP('Données projet'!$B$12,Paramètres!$A$1:$I$89,5,0)</f>
        <v>304.62119999999965</v>
      </c>
      <c r="CA108" s="14">
        <f t="shared" si="93"/>
        <v>72.144380911839335</v>
      </c>
      <c r="CB108" s="22">
        <f t="shared" si="64"/>
        <v>656.20005342145294</v>
      </c>
      <c r="CC108" s="60">
        <f t="shared" si="65"/>
        <v>934.9386815023247</v>
      </c>
      <c r="CD108" s="60">
        <f ca="1">AVERAGE(OFFSET($CC$3,0,0,'Données projet'!$E$12+1,1))-AVERAGE(OFFSET($H$3,0,0,'Données projet'!$E$12+1,1))</f>
        <v>542.90832990875208</v>
      </c>
      <c r="CE108" s="60">
        <f t="shared" si="94"/>
        <v>304.94365539329362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5.4600000000000026</v>
      </c>
      <c r="CT108" s="13">
        <f>IF('Données projet'!$A$140&gt;35,CT107+CS108-DB107,IF(A108&lt;'Données projet'!$A$140,$CQ$205^A108,IF(A108='Données projet'!$A$140,'Données projet'!$B$140,CT107+CS108-DB107)))</f>
        <v>234.25230769230706</v>
      </c>
      <c r="CU108" s="18">
        <f>CT108*VLOOKUP('Données projet'!$B$13,Paramètres!$A$1:$I$89,3,0)*VLOOKUP('Données projet'!$B$13,Paramètres!$A$1:$I$89,5,0)</f>
        <v>109.63007999999969</v>
      </c>
      <c r="CV108" s="14">
        <f t="shared" si="95"/>
        <v>29.243811455610157</v>
      </c>
      <c r="CW108" s="22">
        <f t="shared" si="67"/>
        <v>241.87202761852049</v>
      </c>
      <c r="CX108" s="60">
        <f t="shared" si="68"/>
        <v>520.61065569939228</v>
      </c>
      <c r="CY108" s="60">
        <f ca="1">AVERAGE(OFFSET($CX$3,0,0,'Données projet'!$E$13+1,1))-AVERAGE(OFFSET($H$3,0,0,'Données projet'!$E$13+1,1))</f>
        <v>277.77877239988635</v>
      </c>
      <c r="CZ108" s="60">
        <f t="shared" si="96"/>
        <v>164.65640238394164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2.4999999999999973</v>
      </c>
      <c r="DO108" s="13">
        <f>IF('Données projet'!$A$166&gt;35,DO107+DN108-DW107,IF(A108&lt;'Données projet'!$A$166,$DL$205^A108,IF(A108='Données projet'!$A$166,'Données projet'!$B$166,DO107+DN108-DW107)))</f>
        <v>230.44871794871798</v>
      </c>
      <c r="DP108" s="18">
        <f>DO108*VLOOKUP('Données projet'!$B$14,Paramètres!$A$1:$I$89,3,0)*VLOOKUP('Données projet'!$B$14,Paramètres!$A$1:$I$89,5,0)</f>
        <v>197.72500000000005</v>
      </c>
      <c r="DQ108" s="14">
        <f t="shared" si="97"/>
        <v>49.243859176470473</v>
      </c>
      <c r="DR108" s="22">
        <f t="shared" si="70"/>
        <v>430.13742973235276</v>
      </c>
      <c r="DS108" s="60">
        <f t="shared" si="71"/>
        <v>708.87605781322452</v>
      </c>
      <c r="DT108" s="60">
        <f ca="1">AVERAGE(OFFSET($DS$3,0,0,'Données projet'!$E$14+1,1))-AVERAGE(OFFSET($H$3,0,0,'Données projet'!$E$14+1,1))</f>
        <v>354.30160274624632</v>
      </c>
      <c r="DU108" s="60">
        <f t="shared" si="98"/>
        <v>218.8005329382452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4.4000000000000004</v>
      </c>
      <c r="EJ108" s="13">
        <f>IF('Données projet'!$A$192&gt;35,EJ107+EI108-ER107,IF(A108&lt;'Données projet'!$A$192,$EG$205^A108,IF(A108='Données projet'!$A$192,'Données projet'!$B$192,EJ107+EI108-ER107)))</f>
        <v>282.99999999999972</v>
      </c>
      <c r="EK108" s="18">
        <f>EJ108*VLOOKUP('Données projet'!$B$15,Paramètres!$A$1:$I$89,3,0)*VLOOKUP('Données projet'!$B$15,Paramètres!$A$1:$I$89,5,0)</f>
        <v>273.71759999999972</v>
      </c>
      <c r="EL108" s="14">
        <f t="shared" si="99"/>
        <v>65.637608810456612</v>
      </c>
      <c r="EM108" s="22">
        <f t="shared" si="73"/>
        <v>591.04365534487806</v>
      </c>
      <c r="EN108" s="60">
        <f t="shared" si="74"/>
        <v>869.78228342574982</v>
      </c>
      <c r="EO108" s="60">
        <f ca="1">AVERAGE(OFFSET($EN$3,0,0,'Données projet'!$E$15+1,1))-AVERAGE(OFFSET($H$3,0,0,'Données projet'!$E$15+1,1))</f>
        <v>496.33873798282525</v>
      </c>
      <c r="EP108" s="60">
        <f t="shared" si="100"/>
        <v>280.25465074992246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3.4106051316484809E-13</v>
      </c>
      <c r="FF108" s="18">
        <f>FE108*VLOOKUP('Données projet'!$B$16,Paramètres!$A$1:$I$89,3,0)*VLOOKUP('Données projet'!$B$16,Paramètres!$A$1:$I$89,5,0)</f>
        <v>2.7666828827932479E-13</v>
      </c>
      <c r="FG108" s="14">
        <f t="shared" si="101"/>
        <v>3.6920483163466686E-12</v>
      </c>
      <c r="FH108" s="22">
        <f t="shared" si="76"/>
        <v>6.9121814197236049E-12</v>
      </c>
      <c r="FI108" s="60">
        <f t="shared" si="77"/>
        <v>278.7386280808787</v>
      </c>
      <c r="FJ108" s="60">
        <f ca="1">AVERAGE(OFFSET($FI$3,0,0,'Données projet'!$E$16+1,1))-AVERAGE(OFFSET($H$3,0,0,'Données projet'!$E$16+1,1))</f>
        <v>341.66430955115521</v>
      </c>
      <c r="FK108" s="60">
        <f t="shared" si="102"/>
        <v>366.15174925159192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3.4106051316484809E-13</v>
      </c>
      <c r="GA108" s="18">
        <f>FZ108*VLOOKUP('Données projet'!$B$17,Paramètres!$A$1:$I$89,3,0)*VLOOKUP('Données projet'!$B$17,Paramètres!$A$1:$I$89,5,0)</f>
        <v>2.5006556825246659E-13</v>
      </c>
      <c r="GB108" s="14">
        <f t="shared" si="103"/>
        <v>3.3765445850268018E-12</v>
      </c>
      <c r="GC108" s="22">
        <f t="shared" si="79"/>
        <v>6.3163460169613921E-12</v>
      </c>
      <c r="GD108" s="60">
        <f t="shared" si="80"/>
        <v>278.73862808087807</v>
      </c>
      <c r="GE108" s="60">
        <f ca="1">AVERAGE(OFFSET($GD$3,0,0,'Données projet'!$E$17+1,1))-AVERAGE(OFFSET($H$3,0,0,'Données projet'!$E$17+1,1))</f>
        <v>314.58662400031631</v>
      </c>
      <c r="GF108" s="60">
        <f t="shared" si="104"/>
        <v>336.99073123405981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4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291.42359999999968</v>
      </c>
      <c r="P109" s="14">
        <f t="shared" si="87"/>
        <v>69.375496841482104</v>
      </c>
      <c r="Q109" s="22">
        <f t="shared" si="107"/>
        <v>628.39176033224737</v>
      </c>
      <c r="R109" s="60">
        <f t="shared" si="55"/>
        <v>907.38357392037642</v>
      </c>
      <c r="S109" s="60">
        <f ca="1">AVERAGE(OFFSET($R$3,0,0,'Données projet'!$E$9+1,1))-AVERAGE(OFFSET($H$3,0,0,'Données projet'!$E$9+1,1))</f>
        <v>516.30971934066179</v>
      </c>
      <c r="T109" s="60">
        <f t="shared" si="88"/>
        <v>290.84286505723571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3.2051282051282044</v>
      </c>
      <c r="AI109" s="14">
        <f>IF('Données projet'!$A$62&gt;35,AI108+AH109-AQ108,IF(A109&lt;'Données projet'!$A$62,$AF$205^A109,IF(A109='Données projet'!$A$62,'Données projet'!$B$62,AI108+AH109-AQ108)))</f>
        <v>308.33333333333303</v>
      </c>
      <c r="AJ109" s="14">
        <f>AI109*VLOOKUP('Données projet'!$B$10,Paramètres!$A$1:$I$89,3,0)*VLOOKUP('Données projet'!$B$10,Paramètres!$A$1:$I$89,5,0)</f>
        <v>322.2699999999997</v>
      </c>
      <c r="AK109" s="14">
        <f t="shared" si="89"/>
        <v>75.825476822885705</v>
      </c>
      <c r="AL109" s="22">
        <f t="shared" si="58"/>
        <v>693.34962213319204</v>
      </c>
      <c r="AM109" s="60">
        <f t="shared" si="59"/>
        <v>972.3414357213212</v>
      </c>
      <c r="AN109" s="60">
        <f ca="1">AVERAGE(OFFSET($AM$3,0,0,'Données projet'!$E$10+1,1))-AVERAGE(OFFSET($H$3,0,0,'Données projet'!$E$10+1,1))</f>
        <v>529.00505223594837</v>
      </c>
      <c r="AO109" s="60">
        <f t="shared" si="90"/>
        <v>321.23004033257985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3.4106051316484809E-13</v>
      </c>
      <c r="BE109" s="14">
        <f>BD109*VLOOKUP('Données projet'!$B$11,Paramètres!$A$1:$I$89,3,0)*VLOOKUP('Données projet'!$B$11,Paramètres!$A$1:$I$89,5,0)</f>
        <v>2.9795046430081134E-13</v>
      </c>
      <c r="BF109" s="14">
        <f t="shared" si="91"/>
        <v>3.9419014464513778E-12</v>
      </c>
      <c r="BG109" s="22">
        <f t="shared" si="61"/>
        <v>7.384408744560063E-12</v>
      </c>
      <c r="BH109" s="60">
        <f t="shared" si="62"/>
        <v>278.99181358813649</v>
      </c>
      <c r="BI109" s="60">
        <f ca="1">AVERAGE(OFFSET($BH$3,0,0,'Données projet'!$E$11+1,1))-AVERAGE(OFFSET($H$3,0,0,'Données projet'!$E$11+1,1))</f>
        <v>363.28611056308665</v>
      </c>
      <c r="BJ109" s="60">
        <f t="shared" si="92"/>
        <v>389.43647559455974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287.39999999999969</v>
      </c>
      <c r="BZ109" s="14">
        <f>BY109*VLOOKUP('Données projet'!$B$12,Paramètres!$A$1:$I$89,3,0)*VLOOKUP('Données projet'!$B$12,Paramètres!$A$1:$I$89,5,0)</f>
        <v>309.35735999999969</v>
      </c>
      <c r="CA109" s="14">
        <f t="shared" si="93"/>
        <v>73.134605157142161</v>
      </c>
      <c r="CB109" s="22">
        <f t="shared" si="64"/>
        <v>666.17350598202211</v>
      </c>
      <c r="CC109" s="60">
        <f t="shared" si="65"/>
        <v>945.16531957015127</v>
      </c>
      <c r="CD109" s="60">
        <f ca="1">AVERAGE(OFFSET($CC$3,0,0,'Données projet'!$E$12+1,1))-AVERAGE(OFFSET($H$3,0,0,'Données projet'!$E$12+1,1))</f>
        <v>542.90832990875208</v>
      </c>
      <c r="CE109" s="60">
        <f t="shared" si="94"/>
        <v>304.94365539329362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5.4600000000000026</v>
      </c>
      <c r="CT109" s="13">
        <f>IF('Données projet'!$A$140&gt;35,CT108+CS109-DB108,IF(A109&lt;'Données projet'!$A$140,$CQ$205^A109,IF(A109='Données projet'!$A$140,'Données projet'!$B$140,CT108+CS109-DB108)))</f>
        <v>239.71230769230706</v>
      </c>
      <c r="CU109" s="18">
        <f>CT109*VLOOKUP('Données projet'!$B$13,Paramètres!$A$1:$I$89,3,0)*VLOOKUP('Données projet'!$B$13,Paramètres!$A$1:$I$89,5,0)</f>
        <v>112.1853599999997</v>
      </c>
      <c r="CV109" s="14">
        <f t="shared" si="95"/>
        <v>29.84528144827167</v>
      </c>
      <c r="CW109" s="22">
        <f t="shared" si="67"/>
        <v>247.37003385573931</v>
      </c>
      <c r="CX109" s="60">
        <f t="shared" si="68"/>
        <v>526.36184744386844</v>
      </c>
      <c r="CY109" s="60">
        <f ca="1">AVERAGE(OFFSET($CX$3,0,0,'Données projet'!$E$13+1,1))-AVERAGE(OFFSET($H$3,0,0,'Données projet'!$E$13+1,1))</f>
        <v>277.77877239988635</v>
      </c>
      <c r="CZ109" s="60">
        <f t="shared" si="96"/>
        <v>164.65640238394164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2.4999999999999973</v>
      </c>
      <c r="DO109" s="13">
        <f>IF('Données projet'!$A$166&gt;35,DO108+DN109-DW108,IF(A109&lt;'Données projet'!$A$166,$DL$205^A109,IF(A109='Données projet'!$A$166,'Données projet'!$B$166,DO108+DN109-DW108)))</f>
        <v>232.94871794871798</v>
      </c>
      <c r="DP109" s="18">
        <f>DO109*VLOOKUP('Données projet'!$B$14,Paramètres!$A$1:$I$89,3,0)*VLOOKUP('Données projet'!$B$14,Paramètres!$A$1:$I$89,5,0)</f>
        <v>199.87000000000003</v>
      </c>
      <c r="DQ109" s="14">
        <f t="shared" si="97"/>
        <v>49.715596579024698</v>
      </c>
      <c r="DR109" s="22">
        <f t="shared" si="70"/>
        <v>434.69491404180138</v>
      </c>
      <c r="DS109" s="60">
        <f t="shared" si="71"/>
        <v>713.68672762993049</v>
      </c>
      <c r="DT109" s="60">
        <f ca="1">AVERAGE(OFFSET($DS$3,0,0,'Données projet'!$E$14+1,1))-AVERAGE(OFFSET($H$3,0,0,'Données projet'!$E$14+1,1))</f>
        <v>354.30160274624632</v>
      </c>
      <c r="DU109" s="60">
        <f t="shared" si="98"/>
        <v>218.8005329382452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4.4000000000000004</v>
      </c>
      <c r="EJ109" s="13">
        <f>IF('Données projet'!$A$192&gt;35,EJ108+EI109-ER108,IF(A109&lt;'Données projet'!$A$192,$EG$205^A109,IF(A109='Données projet'!$A$192,'Données projet'!$B$192,EJ108+EI109-ER108)))</f>
        <v>287.39999999999969</v>
      </c>
      <c r="EK109" s="18">
        <f>EJ109*VLOOKUP('Données projet'!$B$15,Paramètres!$A$1:$I$89,3,0)*VLOOKUP('Données projet'!$B$15,Paramètres!$A$1:$I$89,5,0)</f>
        <v>277.9732799999997</v>
      </c>
      <c r="EL109" s="14">
        <f t="shared" si="99"/>
        <v>66.538523764973135</v>
      </c>
      <c r="EM109" s="22">
        <f t="shared" si="73"/>
        <v>600.0247248906611</v>
      </c>
      <c r="EN109" s="60">
        <f t="shared" si="74"/>
        <v>879.01653847879015</v>
      </c>
      <c r="EO109" s="60">
        <f ca="1">AVERAGE(OFFSET($EN$3,0,0,'Données projet'!$E$15+1,1))-AVERAGE(OFFSET($H$3,0,0,'Données projet'!$E$15+1,1))</f>
        <v>496.33873798282525</v>
      </c>
      <c r="EP109" s="60">
        <f t="shared" si="100"/>
        <v>280.25465074992246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3.4106051316484809E-13</v>
      </c>
      <c r="FF109" s="18">
        <f>FE109*VLOOKUP('Données projet'!$B$16,Paramètres!$A$1:$I$89,3,0)*VLOOKUP('Données projet'!$B$16,Paramètres!$A$1:$I$89,5,0)</f>
        <v>2.7666828827932479E-13</v>
      </c>
      <c r="FG109" s="14">
        <f t="shared" si="101"/>
        <v>3.6920483163466686E-12</v>
      </c>
      <c r="FH109" s="22">
        <f t="shared" si="76"/>
        <v>6.9121814197236049E-12</v>
      </c>
      <c r="FI109" s="60">
        <f t="shared" si="77"/>
        <v>278.99181358813604</v>
      </c>
      <c r="FJ109" s="60">
        <f ca="1">AVERAGE(OFFSET($FI$3,0,0,'Données projet'!$E$16+1,1))-AVERAGE(OFFSET($H$3,0,0,'Données projet'!$E$16+1,1))</f>
        <v>341.66430955115521</v>
      </c>
      <c r="FK109" s="60">
        <f t="shared" si="102"/>
        <v>366.15174925159192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3.4106051316484809E-13</v>
      </c>
      <c r="GA109" s="18">
        <f>FZ109*VLOOKUP('Données projet'!$B$17,Paramètres!$A$1:$I$89,3,0)*VLOOKUP('Données projet'!$B$17,Paramètres!$A$1:$I$89,5,0)</f>
        <v>2.5006556825246659E-13</v>
      </c>
      <c r="GB109" s="14">
        <f t="shared" si="103"/>
        <v>3.3765445850268018E-12</v>
      </c>
      <c r="GC109" s="22">
        <f t="shared" si="79"/>
        <v>6.3163460169613921E-12</v>
      </c>
      <c r="GD109" s="60">
        <f t="shared" si="80"/>
        <v>278.99181358813541</v>
      </c>
      <c r="GE109" s="60">
        <f ca="1">AVERAGE(OFFSET($GD$3,0,0,'Données projet'!$E$17+1,1))-AVERAGE(OFFSET($H$3,0,0,'Données projet'!$E$17+1,1))</f>
        <v>314.58662400031631</v>
      </c>
      <c r="GF109" s="60">
        <f t="shared" si="104"/>
        <v>336.99073123405981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4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295.88519999999966</v>
      </c>
      <c r="P110" s="14">
        <f t="shared" si="87"/>
        <v>70.313151199178748</v>
      </c>
      <c r="Q110" s="22">
        <f t="shared" si="107"/>
        <v>637.79546167190244</v>
      </c>
      <c r="R110" s="60">
        <f t="shared" si="55"/>
        <v>917.03606856477609</v>
      </c>
      <c r="S110" s="60">
        <f ca="1">AVERAGE(OFFSET($R$3,0,0,'Données projet'!$E$9+1,1))-AVERAGE(OFFSET($H$3,0,0,'Données projet'!$E$9+1,1))</f>
        <v>516.30971934066179</v>
      </c>
      <c r="T110" s="60">
        <f t="shared" si="88"/>
        <v>290.84286505723571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3.2051282051282044</v>
      </c>
      <c r="AI110" s="14">
        <f>IF('Données projet'!$A$62&gt;35,AI109+AH110-AQ109,IF(A110&lt;'Données projet'!$A$62,$AF$205^A110,IF(A110='Données projet'!$A$62,'Données projet'!$B$62,AI109+AH110-AQ109)))</f>
        <v>311.53846153846121</v>
      </c>
      <c r="AJ110" s="14">
        <f>AI110*VLOOKUP('Données projet'!$B$10,Paramètres!$A$1:$I$89,3,0)*VLOOKUP('Données projet'!$B$10,Paramètres!$A$1:$I$89,5,0)</f>
        <v>325.61999999999972</v>
      </c>
      <c r="AK110" s="14">
        <f t="shared" si="89"/>
        <v>76.521516462461591</v>
      </c>
      <c r="AL110" s="22">
        <f t="shared" si="58"/>
        <v>700.39647450545351</v>
      </c>
      <c r="AM110" s="60">
        <f t="shared" si="59"/>
        <v>979.63708139832715</v>
      </c>
      <c r="AN110" s="60">
        <f ca="1">AVERAGE(OFFSET($AM$3,0,0,'Données projet'!$E$10+1,1))-AVERAGE(OFFSET($H$3,0,0,'Données projet'!$E$10+1,1))</f>
        <v>529.00505223594837</v>
      </c>
      <c r="AO110" s="60">
        <f t="shared" si="90"/>
        <v>321.23004033257985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3.4106051316484809E-13</v>
      </c>
      <c r="BE110" s="14">
        <f>BD110*VLOOKUP('Données projet'!$B$11,Paramètres!$A$1:$I$89,3,0)*VLOOKUP('Données projet'!$B$11,Paramètres!$A$1:$I$89,5,0)</f>
        <v>2.9795046430081134E-13</v>
      </c>
      <c r="BF110" s="14">
        <f t="shared" si="91"/>
        <v>3.9419014464513778E-12</v>
      </c>
      <c r="BG110" s="22">
        <f t="shared" si="61"/>
        <v>7.384408744560063E-12</v>
      </c>
      <c r="BH110" s="60">
        <f t="shared" si="62"/>
        <v>279.24060689288103</v>
      </c>
      <c r="BI110" s="60">
        <f ca="1">AVERAGE(OFFSET($BH$3,0,0,'Données projet'!$E$11+1,1))-AVERAGE(OFFSET($H$3,0,0,'Données projet'!$E$11+1,1))</f>
        <v>363.28611056308665</v>
      </c>
      <c r="BJ110" s="60">
        <f t="shared" si="92"/>
        <v>389.43647559455974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291.79999999999967</v>
      </c>
      <c r="BZ110" s="14">
        <f>BY110*VLOOKUP('Données projet'!$B$12,Paramètres!$A$1:$I$89,3,0)*VLOOKUP('Données projet'!$B$12,Paramètres!$A$1:$I$89,5,0)</f>
        <v>314.09351999999961</v>
      </c>
      <c r="CA110" s="14">
        <f t="shared" si="93"/>
        <v>74.123066275924458</v>
      </c>
      <c r="CB110" s="22">
        <f t="shared" si="64"/>
        <v>676.14388776390103</v>
      </c>
      <c r="CC110" s="60">
        <f t="shared" si="65"/>
        <v>955.38449465677468</v>
      </c>
      <c r="CD110" s="60">
        <f ca="1">AVERAGE(OFFSET($CC$3,0,0,'Données projet'!$E$12+1,1))-AVERAGE(OFFSET($H$3,0,0,'Données projet'!$E$12+1,1))</f>
        <v>542.90832990875208</v>
      </c>
      <c r="CE110" s="60">
        <f t="shared" si="94"/>
        <v>304.94365539329362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5.4600000000000026</v>
      </c>
      <c r="CT110" s="13">
        <f>IF('Données projet'!$A$140&gt;35,CT109+CS110-DB109,IF(A110&lt;'Données projet'!$A$140,$CQ$205^A110,IF(A110='Données projet'!$A$140,'Données projet'!$B$140,CT109+CS110-DB109)))</f>
        <v>245.17230769230707</v>
      </c>
      <c r="CU110" s="18">
        <f>CT110*VLOOKUP('Données projet'!$B$13,Paramètres!$A$1:$I$89,3,0)*VLOOKUP('Données projet'!$B$13,Paramètres!$A$1:$I$89,5,0)</f>
        <v>114.74063999999971</v>
      </c>
      <c r="CV110" s="14">
        <f t="shared" si="95"/>
        <v>30.445158743218197</v>
      </c>
      <c r="CW110" s="22">
        <f t="shared" si="67"/>
        <v>252.86526614443781</v>
      </c>
      <c r="CX110" s="60">
        <f t="shared" si="68"/>
        <v>532.10587303731143</v>
      </c>
      <c r="CY110" s="60">
        <f ca="1">AVERAGE(OFFSET($CX$3,0,0,'Données projet'!$E$13+1,1))-AVERAGE(OFFSET($H$3,0,0,'Données projet'!$E$13+1,1))</f>
        <v>277.77877239988635</v>
      </c>
      <c r="CZ110" s="60">
        <f t="shared" si="96"/>
        <v>164.65640238394164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2.4999999999999973</v>
      </c>
      <c r="DO110" s="13">
        <f>IF('Données projet'!$A$166&gt;35,DO109+DN110-DW109,IF(A110&lt;'Données projet'!$A$166,$DL$205^A110,IF(A110='Données projet'!$A$166,'Données projet'!$B$166,DO109+DN110-DW109)))</f>
        <v>235.44871794871798</v>
      </c>
      <c r="DP110" s="18">
        <f>DO110*VLOOKUP('Données projet'!$B$14,Paramètres!$A$1:$I$89,3,0)*VLOOKUP('Données projet'!$B$14,Paramètres!$A$1:$I$89,5,0)</f>
        <v>202.01500000000004</v>
      </c>
      <c r="DQ110" s="14">
        <f t="shared" si="97"/>
        <v>50.18674504224613</v>
      </c>
      <c r="DR110" s="22">
        <f t="shared" si="70"/>
        <v>439.25137261524537</v>
      </c>
      <c r="DS110" s="60">
        <f t="shared" si="71"/>
        <v>718.49197950811902</v>
      </c>
      <c r="DT110" s="60">
        <f ca="1">AVERAGE(OFFSET($DS$3,0,0,'Données projet'!$E$14+1,1))-AVERAGE(OFFSET($H$3,0,0,'Données projet'!$E$14+1,1))</f>
        <v>354.30160274624632</v>
      </c>
      <c r="DU110" s="60">
        <f t="shared" si="98"/>
        <v>218.8005329382452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4.4000000000000004</v>
      </c>
      <c r="EJ110" s="13">
        <f>IF('Données projet'!$A$192&gt;35,EJ109+EI110-ER109,IF(A110&lt;'Données projet'!$A$192,$EG$205^A110,IF(A110='Données projet'!$A$192,'Données projet'!$B$192,EJ109+EI110-ER109)))</f>
        <v>291.79999999999967</v>
      </c>
      <c r="EK110" s="18">
        <f>EJ110*VLOOKUP('Données projet'!$B$15,Paramètres!$A$1:$I$89,3,0)*VLOOKUP('Données projet'!$B$15,Paramètres!$A$1:$I$89,5,0)</f>
        <v>282.22895999999969</v>
      </c>
      <c r="EL110" s="14">
        <f t="shared" si="99"/>
        <v>67.437834611070301</v>
      </c>
      <c r="EM110" s="22">
        <f t="shared" si="73"/>
        <v>609.00300061428027</v>
      </c>
      <c r="EN110" s="60">
        <f t="shared" si="74"/>
        <v>888.24360750715391</v>
      </c>
      <c r="EO110" s="60">
        <f ca="1">AVERAGE(OFFSET($EN$3,0,0,'Données projet'!$E$15+1,1))-AVERAGE(OFFSET($H$3,0,0,'Données projet'!$E$15+1,1))</f>
        <v>496.33873798282525</v>
      </c>
      <c r="EP110" s="60">
        <f t="shared" si="100"/>
        <v>280.25465074992246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3.4106051316484809E-13</v>
      </c>
      <c r="FF110" s="18">
        <f>FE110*VLOOKUP('Données projet'!$B$16,Paramètres!$A$1:$I$89,3,0)*VLOOKUP('Données projet'!$B$16,Paramètres!$A$1:$I$89,5,0)</f>
        <v>2.7666828827932479E-13</v>
      </c>
      <c r="FG110" s="14">
        <f t="shared" si="101"/>
        <v>3.6920483163466686E-12</v>
      </c>
      <c r="FH110" s="22">
        <f t="shared" si="76"/>
        <v>6.9121814197236049E-12</v>
      </c>
      <c r="FI110" s="60">
        <f t="shared" si="77"/>
        <v>279.24060689288058</v>
      </c>
      <c r="FJ110" s="60">
        <f ca="1">AVERAGE(OFFSET($FI$3,0,0,'Données projet'!$E$16+1,1))-AVERAGE(OFFSET($H$3,0,0,'Données projet'!$E$16+1,1))</f>
        <v>341.66430955115521</v>
      </c>
      <c r="FK110" s="60">
        <f t="shared" si="102"/>
        <v>366.15174925159192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3.4106051316484809E-13</v>
      </c>
      <c r="GA110" s="18">
        <f>FZ110*VLOOKUP('Données projet'!$B$17,Paramètres!$A$1:$I$89,3,0)*VLOOKUP('Données projet'!$B$17,Paramètres!$A$1:$I$89,5,0)</f>
        <v>2.5006556825246659E-13</v>
      </c>
      <c r="GB110" s="14">
        <f t="shared" si="103"/>
        <v>3.3765445850268018E-12</v>
      </c>
      <c r="GC110" s="22">
        <f t="shared" si="79"/>
        <v>6.3163460169613921E-12</v>
      </c>
      <c r="GD110" s="60">
        <f t="shared" si="80"/>
        <v>279.24060689287995</v>
      </c>
      <c r="GE110" s="60">
        <f ca="1">AVERAGE(OFFSET($GD$3,0,0,'Données projet'!$E$17+1,1))-AVERAGE(OFFSET($H$3,0,0,'Données projet'!$E$17+1,1))</f>
        <v>314.58662400031631</v>
      </c>
      <c r="GF110" s="60">
        <f t="shared" si="104"/>
        <v>336.99073123405981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4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300.34679999999963</v>
      </c>
      <c r="P111" s="14">
        <f t="shared" si="87"/>
        <v>71.249161187153291</v>
      </c>
      <c r="Q111" s="22">
        <f t="shared" si="107"/>
        <v>647.19629906762464</v>
      </c>
      <c r="R111" s="60">
        <f t="shared" si="55"/>
        <v>926.68138325762402</v>
      </c>
      <c r="S111" s="60">
        <f ca="1">AVERAGE(OFFSET($R$3,0,0,'Données projet'!$E$9+1,1))-AVERAGE(OFFSET($H$3,0,0,'Données projet'!$E$9+1,1))</f>
        <v>516.30971934066179</v>
      </c>
      <c r="T111" s="60">
        <f t="shared" si="88"/>
        <v>290.84286505723571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3.2051282051282044</v>
      </c>
      <c r="AI111" s="14">
        <f>IF('Données projet'!$A$62&gt;35,AI110+AH111-AQ110,IF(A111&lt;'Données projet'!$A$62,$AF$205^A111,IF(A111='Données projet'!$A$62,'Données projet'!$B$62,AI110+AH111-AQ110)))</f>
        <v>314.74358974358938</v>
      </c>
      <c r="AJ111" s="14">
        <f>AI111*VLOOKUP('Données projet'!$B$10,Paramètres!$A$1:$I$89,3,0)*VLOOKUP('Données projet'!$B$10,Paramètres!$A$1:$I$89,5,0)</f>
        <v>328.96999999999969</v>
      </c>
      <c r="AK111" s="14">
        <f t="shared" si="89"/>
        <v>77.216723056433693</v>
      </c>
      <c r="AL111" s="22">
        <f t="shared" si="58"/>
        <v>707.44187598995484</v>
      </c>
      <c r="AM111" s="60">
        <f t="shared" si="59"/>
        <v>986.92696017995422</v>
      </c>
      <c r="AN111" s="60">
        <f ca="1">AVERAGE(OFFSET($AM$3,0,0,'Données projet'!$E$10+1,1))-AVERAGE(OFFSET($H$3,0,0,'Données projet'!$E$10+1,1))</f>
        <v>529.00505223594837</v>
      </c>
      <c r="AO111" s="60">
        <f t="shared" si="90"/>
        <v>321.23004033257985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3.4106051316484809E-13</v>
      </c>
      <c r="BE111" s="14">
        <f>BD111*VLOOKUP('Données projet'!$B$11,Paramètres!$A$1:$I$89,3,0)*VLOOKUP('Données projet'!$B$11,Paramètres!$A$1:$I$89,5,0)</f>
        <v>2.9795046430081134E-13</v>
      </c>
      <c r="BF111" s="14">
        <f t="shared" si="91"/>
        <v>3.9419014464513778E-12</v>
      </c>
      <c r="BG111" s="22">
        <f t="shared" si="61"/>
        <v>7.384408744560063E-12</v>
      </c>
      <c r="BH111" s="60">
        <f t="shared" si="62"/>
        <v>279.48508419000672</v>
      </c>
      <c r="BI111" s="60">
        <f ca="1">AVERAGE(OFFSET($BH$3,0,0,'Données projet'!$E$11+1,1))-AVERAGE(OFFSET($H$3,0,0,'Données projet'!$E$11+1,1))</f>
        <v>363.28611056308665</v>
      </c>
      <c r="BJ111" s="60">
        <f t="shared" si="92"/>
        <v>389.43647559455974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296.19999999999965</v>
      </c>
      <c r="BZ111" s="14">
        <f>BY111*VLOOKUP('Données projet'!$B$12,Paramètres!$A$1:$I$89,3,0)*VLOOKUP('Données projet'!$B$12,Paramètres!$A$1:$I$89,5,0)</f>
        <v>318.8296799999996</v>
      </c>
      <c r="CA111" s="14">
        <f t="shared" si="93"/>
        <v>75.109793924882112</v>
      </c>
      <c r="CB111" s="22">
        <f t="shared" si="64"/>
        <v>686.11125041916887</v>
      </c>
      <c r="CC111" s="60">
        <f t="shared" si="65"/>
        <v>965.59633460916825</v>
      </c>
      <c r="CD111" s="60">
        <f ca="1">AVERAGE(OFFSET($CC$3,0,0,'Données projet'!$E$12+1,1))-AVERAGE(OFFSET($H$3,0,0,'Données projet'!$E$12+1,1))</f>
        <v>542.90832990875208</v>
      </c>
      <c r="CE111" s="60">
        <f t="shared" si="94"/>
        <v>304.94365539329362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5.4600000000000026</v>
      </c>
      <c r="CT111" s="13">
        <f>IF('Données projet'!$A$140&gt;35,CT110+CS111-DB110,IF(A111&lt;'Données projet'!$A$140,$CQ$205^A111,IF(A111='Données projet'!$A$140,'Données projet'!$B$140,CT110+CS111-DB110)))</f>
        <v>250.63230769230708</v>
      </c>
      <c r="CU111" s="18">
        <f>CT111*VLOOKUP('Données projet'!$B$13,Paramètres!$A$1:$I$89,3,0)*VLOOKUP('Données projet'!$B$13,Paramètres!$A$1:$I$89,5,0)</f>
        <v>117.29591999999971</v>
      </c>
      <c r="CV111" s="14">
        <f t="shared" si="95"/>
        <v>31.043482893881698</v>
      </c>
      <c r="CW111" s="22">
        <f t="shared" si="67"/>
        <v>258.35779337351011</v>
      </c>
      <c r="CX111" s="60">
        <f t="shared" si="68"/>
        <v>537.84287756350943</v>
      </c>
      <c r="CY111" s="60">
        <f ca="1">AVERAGE(OFFSET($CX$3,0,0,'Données projet'!$E$13+1,1))-AVERAGE(OFFSET($H$3,0,0,'Données projet'!$E$13+1,1))</f>
        <v>277.77877239988635</v>
      </c>
      <c r="CZ111" s="60">
        <f t="shared" si="96"/>
        <v>164.65640238394164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2.4999999999999973</v>
      </c>
      <c r="DO111" s="13">
        <f>IF('Données projet'!$A$166&gt;35,DO110+DN111-DW110,IF(A111&lt;'Données projet'!$A$166,$DL$205^A111,IF(A111='Données projet'!$A$166,'Données projet'!$B$166,DO110+DN111-DW110)))</f>
        <v>237.94871794871798</v>
      </c>
      <c r="DP111" s="18">
        <f>DO111*VLOOKUP('Données projet'!$B$14,Paramètres!$A$1:$I$89,3,0)*VLOOKUP('Données projet'!$B$14,Paramètres!$A$1:$I$89,5,0)</f>
        <v>204.16000000000003</v>
      </c>
      <c r="DQ111" s="14">
        <f t="shared" si="97"/>
        <v>50.657311543349955</v>
      </c>
      <c r="DR111" s="22">
        <f t="shared" si="70"/>
        <v>443.80681760466786</v>
      </c>
      <c r="DS111" s="60">
        <f t="shared" si="71"/>
        <v>723.29190179466718</v>
      </c>
      <c r="DT111" s="60">
        <f ca="1">AVERAGE(OFFSET($DS$3,0,0,'Données projet'!$E$14+1,1))-AVERAGE(OFFSET($H$3,0,0,'Données projet'!$E$14+1,1))</f>
        <v>354.30160274624632</v>
      </c>
      <c r="DU111" s="60">
        <f t="shared" si="98"/>
        <v>218.8005329382452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4.4000000000000004</v>
      </c>
      <c r="EJ111" s="13">
        <f>IF('Données projet'!$A$192&gt;35,EJ110+EI111-ER110,IF(A111&lt;'Données projet'!$A$192,$EG$205^A111,IF(A111='Données projet'!$A$192,'Données projet'!$B$192,EJ110+EI111-ER110)))</f>
        <v>296.19999999999965</v>
      </c>
      <c r="EK111" s="18">
        <f>EJ111*VLOOKUP('Données projet'!$B$15,Paramètres!$A$1:$I$89,3,0)*VLOOKUP('Données projet'!$B$15,Paramètres!$A$1:$I$89,5,0)</f>
        <v>286.48463999999967</v>
      </c>
      <c r="EL111" s="14">
        <f t="shared" si="99"/>
        <v>68.335568330677432</v>
      </c>
      <c r="EM111" s="22">
        <f t="shared" si="73"/>
        <v>617.97852950926267</v>
      </c>
      <c r="EN111" s="60">
        <f t="shared" si="74"/>
        <v>897.46361369926194</v>
      </c>
      <c r="EO111" s="60">
        <f ca="1">AVERAGE(OFFSET($EN$3,0,0,'Données projet'!$E$15+1,1))-AVERAGE(OFFSET($H$3,0,0,'Données projet'!$E$15+1,1))</f>
        <v>496.33873798282525</v>
      </c>
      <c r="EP111" s="60">
        <f t="shared" si="100"/>
        <v>280.25465074992246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3.4106051316484809E-13</v>
      </c>
      <c r="FF111" s="18">
        <f>FE111*VLOOKUP('Données projet'!$B$16,Paramètres!$A$1:$I$89,3,0)*VLOOKUP('Données projet'!$B$16,Paramètres!$A$1:$I$89,5,0)</f>
        <v>2.7666828827932479E-13</v>
      </c>
      <c r="FG111" s="14">
        <f t="shared" si="101"/>
        <v>3.6920483163466686E-12</v>
      </c>
      <c r="FH111" s="22">
        <f t="shared" si="76"/>
        <v>6.9121814197236049E-12</v>
      </c>
      <c r="FI111" s="60">
        <f t="shared" si="77"/>
        <v>279.48508419000626</v>
      </c>
      <c r="FJ111" s="60">
        <f ca="1">AVERAGE(OFFSET($FI$3,0,0,'Données projet'!$E$16+1,1))-AVERAGE(OFFSET($H$3,0,0,'Données projet'!$E$16+1,1))</f>
        <v>341.66430955115521</v>
      </c>
      <c r="FK111" s="60">
        <f t="shared" si="102"/>
        <v>366.15174925159192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3.4106051316484809E-13</v>
      </c>
      <c r="GA111" s="18">
        <f>FZ111*VLOOKUP('Données projet'!$B$17,Paramètres!$A$1:$I$89,3,0)*VLOOKUP('Données projet'!$B$17,Paramètres!$A$1:$I$89,5,0)</f>
        <v>2.5006556825246659E-13</v>
      </c>
      <c r="GB111" s="14">
        <f t="shared" si="103"/>
        <v>3.3765445850268018E-12</v>
      </c>
      <c r="GC111" s="22">
        <f t="shared" si="79"/>
        <v>6.3163460169613921E-12</v>
      </c>
      <c r="GD111" s="60">
        <f t="shared" si="80"/>
        <v>279.48508419000564</v>
      </c>
      <c r="GE111" s="60">
        <f ca="1">AVERAGE(OFFSET($GD$3,0,0,'Données projet'!$E$17+1,1))-AVERAGE(OFFSET($H$3,0,0,'Données projet'!$E$17+1,1))</f>
        <v>314.58662400031631</v>
      </c>
      <c r="GF111" s="60">
        <f t="shared" si="104"/>
        <v>336.99073123405981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4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304.80839999999961</v>
      </c>
      <c r="P112" s="14">
        <f t="shared" si="87"/>
        <v>72.183554053972728</v>
      </c>
      <c r="Q112" s="22">
        <f t="shared" si="107"/>
        <v>656.59431997733509</v>
      </c>
      <c r="R112" s="60">
        <f t="shared" si="55"/>
        <v>936.31964032992437</v>
      </c>
      <c r="S112" s="60">
        <f ca="1">AVERAGE(OFFSET($R$3,0,0,'Données projet'!$E$9+1,1))-AVERAGE(OFFSET($H$3,0,0,'Données projet'!$E$9+1,1))</f>
        <v>516.30971934066179</v>
      </c>
      <c r="T112" s="60">
        <f t="shared" si="88"/>
        <v>290.84286505723571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3.2051282051282044</v>
      </c>
      <c r="AI112" s="14">
        <f>IF('Données projet'!$A$62&gt;35,AI111+AH112-AQ111,IF(A112&lt;'Données projet'!$A$62,$AF$205^A112,IF(A112='Données projet'!$A$62,'Données projet'!$B$62,AI111+AH112-AQ111)))</f>
        <v>317.94871794871756</v>
      </c>
      <c r="AJ112" s="14">
        <f>AI112*VLOOKUP('Données projet'!$B$10,Paramètres!$A$1:$I$89,3,0)*VLOOKUP('Données projet'!$B$10,Paramètres!$A$1:$I$89,5,0)</f>
        <v>332.3199999999996</v>
      </c>
      <c r="AK112" s="14">
        <f t="shared" si="89"/>
        <v>77.911106070111614</v>
      </c>
      <c r="AL112" s="22">
        <f t="shared" si="58"/>
        <v>714.48584307211024</v>
      </c>
      <c r="AM112" s="60">
        <f t="shared" si="59"/>
        <v>994.21116342469952</v>
      </c>
      <c r="AN112" s="60">
        <f ca="1">AVERAGE(OFFSET($AM$3,0,0,'Données projet'!$E$10+1,1))-AVERAGE(OFFSET($H$3,0,0,'Données projet'!$E$10+1,1))</f>
        <v>529.00505223594837</v>
      </c>
      <c r="AO112" s="60">
        <f t="shared" si="90"/>
        <v>321.23004033257985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3.4106051316484809E-13</v>
      </c>
      <c r="BE112" s="14">
        <f>BD112*VLOOKUP('Données projet'!$B$11,Paramètres!$A$1:$I$89,3,0)*VLOOKUP('Données projet'!$B$11,Paramètres!$A$1:$I$89,5,0)</f>
        <v>2.9795046430081134E-13</v>
      </c>
      <c r="BF112" s="14">
        <f t="shared" si="91"/>
        <v>3.9419014464513778E-12</v>
      </c>
      <c r="BG112" s="22">
        <f t="shared" si="61"/>
        <v>7.384408744560063E-12</v>
      </c>
      <c r="BH112" s="60">
        <f t="shared" si="62"/>
        <v>279.72532035259667</v>
      </c>
      <c r="BI112" s="60">
        <f ca="1">AVERAGE(OFFSET($BH$3,0,0,'Données projet'!$E$11+1,1))-AVERAGE(OFFSET($H$3,0,0,'Données projet'!$E$11+1,1))</f>
        <v>363.28611056308665</v>
      </c>
      <c r="BJ112" s="60">
        <f t="shared" si="92"/>
        <v>389.43647559455974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300.59999999999962</v>
      </c>
      <c r="BZ112" s="14">
        <f>BY112*VLOOKUP('Données projet'!$B$12,Paramètres!$A$1:$I$89,3,0)*VLOOKUP('Données projet'!$B$12,Paramètres!$A$1:$I$89,5,0)</f>
        <v>323.56583999999958</v>
      </c>
      <c r="CA112" s="14">
        <f t="shared" si="93"/>
        <v>76.094816829044248</v>
      </c>
      <c r="CB112" s="22">
        <f t="shared" si="64"/>
        <v>696.07564397725127</v>
      </c>
      <c r="CC112" s="60">
        <f t="shared" si="65"/>
        <v>975.80096432984055</v>
      </c>
      <c r="CD112" s="60">
        <f ca="1">AVERAGE(OFFSET($CC$3,0,0,'Données projet'!$E$12+1,1))-AVERAGE(OFFSET($H$3,0,0,'Données projet'!$E$12+1,1))</f>
        <v>542.90832990875208</v>
      </c>
      <c r="CE112" s="60">
        <f t="shared" si="94"/>
        <v>304.94365539329362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>
        <f>VLOOKUP(A112,'Données projet'!$A$139:$I$159,2,0)</f>
        <v>256.09230769230771</v>
      </c>
      <c r="CR112" s="13">
        <f>VLOOKUP(A112,'Données projet'!$A$139:$I$159,9,0)</f>
        <v>5.4600000000000026</v>
      </c>
      <c r="CS112" s="13">
        <f t="array" ref="CS112">INDEX(CR:CR,MIN(IF(ISNUMBER(CR112:CR308),ROW(CR112:CR308),"")))</f>
        <v>5.4600000000000026</v>
      </c>
      <c r="CT112" s="13">
        <f>IF('Données projet'!$A$140&gt;35,CT111+CS112-DB111,IF(A112&lt;'Données projet'!$A$140,$CQ$205^A112,IF(A112='Données projet'!$A$140,'Données projet'!$B$140,CT111+CS112-DB111)))</f>
        <v>256.09230769230709</v>
      </c>
      <c r="CU112" s="18">
        <f>CT112*VLOOKUP('Données projet'!$B$13,Paramètres!$A$1:$I$89,3,0)*VLOOKUP('Données projet'!$B$13,Paramètres!$A$1:$I$89,5,0)</f>
        <v>119.85119999999972</v>
      </c>
      <c r="CV112" s="14">
        <f t="shared" si="95"/>
        <v>31.640291631938162</v>
      </c>
      <c r="CW112" s="22">
        <f t="shared" si="67"/>
        <v>263.84768125895852</v>
      </c>
      <c r="CX112" s="60">
        <f t="shared" si="68"/>
        <v>543.57300161154785</v>
      </c>
      <c r="CY112" s="60">
        <f ca="1">AVERAGE(OFFSET($CX$3,0,0,'Données projet'!$E$13+1,1))-AVERAGE(OFFSET($H$3,0,0,'Données projet'!$E$13+1,1))</f>
        <v>277.77877239988635</v>
      </c>
      <c r="CZ112" s="60">
        <f t="shared" si="96"/>
        <v>164.65640238394164</v>
      </c>
      <c r="DA112" s="16">
        <f>IF(ISNA(VLOOKUP(A112,'Données projet'!$A$139:$I$159,3,0)),0,VLOOKUP(A112,'Données projet'!$A$139:$I$159,3,0))</f>
        <v>6</v>
      </c>
      <c r="DB112" s="16">
        <f>IF(ISNA(VLOOKUP(A112,'Données projet'!$A$139:$I$159,4,0)),0,VLOOKUP(A112,'Données projet'!$A$139:$I$159,4,0))</f>
        <v>256.09230769230771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2.4999999999999973</v>
      </c>
      <c r="DO112" s="13">
        <f>IF('Données projet'!$A$166&gt;35,DO111+DN112-DW111,IF(A112&lt;'Données projet'!$A$166,$DL$205^A112,IF(A112='Données projet'!$A$166,'Données projet'!$B$166,DO111+DN112-DW111)))</f>
        <v>240.44871794871798</v>
      </c>
      <c r="DP112" s="18">
        <f>DO112*VLOOKUP('Données projet'!$B$14,Paramètres!$A$1:$I$89,3,0)*VLOOKUP('Données projet'!$B$14,Paramètres!$A$1:$I$89,5,0)</f>
        <v>206.30500000000004</v>
      </c>
      <c r="DQ112" s="14">
        <f t="shared" si="97"/>
        <v>51.127302904493099</v>
      </c>
      <c r="DR112" s="22">
        <f t="shared" si="70"/>
        <v>448.36126089199223</v>
      </c>
      <c r="DS112" s="60">
        <f t="shared" si="71"/>
        <v>728.08658124458157</v>
      </c>
      <c r="DT112" s="60">
        <f ca="1">AVERAGE(OFFSET($DS$3,0,0,'Données projet'!$E$14+1,1))-AVERAGE(OFFSET($H$3,0,0,'Données projet'!$E$14+1,1))</f>
        <v>354.30160274624632</v>
      </c>
      <c r="DU112" s="60">
        <f t="shared" si="98"/>
        <v>218.8005329382452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4.4000000000000004</v>
      </c>
      <c r="EJ112" s="13">
        <f>IF('Données projet'!$A$192&gt;35,EJ111+EI112-ER111,IF(A112&lt;'Données projet'!$A$192,$EG$205^A112,IF(A112='Données projet'!$A$192,'Données projet'!$B$192,EJ111+EI112-ER111)))</f>
        <v>300.59999999999962</v>
      </c>
      <c r="EK112" s="18">
        <f>EJ112*VLOOKUP('Données projet'!$B$15,Paramètres!$A$1:$I$89,3,0)*VLOOKUP('Données projet'!$B$15,Paramètres!$A$1:$I$89,5,0)</f>
        <v>290.74031999999966</v>
      </c>
      <c r="EL112" s="14">
        <f t="shared" si="99"/>
        <v>69.231751058085507</v>
      </c>
      <c r="EM112" s="22">
        <f t="shared" si="73"/>
        <v>626.95135709283159</v>
      </c>
      <c r="EN112" s="60">
        <f t="shared" si="74"/>
        <v>906.67667744542086</v>
      </c>
      <c r="EO112" s="60">
        <f ca="1">AVERAGE(OFFSET($EN$3,0,0,'Données projet'!$E$15+1,1))-AVERAGE(OFFSET($H$3,0,0,'Données projet'!$E$15+1,1))</f>
        <v>496.33873798282525</v>
      </c>
      <c r="EP112" s="60">
        <f t="shared" si="100"/>
        <v>280.25465074992246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3.4106051316484809E-13</v>
      </c>
      <c r="FF112" s="18">
        <f>FE112*VLOOKUP('Données projet'!$B$16,Paramètres!$A$1:$I$89,3,0)*VLOOKUP('Données projet'!$B$16,Paramètres!$A$1:$I$89,5,0)</f>
        <v>2.7666828827932479E-13</v>
      </c>
      <c r="FG112" s="14">
        <f t="shared" si="101"/>
        <v>3.6920483163466686E-12</v>
      </c>
      <c r="FH112" s="22">
        <f t="shared" si="76"/>
        <v>6.9121814197236049E-12</v>
      </c>
      <c r="FI112" s="60">
        <f t="shared" si="77"/>
        <v>279.72532035259621</v>
      </c>
      <c r="FJ112" s="60">
        <f ca="1">AVERAGE(OFFSET($FI$3,0,0,'Données projet'!$E$16+1,1))-AVERAGE(OFFSET($H$3,0,0,'Données projet'!$E$16+1,1))</f>
        <v>341.66430955115521</v>
      </c>
      <c r="FK112" s="60">
        <f t="shared" si="102"/>
        <v>366.15174925159192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3.4106051316484809E-13</v>
      </c>
      <c r="GA112" s="18">
        <f>FZ112*VLOOKUP('Données projet'!$B$17,Paramètres!$A$1:$I$89,3,0)*VLOOKUP('Données projet'!$B$17,Paramètres!$A$1:$I$89,5,0)</f>
        <v>2.5006556825246659E-13</v>
      </c>
      <c r="GB112" s="14">
        <f t="shared" si="103"/>
        <v>3.3765445850268018E-12</v>
      </c>
      <c r="GC112" s="22">
        <f t="shared" si="79"/>
        <v>6.3163460169613921E-12</v>
      </c>
      <c r="GD112" s="60">
        <f t="shared" si="80"/>
        <v>279.72532035259559</v>
      </c>
      <c r="GE112" s="60">
        <f ca="1">AVERAGE(OFFSET($GD$3,0,0,'Données projet'!$E$17+1,1))-AVERAGE(OFFSET($H$3,0,0,'Données projet'!$E$17+1,1))</f>
        <v>314.58662400031631</v>
      </c>
      <c r="GF112" s="60">
        <f t="shared" si="104"/>
        <v>336.99073123405981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4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309.26999999999958</v>
      </c>
      <c r="P113" s="14">
        <f t="shared" si="87"/>
        <v>73.116356204710968</v>
      </c>
      <c r="Q113" s="22">
        <f t="shared" si="107"/>
        <v>665.98957038987078</v>
      </c>
      <c r="R113" s="60">
        <f t="shared" si="55"/>
        <v>945.95095934471669</v>
      </c>
      <c r="S113" s="60">
        <f ca="1">AVERAGE(OFFSET($R$3,0,0,'Données projet'!$E$9+1,1))-AVERAGE(OFFSET($H$3,0,0,'Données projet'!$E$9+1,1))</f>
        <v>516.30971934066179</v>
      </c>
      <c r="T113" s="60">
        <f t="shared" si="88"/>
        <v>290.84286505723571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321.15384615384613</v>
      </c>
      <c r="AG113" s="13">
        <f>VLOOKUP(A113,'Données projet'!$A$61:$I$81,9,0)</f>
        <v>3.2051282051282044</v>
      </c>
      <c r="AH113" s="13">
        <f t="array" ref="AH113">INDEX(AG:AG,MIN(IF(ISNUMBER(AG113:AG309),ROW(AG113:AG309),"")))</f>
        <v>3.2051282051282044</v>
      </c>
      <c r="AI113" s="14">
        <f>IF('Données projet'!$A$62&gt;35,AI112+AH113-AQ112,IF(A113&lt;'Données projet'!$A$62,$AF$205^A113,IF(A113='Données projet'!$A$62,'Données projet'!$B$62,AI112+AH113-AQ112)))</f>
        <v>321.15384615384573</v>
      </c>
      <c r="AJ113" s="14">
        <f>AI113*VLOOKUP('Données projet'!$B$10,Paramètres!$A$1:$I$89,3,0)*VLOOKUP('Données projet'!$B$10,Paramètres!$A$1:$I$89,5,0)</f>
        <v>335.66999999999956</v>
      </c>
      <c r="AK113" s="14">
        <f t="shared" si="89"/>
        <v>78.604674766974242</v>
      </c>
      <c r="AL113" s="22">
        <f t="shared" si="58"/>
        <v>721.52839188581265</v>
      </c>
      <c r="AM113" s="60">
        <f t="shared" si="59"/>
        <v>1001.4897808406586</v>
      </c>
      <c r="AN113" s="60">
        <f ca="1">AVERAGE(OFFSET($AM$3,0,0,'Données projet'!$E$10+1,1))-AVERAGE(OFFSET($H$3,0,0,'Données projet'!$E$10+1,1))</f>
        <v>529.00505223594837</v>
      </c>
      <c r="AO113" s="60">
        <f t="shared" si="90"/>
        <v>321.23004033257985</v>
      </c>
      <c r="AP113" s="16">
        <f>IF(ISNA(VLOOKUP(A113,'Données projet'!$A$61:$I$81,3,0)),0,VLOOKUP(A113,'Données projet'!$A$61:$I$81,3,0))</f>
        <v>10</v>
      </c>
      <c r="AQ113" s="16">
        <f>IF(ISNA(VLOOKUP(A113,'Données projet'!$A$61:$I$81,4,0)),0,VLOOKUP(A113,'Données projet'!$A$61:$I$81,4,0))</f>
        <v>19.23076923076923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3.4106051316484809E-13</v>
      </c>
      <c r="BE113" s="14">
        <f>BD113*VLOOKUP('Données projet'!$B$11,Paramètres!$A$1:$I$89,3,0)*VLOOKUP('Données projet'!$B$11,Paramètres!$A$1:$I$89,5,0)</f>
        <v>2.9795046430081134E-13</v>
      </c>
      <c r="BF113" s="14">
        <f t="shared" si="91"/>
        <v>3.9419014464513778E-12</v>
      </c>
      <c r="BG113" s="22">
        <f t="shared" si="61"/>
        <v>7.384408744560063E-12</v>
      </c>
      <c r="BH113" s="60">
        <f t="shared" si="62"/>
        <v>279.96138895485325</v>
      </c>
      <c r="BI113" s="60">
        <f ca="1">AVERAGE(OFFSET($BH$3,0,0,'Données projet'!$E$11+1,1))-AVERAGE(OFFSET($H$3,0,0,'Données projet'!$E$11+1,1))</f>
        <v>363.28611056308665</v>
      </c>
      <c r="BJ113" s="60">
        <f t="shared" si="92"/>
        <v>389.43647559455974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304.9999999999996</v>
      </c>
      <c r="BZ113" s="14">
        <f>BY113*VLOOKUP('Données projet'!$B$12,Paramètres!$A$1:$I$89,3,0)*VLOOKUP('Données projet'!$B$12,Paramètres!$A$1:$I$89,5,0)</f>
        <v>328.30199999999957</v>
      </c>
      <c r="CA113" s="14">
        <f t="shared" si="93"/>
        <v>77.078162824242781</v>
      </c>
      <c r="CB113" s="22">
        <f t="shared" si="64"/>
        <v>706.03711691888873</v>
      </c>
      <c r="CC113" s="60">
        <f t="shared" si="65"/>
        <v>985.99850587373453</v>
      </c>
      <c r="CD113" s="60">
        <f ca="1">AVERAGE(OFFSET($CC$3,0,0,'Données projet'!$E$12+1,1))-AVERAGE(OFFSET($H$3,0,0,'Données projet'!$E$12+1,1))</f>
        <v>542.90832990875208</v>
      </c>
      <c r="CE113" s="60">
        <f t="shared" si="94"/>
        <v>304.94365539329362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-6.2527760746888816E-13</v>
      </c>
      <c r="CU113" s="18">
        <f>CT113*VLOOKUP('Données projet'!$B$13,Paramètres!$A$1:$I$89,3,0)*VLOOKUP('Données projet'!$B$13,Paramètres!$A$1:$I$89,5,0)</f>
        <v>-2.9262992029543964E-13</v>
      </c>
      <c r="CV113" s="14" t="e">
        <f t="shared" si="95"/>
        <v>#NUM!</v>
      </c>
      <c r="CW113" s="22" t="e">
        <f t="shared" si="67"/>
        <v>#NUM!</v>
      </c>
      <c r="CX113" s="60" t="e">
        <f t="shared" si="68"/>
        <v>#NUM!</v>
      </c>
      <c r="CY113" s="60">
        <f ca="1">AVERAGE(OFFSET($CX$3,0,0,'Données projet'!$E$13+1,1))-AVERAGE(OFFSET($H$3,0,0,'Données projet'!$E$13+1,1))</f>
        <v>277.77877239988635</v>
      </c>
      <c r="CZ113" s="60">
        <f t="shared" si="96"/>
        <v>164.65640238394164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242.94871794871793</v>
      </c>
      <c r="DM113" s="13">
        <f>VLOOKUP(A113,'Données projet'!$A$165:$I$185,9,0)</f>
        <v>2.4999999999999973</v>
      </c>
      <c r="DN113" s="13">
        <f t="array" ref="DN113">INDEX(DM:DM,MIN(IF(ISNUMBER(DM113:DM309),ROW(DM113:DM309),"")))</f>
        <v>2.4999999999999973</v>
      </c>
      <c r="DO113" s="13">
        <f>IF('Données projet'!$A$166&gt;35,DO112+DN113-DW112,IF(A113&lt;'Données projet'!$A$166,$DL$205^A113,IF(A113='Données projet'!$A$166,'Données projet'!$B$166,DO112+DN113-DW112)))</f>
        <v>242.94871794871798</v>
      </c>
      <c r="DP113" s="18">
        <f>DO113*VLOOKUP('Données projet'!$B$14,Paramètres!$A$1:$I$89,3,0)*VLOOKUP('Données projet'!$B$14,Paramètres!$A$1:$I$89,5,0)</f>
        <v>208.45000000000005</v>
      </c>
      <c r="DQ113" s="14">
        <f t="shared" si="97"/>
        <v>51.596725797795735</v>
      </c>
      <c r="DR113" s="22">
        <f t="shared" si="70"/>
        <v>452.91471409782758</v>
      </c>
      <c r="DS113" s="60">
        <f t="shared" si="71"/>
        <v>732.87610305267344</v>
      </c>
      <c r="DT113" s="60">
        <f ca="1">AVERAGE(OFFSET($DS$3,0,0,'Données projet'!$E$14+1,1))-AVERAGE(OFFSET($H$3,0,0,'Données projet'!$E$14+1,1))</f>
        <v>354.30160274624632</v>
      </c>
      <c r="DU113" s="60">
        <f t="shared" si="98"/>
        <v>218.8005329382452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14.102564102564102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305</v>
      </c>
      <c r="EH113" s="13">
        <f>VLOOKUP(A113,'Données projet'!$A$191:$I$211,9,0)</f>
        <v>4.4000000000000004</v>
      </c>
      <c r="EI113" s="13">
        <f t="array" ref="EI113">INDEX(EH:EH,MIN(IF(ISNUMBER(EH113:EH309),ROW(EH113:EH309),"")))</f>
        <v>4.4000000000000004</v>
      </c>
      <c r="EJ113" s="13">
        <f>IF('Données projet'!$A$192&gt;35,EJ112+EI113-ER112,IF(A113&lt;'Données projet'!$A$192,$EG$205^A113,IF(A113='Données projet'!$A$192,'Données projet'!$B$192,EJ112+EI113-ER112)))</f>
        <v>304.9999999999996</v>
      </c>
      <c r="EK113" s="18">
        <f>EJ113*VLOOKUP('Données projet'!$B$15,Paramètres!$A$1:$I$89,3,0)*VLOOKUP('Données projet'!$B$15,Paramètres!$A$1:$I$89,5,0)</f>
        <v>294.99599999999958</v>
      </c>
      <c r="EL113" s="14">
        <f t="shared" si="99"/>
        <v>70.126408118585317</v>
      </c>
      <c r="EM113" s="22">
        <f t="shared" si="73"/>
        <v>635.92152747320199</v>
      </c>
      <c r="EN113" s="60">
        <f t="shared" si="74"/>
        <v>915.88291642804779</v>
      </c>
      <c r="EO113" s="60">
        <f ca="1">AVERAGE(OFFSET($EN$3,0,0,'Données projet'!$E$15+1,1))-AVERAGE(OFFSET($H$3,0,0,'Données projet'!$E$15+1,1))</f>
        <v>496.33873798282525</v>
      </c>
      <c r="EP113" s="60">
        <f t="shared" si="100"/>
        <v>280.25465074992246</v>
      </c>
      <c r="EQ113" s="16">
        <f>IF(ISNA(VLOOKUP(A113,'Données projet'!$A$191:$I$211,3,0)),0,VLOOKUP(A113,'Données projet'!$A$191:$I$211,3,0))</f>
        <v>9</v>
      </c>
      <c r="ER113" s="16">
        <f>IF(ISNA(VLOOKUP(A113,'Données projet'!$A$191:$I$211,4,0)),0,VLOOKUP(A113,'Données projet'!$A$191:$I$211,4,0))</f>
        <v>39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3.4106051316484809E-13</v>
      </c>
      <c r="FF113" s="18">
        <f>FE113*VLOOKUP('Données projet'!$B$16,Paramètres!$A$1:$I$89,3,0)*VLOOKUP('Données projet'!$B$16,Paramètres!$A$1:$I$89,5,0)</f>
        <v>2.7666828827932479E-13</v>
      </c>
      <c r="FG113" s="14">
        <f t="shared" si="101"/>
        <v>3.6920483163466686E-12</v>
      </c>
      <c r="FH113" s="22">
        <f t="shared" si="76"/>
        <v>6.9121814197236049E-12</v>
      </c>
      <c r="FI113" s="60">
        <f t="shared" si="77"/>
        <v>279.96138895485279</v>
      </c>
      <c r="FJ113" s="60">
        <f ca="1">AVERAGE(OFFSET($FI$3,0,0,'Données projet'!$E$16+1,1))-AVERAGE(OFFSET($H$3,0,0,'Données projet'!$E$16+1,1))</f>
        <v>341.66430955115521</v>
      </c>
      <c r="FK113" s="60">
        <f t="shared" si="102"/>
        <v>366.15174925159192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3.4106051316484809E-13</v>
      </c>
      <c r="GA113" s="18">
        <f>FZ113*VLOOKUP('Données projet'!$B$17,Paramètres!$A$1:$I$89,3,0)*VLOOKUP('Données projet'!$B$17,Paramètres!$A$1:$I$89,5,0)</f>
        <v>2.5006556825246659E-13</v>
      </c>
      <c r="GB113" s="14">
        <f t="shared" si="103"/>
        <v>3.3765445850268018E-12</v>
      </c>
      <c r="GC113" s="22">
        <f t="shared" si="79"/>
        <v>6.3163460169613921E-12</v>
      </c>
      <c r="GD113" s="60">
        <f t="shared" si="80"/>
        <v>279.96138895485217</v>
      </c>
      <c r="GE113" s="60">
        <f ca="1">AVERAGE(OFFSET($GD$3,0,0,'Données projet'!$E$17+1,1))-AVERAGE(OFFSET($H$3,0,0,'Données projet'!$E$17+1,1))</f>
        <v>314.58662400031631</v>
      </c>
      <c r="GF113" s="60">
        <f t="shared" si="104"/>
        <v>336.99073123405981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4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273.47579999999959</v>
      </c>
      <c r="P114" s="14">
        <f t="shared" si="87"/>
        <v>65.586371730977532</v>
      </c>
      <c r="Q114" s="22">
        <f t="shared" si="107"/>
        <v>590.53328243145177</v>
      </c>
      <c r="R114" s="60">
        <f t="shared" si="55"/>
        <v>870.72664472607539</v>
      </c>
      <c r="S114" s="60">
        <f ca="1">AVERAGE(OFFSET($R$3,0,0,'Données projet'!$E$9+1,1))-AVERAGE(OFFSET($H$3,0,0,'Données projet'!$E$9+1,1))</f>
        <v>516.30971934066179</v>
      </c>
      <c r="T114" s="60">
        <f t="shared" si="88"/>
        <v>290.84286505723571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2.8846153846153868</v>
      </c>
      <c r="AI114" s="14">
        <f>IF('Données projet'!$A$62&gt;35,AI113+AH114-AQ113,IF(A114&lt;'Données projet'!$A$62,$AF$205^A114,IF(A114='Données projet'!$A$62,'Données projet'!$B$62,AI113+AH114-AQ113)))</f>
        <v>304.80769230769187</v>
      </c>
      <c r="AJ114" s="14">
        <f>AI114*VLOOKUP('Données projet'!$B$10,Paramètres!$A$1:$I$89,3,0)*VLOOKUP('Données projet'!$B$10,Paramètres!$A$1:$I$89,5,0)</f>
        <v>318.58499999999958</v>
      </c>
      <c r="AK114" s="14">
        <f t="shared" si="89"/>
        <v>75.058859499755215</v>
      </c>
      <c r="AL114" s="22">
        <f t="shared" si="58"/>
        <v>685.59638862873953</v>
      </c>
      <c r="AM114" s="60">
        <f t="shared" si="59"/>
        <v>965.78975092336304</v>
      </c>
      <c r="AN114" s="60">
        <f ca="1">AVERAGE(OFFSET($AM$3,0,0,'Données projet'!$E$10+1,1))-AVERAGE(OFFSET($H$3,0,0,'Données projet'!$E$10+1,1))</f>
        <v>529.00505223594837</v>
      </c>
      <c r="AO114" s="60">
        <f t="shared" si="90"/>
        <v>321.23004033257985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3.4106051316484809E-13</v>
      </c>
      <c r="BE114" s="14">
        <f>BD114*VLOOKUP('Données projet'!$B$11,Paramètres!$A$1:$I$89,3,0)*VLOOKUP('Données projet'!$B$11,Paramètres!$A$1:$I$89,5,0)</f>
        <v>2.9795046430081134E-13</v>
      </c>
      <c r="BF114" s="14">
        <f t="shared" si="91"/>
        <v>3.9419014464513778E-12</v>
      </c>
      <c r="BG114" s="22">
        <f t="shared" si="61"/>
        <v>7.384408744560063E-12</v>
      </c>
      <c r="BH114" s="60">
        <f t="shared" si="62"/>
        <v>280.19336229463096</v>
      </c>
      <c r="BI114" s="60">
        <f ca="1">AVERAGE(OFFSET($BH$3,0,0,'Données projet'!$E$11+1,1))-AVERAGE(OFFSET($H$3,0,0,'Données projet'!$E$11+1,1))</f>
        <v>363.28611056308665</v>
      </c>
      <c r="BJ114" s="60">
        <f t="shared" si="92"/>
        <v>389.43647559455974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269.69999999999959</v>
      </c>
      <c r="BZ114" s="14">
        <f>BY114*VLOOKUP('Données projet'!$B$12,Paramètres!$A$1:$I$89,3,0)*VLOOKUP('Données projet'!$B$12,Paramètres!$A$1:$I$89,5,0)</f>
        <v>290.30507999999958</v>
      </c>
      <c r="CA114" s="14">
        <f t="shared" si="93"/>
        <v>69.140166465323375</v>
      </c>
      <c r="CB114" s="22">
        <f t="shared" si="64"/>
        <v>626.03380426043748</v>
      </c>
      <c r="CC114" s="60">
        <f t="shared" si="65"/>
        <v>906.2271665550611</v>
      </c>
      <c r="CD114" s="60">
        <f ca="1">AVERAGE(OFFSET($CC$3,0,0,'Données projet'!$E$12+1,1))-AVERAGE(OFFSET($H$3,0,0,'Données projet'!$E$12+1,1))</f>
        <v>542.90832990875208</v>
      </c>
      <c r="CE114" s="60">
        <f t="shared" si="94"/>
        <v>304.94365539329362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-6.2527760746888816E-13</v>
      </c>
      <c r="CU114" s="18">
        <f>CT114*VLOOKUP('Données projet'!$B$13,Paramètres!$A$1:$I$89,3,0)*VLOOKUP('Données projet'!$B$13,Paramètres!$A$1:$I$89,5,0)</f>
        <v>-2.9262992029543964E-13</v>
      </c>
      <c r="CV114" s="14" t="e">
        <f t="shared" si="95"/>
        <v>#NUM!</v>
      </c>
      <c r="CW114" s="22" t="e">
        <f t="shared" si="67"/>
        <v>#NUM!</v>
      </c>
      <c r="CX114" s="60" t="e">
        <f t="shared" si="68"/>
        <v>#NUM!</v>
      </c>
      <c r="CY114" s="60">
        <f ca="1">AVERAGE(OFFSET($CX$3,0,0,'Données projet'!$E$13+1,1))-AVERAGE(OFFSET($H$3,0,0,'Données projet'!$E$13+1,1))</f>
        <v>277.77877239988635</v>
      </c>
      <c r="CZ114" s="60">
        <f t="shared" si="96"/>
        <v>164.65640238394164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2.3076923076923093</v>
      </c>
      <c r="DO114" s="13">
        <f>IF('Données projet'!$A$166&gt;35,DO113+DN114-DW113,IF(A114&lt;'Données projet'!$A$166,$DL$205^A114,IF(A114='Données projet'!$A$166,'Données projet'!$B$166,DO113+DN114-DW113)))</f>
        <v>231.15384615384619</v>
      </c>
      <c r="DP114" s="18">
        <f>DO114*VLOOKUP('Données projet'!$B$14,Paramètres!$A$1:$I$89,3,0)*VLOOKUP('Données projet'!$B$14,Paramètres!$A$1:$I$89,5,0)</f>
        <v>198.33000000000004</v>
      </c>
      <c r="DQ114" s="14">
        <f t="shared" si="97"/>
        <v>49.376973356077912</v>
      </c>
      <c r="DR114" s="22">
        <f t="shared" si="70"/>
        <v>431.42297859516907</v>
      </c>
      <c r="DS114" s="60">
        <f t="shared" si="71"/>
        <v>711.61634088979258</v>
      </c>
      <c r="DT114" s="60">
        <f ca="1">AVERAGE(OFFSET($DS$3,0,0,'Données projet'!$E$14+1,1))-AVERAGE(OFFSET($H$3,0,0,'Données projet'!$E$14+1,1))</f>
        <v>354.30160274624632</v>
      </c>
      <c r="DU114" s="60">
        <f t="shared" si="98"/>
        <v>218.8005329382452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3.7</v>
      </c>
      <c r="EJ114" s="13">
        <f>IF('Données projet'!$A$192&gt;35,EJ113+EI114-ER113,IF(A114&lt;'Données projet'!$A$192,$EG$205^A114,IF(A114='Données projet'!$A$192,'Données projet'!$B$192,EJ113+EI114-ER113)))</f>
        <v>269.69999999999959</v>
      </c>
      <c r="EK114" s="18">
        <f>EJ114*VLOOKUP('Données projet'!$B$15,Paramètres!$A$1:$I$89,3,0)*VLOOKUP('Données projet'!$B$15,Paramètres!$A$1:$I$89,5,0)</f>
        <v>260.85383999999959</v>
      </c>
      <c r="EL114" s="14">
        <f t="shared" si="99"/>
        <v>62.904347395903649</v>
      </c>
      <c r="EM114" s="22">
        <f t="shared" si="73"/>
        <v>563.87884304786473</v>
      </c>
      <c r="EN114" s="60">
        <f t="shared" si="74"/>
        <v>844.07220534248836</v>
      </c>
      <c r="EO114" s="60">
        <f ca="1">AVERAGE(OFFSET($EN$3,0,0,'Données projet'!$E$15+1,1))-AVERAGE(OFFSET($H$3,0,0,'Données projet'!$E$15+1,1))</f>
        <v>496.33873798282525</v>
      </c>
      <c r="EP114" s="60">
        <f t="shared" si="100"/>
        <v>280.25465074992246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3.4106051316484809E-13</v>
      </c>
      <c r="FF114" s="18">
        <f>FE114*VLOOKUP('Données projet'!$B$16,Paramètres!$A$1:$I$89,3,0)*VLOOKUP('Données projet'!$B$16,Paramètres!$A$1:$I$89,5,0)</f>
        <v>2.7666828827932479E-13</v>
      </c>
      <c r="FG114" s="14">
        <f t="shared" si="101"/>
        <v>3.6920483163466686E-12</v>
      </c>
      <c r="FH114" s="22">
        <f t="shared" si="76"/>
        <v>6.9121814197236049E-12</v>
      </c>
      <c r="FI114" s="60">
        <f t="shared" si="77"/>
        <v>280.1933622946305</v>
      </c>
      <c r="FJ114" s="60">
        <f ca="1">AVERAGE(OFFSET($FI$3,0,0,'Données projet'!$E$16+1,1))-AVERAGE(OFFSET($H$3,0,0,'Données projet'!$E$16+1,1))</f>
        <v>341.66430955115521</v>
      </c>
      <c r="FK114" s="60">
        <f t="shared" si="102"/>
        <v>366.15174925159192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3.4106051316484809E-13</v>
      </c>
      <c r="GA114" s="18">
        <f>FZ114*VLOOKUP('Données projet'!$B$17,Paramètres!$A$1:$I$89,3,0)*VLOOKUP('Données projet'!$B$17,Paramètres!$A$1:$I$89,5,0)</f>
        <v>2.5006556825246659E-13</v>
      </c>
      <c r="GB114" s="14">
        <f t="shared" si="103"/>
        <v>3.3765445850268018E-12</v>
      </c>
      <c r="GC114" s="22">
        <f t="shared" si="79"/>
        <v>6.3163460169613921E-12</v>
      </c>
      <c r="GD114" s="60">
        <f t="shared" si="80"/>
        <v>280.19336229462988</v>
      </c>
      <c r="GE114" s="60">
        <f ca="1">AVERAGE(OFFSET($GD$3,0,0,'Données projet'!$E$17+1,1))-AVERAGE(OFFSET($H$3,0,0,'Données projet'!$E$17+1,1))</f>
        <v>314.58662400031631</v>
      </c>
      <c r="GF114" s="60">
        <f t="shared" si="104"/>
        <v>336.99073123405981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4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277.2275999999996</v>
      </c>
      <c r="P115" s="14">
        <f t="shared" si="87"/>
        <v>66.380782187895392</v>
      </c>
      <c r="Q115" s="22">
        <f t="shared" si="107"/>
        <v>598.45126564391705</v>
      </c>
      <c r="R115" s="60">
        <f t="shared" si="55"/>
        <v>878.87257705948787</v>
      </c>
      <c r="S115" s="60">
        <f ca="1">AVERAGE(OFFSET($R$3,0,0,'Données projet'!$E$9+1,1))-AVERAGE(OFFSET($H$3,0,0,'Données projet'!$E$9+1,1))</f>
        <v>516.30971934066179</v>
      </c>
      <c r="T115" s="60">
        <f t="shared" si="88"/>
        <v>290.84286505723571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2.8846153846153868</v>
      </c>
      <c r="AI115" s="14">
        <f>IF('Données projet'!$A$62&gt;35,AI114+AH115-AQ114,IF(A115&lt;'Données projet'!$A$62,$AF$205^A115,IF(A115='Données projet'!$A$62,'Données projet'!$B$62,AI114+AH115-AQ114)))</f>
        <v>307.69230769230728</v>
      </c>
      <c r="AJ115" s="14">
        <f>AI115*VLOOKUP('Données projet'!$B$10,Paramètres!$A$1:$I$89,3,0)*VLOOKUP('Données projet'!$B$10,Paramètres!$A$1:$I$89,5,0)</f>
        <v>321.59999999999962</v>
      </c>
      <c r="AK115" s="14">
        <f t="shared" si="89"/>
        <v>75.686168081957248</v>
      </c>
      <c r="AL115" s="22">
        <f t="shared" si="58"/>
        <v>691.94007607607489</v>
      </c>
      <c r="AM115" s="60">
        <f t="shared" si="59"/>
        <v>972.3613874916457</v>
      </c>
      <c r="AN115" s="60">
        <f ca="1">AVERAGE(OFFSET($AM$3,0,0,'Données projet'!$E$10+1,1))-AVERAGE(OFFSET($H$3,0,0,'Données projet'!$E$10+1,1))</f>
        <v>529.00505223594837</v>
      </c>
      <c r="AO115" s="60">
        <f t="shared" si="90"/>
        <v>321.23004033257985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3.4106051316484809E-13</v>
      </c>
      <c r="BE115" s="14">
        <f>BD115*VLOOKUP('Données projet'!$B$11,Paramètres!$A$1:$I$89,3,0)*VLOOKUP('Données projet'!$B$11,Paramètres!$A$1:$I$89,5,0)</f>
        <v>2.9795046430081134E-13</v>
      </c>
      <c r="BF115" s="14">
        <f t="shared" si="91"/>
        <v>3.9419014464513778E-12</v>
      </c>
      <c r="BG115" s="22">
        <f t="shared" si="61"/>
        <v>7.384408744560063E-12</v>
      </c>
      <c r="BH115" s="60">
        <f t="shared" si="62"/>
        <v>280.42131141557826</v>
      </c>
      <c r="BI115" s="60">
        <f ca="1">AVERAGE(OFFSET($BH$3,0,0,'Données projet'!$E$11+1,1))-AVERAGE(OFFSET($H$3,0,0,'Données projet'!$E$11+1,1))</f>
        <v>363.28611056308665</v>
      </c>
      <c r="BJ115" s="60">
        <f t="shared" si="92"/>
        <v>389.43647559455974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273.39999999999958</v>
      </c>
      <c r="BZ115" s="14">
        <f>BY115*VLOOKUP('Données projet'!$B$12,Paramètres!$A$1:$I$89,3,0)*VLOOKUP('Données projet'!$B$12,Paramètres!$A$1:$I$89,5,0)</f>
        <v>294.28775999999954</v>
      </c>
      <c r="CA115" s="14">
        <f t="shared" si="93"/>
        <v>69.977622018717668</v>
      </c>
      <c r="CB115" s="22">
        <f t="shared" si="64"/>
        <v>634.42887368259915</v>
      </c>
      <c r="CC115" s="60">
        <f t="shared" si="65"/>
        <v>914.85018509816996</v>
      </c>
      <c r="CD115" s="60">
        <f ca="1">AVERAGE(OFFSET($CC$3,0,0,'Données projet'!$E$12+1,1))-AVERAGE(OFFSET($H$3,0,0,'Données projet'!$E$12+1,1))</f>
        <v>542.90832990875208</v>
      </c>
      <c r="CE115" s="60">
        <f t="shared" si="94"/>
        <v>304.94365539329362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-6.2527760746888816E-13</v>
      </c>
      <c r="CU115" s="18">
        <f>CT115*VLOOKUP('Données projet'!$B$13,Paramètres!$A$1:$I$89,3,0)*VLOOKUP('Données projet'!$B$13,Paramètres!$A$1:$I$89,5,0)</f>
        <v>-2.9262992029543964E-13</v>
      </c>
      <c r="CV115" s="14" t="e">
        <f t="shared" si="95"/>
        <v>#NUM!</v>
      </c>
      <c r="CW115" s="22" t="e">
        <f t="shared" si="67"/>
        <v>#NUM!</v>
      </c>
      <c r="CX115" s="60" t="e">
        <f t="shared" si="68"/>
        <v>#NUM!</v>
      </c>
      <c r="CY115" s="60">
        <f ca="1">AVERAGE(OFFSET($CX$3,0,0,'Données projet'!$E$13+1,1))-AVERAGE(OFFSET($H$3,0,0,'Données projet'!$E$13+1,1))</f>
        <v>277.77877239988635</v>
      </c>
      <c r="CZ115" s="60">
        <f t="shared" si="96"/>
        <v>164.65640238394164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2.3076923076923093</v>
      </c>
      <c r="DO115" s="13">
        <f>IF('Données projet'!$A$166&gt;35,DO114+DN115-DW114,IF(A115&lt;'Données projet'!$A$166,$DL$205^A115,IF(A115='Données projet'!$A$166,'Données projet'!$B$166,DO114+DN115-DW114)))</f>
        <v>233.46153846153851</v>
      </c>
      <c r="DP115" s="18">
        <f>DO115*VLOOKUP('Données projet'!$B$14,Paramètres!$A$1:$I$89,3,0)*VLOOKUP('Données projet'!$B$14,Paramètres!$A$1:$I$89,5,0)</f>
        <v>200.31000000000006</v>
      </c>
      <c r="DQ115" s="14">
        <f t="shared" si="97"/>
        <v>49.812290200276045</v>
      </c>
      <c r="DR115" s="22">
        <f t="shared" si="70"/>
        <v>435.6296554321475</v>
      </c>
      <c r="DS115" s="60">
        <f t="shared" si="71"/>
        <v>716.05096684771843</v>
      </c>
      <c r="DT115" s="60">
        <f ca="1">AVERAGE(OFFSET($DS$3,0,0,'Données projet'!$E$14+1,1))-AVERAGE(OFFSET($H$3,0,0,'Données projet'!$E$14+1,1))</f>
        <v>354.30160274624632</v>
      </c>
      <c r="DU115" s="60">
        <f t="shared" si="98"/>
        <v>218.8005329382452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3.7</v>
      </c>
      <c r="EJ115" s="13">
        <f>IF('Données projet'!$A$192&gt;35,EJ114+EI115-ER114,IF(A115&lt;'Données projet'!$A$192,$EG$205^A115,IF(A115='Données projet'!$A$192,'Données projet'!$B$192,EJ114+EI115-ER114)))</f>
        <v>273.39999999999958</v>
      </c>
      <c r="EK115" s="18">
        <f>EJ115*VLOOKUP('Données projet'!$B$15,Paramètres!$A$1:$I$89,3,0)*VLOOKUP('Données projet'!$B$15,Paramètres!$A$1:$I$89,5,0)</f>
        <v>264.4324799999996</v>
      </c>
      <c r="EL115" s="14">
        <f t="shared" si="99"/>
        <v>63.666272015882292</v>
      </c>
      <c r="EM115" s="22">
        <f t="shared" si="73"/>
        <v>571.43865976099426</v>
      </c>
      <c r="EN115" s="60">
        <f t="shared" si="74"/>
        <v>851.85997117656507</v>
      </c>
      <c r="EO115" s="60">
        <f ca="1">AVERAGE(OFFSET($EN$3,0,0,'Données projet'!$E$15+1,1))-AVERAGE(OFFSET($H$3,0,0,'Données projet'!$E$15+1,1))</f>
        <v>496.33873798282525</v>
      </c>
      <c r="EP115" s="60">
        <f t="shared" si="100"/>
        <v>280.25465074992246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3.4106051316484809E-13</v>
      </c>
      <c r="FF115" s="18">
        <f>FE115*VLOOKUP('Données projet'!$B$16,Paramètres!$A$1:$I$89,3,0)*VLOOKUP('Données projet'!$B$16,Paramètres!$A$1:$I$89,5,0)</f>
        <v>2.7666828827932479E-13</v>
      </c>
      <c r="FG115" s="14">
        <f t="shared" si="101"/>
        <v>3.6920483163466686E-12</v>
      </c>
      <c r="FH115" s="22">
        <f t="shared" si="76"/>
        <v>6.9121814197236049E-12</v>
      </c>
      <c r="FI115" s="60">
        <f t="shared" si="77"/>
        <v>280.4213114155778</v>
      </c>
      <c r="FJ115" s="60">
        <f ca="1">AVERAGE(OFFSET($FI$3,0,0,'Données projet'!$E$16+1,1))-AVERAGE(OFFSET($H$3,0,0,'Données projet'!$E$16+1,1))</f>
        <v>341.66430955115521</v>
      </c>
      <c r="FK115" s="60">
        <f t="shared" si="102"/>
        <v>366.15174925159192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3.4106051316484809E-13</v>
      </c>
      <c r="GA115" s="18">
        <f>FZ115*VLOOKUP('Données projet'!$B$17,Paramètres!$A$1:$I$89,3,0)*VLOOKUP('Données projet'!$B$17,Paramètres!$A$1:$I$89,5,0)</f>
        <v>2.5006556825246659E-13</v>
      </c>
      <c r="GB115" s="14">
        <f t="shared" si="103"/>
        <v>3.3765445850268018E-12</v>
      </c>
      <c r="GC115" s="22">
        <f t="shared" si="79"/>
        <v>6.3163460169613921E-12</v>
      </c>
      <c r="GD115" s="60">
        <f t="shared" si="80"/>
        <v>280.42131141557718</v>
      </c>
      <c r="GE115" s="60">
        <f ca="1">AVERAGE(OFFSET($GD$3,0,0,'Données projet'!$E$17+1,1))-AVERAGE(OFFSET($H$3,0,0,'Données projet'!$E$17+1,1))</f>
        <v>314.58662400031631</v>
      </c>
      <c r="GF115" s="60">
        <f t="shared" si="104"/>
        <v>336.99073123405981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4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280.9793999999996</v>
      </c>
      <c r="P116" s="14">
        <f t="shared" si="87"/>
        <v>67.173942175199358</v>
      </c>
      <c r="Q116" s="22">
        <f t="shared" si="107"/>
        <v>606.36707095513827</v>
      </c>
      <c r="R116" s="60">
        <f t="shared" si="55"/>
        <v>887.01237708402596</v>
      </c>
      <c r="S116" s="60">
        <f ca="1">AVERAGE(OFFSET($R$3,0,0,'Données projet'!$E$9+1,1))-AVERAGE(OFFSET($H$3,0,0,'Données projet'!$E$9+1,1))</f>
        <v>516.30971934066179</v>
      </c>
      <c r="T116" s="60">
        <f t="shared" si="88"/>
        <v>290.84286505723571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2.8846153846153868</v>
      </c>
      <c r="AI116" s="14">
        <f>IF('Données projet'!$A$62&gt;35,AI115+AH116-AQ115,IF(A116&lt;'Données projet'!$A$62,$AF$205^A116,IF(A116='Données projet'!$A$62,'Données projet'!$B$62,AI115+AH116-AQ115)))</f>
        <v>310.57692307692264</v>
      </c>
      <c r="AJ116" s="14">
        <f>AI116*VLOOKUP('Données projet'!$B$10,Paramètres!$A$1:$I$89,3,0)*VLOOKUP('Données projet'!$B$10,Paramètres!$A$1:$I$89,5,0)</f>
        <v>324.61499999999955</v>
      </c>
      <c r="AK116" s="14">
        <f t="shared" si="89"/>
        <v>76.312792476440805</v>
      </c>
      <c r="AL116" s="22">
        <f t="shared" si="58"/>
        <v>698.28257189646683</v>
      </c>
      <c r="AM116" s="60">
        <f t="shared" si="59"/>
        <v>978.9278780253544</v>
      </c>
      <c r="AN116" s="60">
        <f ca="1">AVERAGE(OFFSET($AM$3,0,0,'Données projet'!$E$10+1,1))-AVERAGE(OFFSET($H$3,0,0,'Données projet'!$E$10+1,1))</f>
        <v>529.00505223594837</v>
      </c>
      <c r="AO116" s="60">
        <f t="shared" si="90"/>
        <v>321.23004033257985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3.4106051316484809E-13</v>
      </c>
      <c r="BE116" s="14">
        <f>BD116*VLOOKUP('Données projet'!$B$11,Paramètres!$A$1:$I$89,3,0)*VLOOKUP('Données projet'!$B$11,Paramètres!$A$1:$I$89,5,0)</f>
        <v>2.9795046430081134E-13</v>
      </c>
      <c r="BF116" s="14">
        <f t="shared" si="91"/>
        <v>3.9419014464513778E-12</v>
      </c>
      <c r="BG116" s="22">
        <f t="shared" si="61"/>
        <v>7.384408744560063E-12</v>
      </c>
      <c r="BH116" s="60">
        <f t="shared" si="62"/>
        <v>280.64530612889502</v>
      </c>
      <c r="BI116" s="60">
        <f ca="1">AVERAGE(OFFSET($BH$3,0,0,'Données projet'!$E$11+1,1))-AVERAGE(OFFSET($H$3,0,0,'Données projet'!$E$11+1,1))</f>
        <v>363.28611056308665</v>
      </c>
      <c r="BJ116" s="60">
        <f t="shared" si="92"/>
        <v>389.43647559455974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277.09999999999957</v>
      </c>
      <c r="BZ116" s="14">
        <f>BY116*VLOOKUP('Données projet'!$B$12,Paramètres!$A$1:$I$89,3,0)*VLOOKUP('Données projet'!$B$12,Paramètres!$A$1:$I$89,5,0)</f>
        <v>298.27043999999955</v>
      </c>
      <c r="CA116" s="14">
        <f t="shared" si="93"/>
        <v>70.813759345855914</v>
      </c>
      <c r="CB116" s="22">
        <f t="shared" si="64"/>
        <v>642.82164719403158</v>
      </c>
      <c r="CC116" s="60">
        <f t="shared" si="65"/>
        <v>923.46695332291915</v>
      </c>
      <c r="CD116" s="60">
        <f ca="1">AVERAGE(OFFSET($CC$3,0,0,'Données projet'!$E$12+1,1))-AVERAGE(OFFSET($H$3,0,0,'Données projet'!$E$12+1,1))</f>
        <v>542.90832990875208</v>
      </c>
      <c r="CE116" s="60">
        <f t="shared" si="94"/>
        <v>304.94365539329362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-6.2527760746888816E-13</v>
      </c>
      <c r="CU116" s="18">
        <f>CT116*VLOOKUP('Données projet'!$B$13,Paramètres!$A$1:$I$89,3,0)*VLOOKUP('Données projet'!$B$13,Paramètres!$A$1:$I$89,5,0)</f>
        <v>-2.9262992029543964E-13</v>
      </c>
      <c r="CV116" s="14" t="e">
        <f t="shared" si="95"/>
        <v>#NUM!</v>
      </c>
      <c r="CW116" s="22" t="e">
        <f t="shared" si="67"/>
        <v>#NUM!</v>
      </c>
      <c r="CX116" s="60" t="e">
        <f t="shared" si="68"/>
        <v>#NUM!</v>
      </c>
      <c r="CY116" s="60">
        <f ca="1">AVERAGE(OFFSET($CX$3,0,0,'Données projet'!$E$13+1,1))-AVERAGE(OFFSET($H$3,0,0,'Données projet'!$E$13+1,1))</f>
        <v>277.77877239988635</v>
      </c>
      <c r="CZ116" s="60">
        <f t="shared" si="96"/>
        <v>164.65640238394164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2.3076923076923093</v>
      </c>
      <c r="DO116" s="13">
        <f>IF('Données projet'!$A$166&gt;35,DO115+DN116-DW115,IF(A116&lt;'Données projet'!$A$166,$DL$205^A116,IF(A116='Données projet'!$A$166,'Données projet'!$B$166,DO115+DN116-DW115)))</f>
        <v>235.76923076923083</v>
      </c>
      <c r="DP116" s="18">
        <f>DO116*VLOOKUP('Données projet'!$B$14,Paramètres!$A$1:$I$89,3,0)*VLOOKUP('Données projet'!$B$14,Paramètres!$A$1:$I$89,5,0)</f>
        <v>202.29000000000008</v>
      </c>
      <c r="DQ116" s="14">
        <f t="shared" si="97"/>
        <v>50.247106458506956</v>
      </c>
      <c r="DR116" s="22">
        <f t="shared" si="70"/>
        <v>439.83546041523306</v>
      </c>
      <c r="DS116" s="60">
        <f t="shared" si="71"/>
        <v>720.48076654412068</v>
      </c>
      <c r="DT116" s="60">
        <f ca="1">AVERAGE(OFFSET($DS$3,0,0,'Données projet'!$E$14+1,1))-AVERAGE(OFFSET($H$3,0,0,'Données projet'!$E$14+1,1))</f>
        <v>354.30160274624632</v>
      </c>
      <c r="DU116" s="60">
        <f t="shared" si="98"/>
        <v>218.8005329382452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3.7</v>
      </c>
      <c r="EJ116" s="13">
        <f>IF('Données projet'!$A$192&gt;35,EJ115+EI116-ER115,IF(A116&lt;'Données projet'!$A$192,$EG$205^A116,IF(A116='Données projet'!$A$192,'Données projet'!$B$192,EJ115+EI116-ER115)))</f>
        <v>277.09999999999957</v>
      </c>
      <c r="EK116" s="18">
        <f>EJ116*VLOOKUP('Données projet'!$B$15,Paramètres!$A$1:$I$89,3,0)*VLOOKUP('Données projet'!$B$15,Paramètres!$A$1:$I$89,5,0)</f>
        <v>268.01111999999961</v>
      </c>
      <c r="EL116" s="14">
        <f t="shared" si="99"/>
        <v>64.426997301716796</v>
      </c>
      <c r="EM116" s="22">
        <f t="shared" si="73"/>
        <v>578.99638763382268</v>
      </c>
      <c r="EN116" s="60">
        <f t="shared" si="74"/>
        <v>859.64169376271025</v>
      </c>
      <c r="EO116" s="60">
        <f ca="1">AVERAGE(OFFSET($EN$3,0,0,'Données projet'!$E$15+1,1))-AVERAGE(OFFSET($H$3,0,0,'Données projet'!$E$15+1,1))</f>
        <v>496.33873798282525</v>
      </c>
      <c r="EP116" s="60">
        <f t="shared" si="100"/>
        <v>280.25465074992246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3.4106051316484809E-13</v>
      </c>
      <c r="FF116" s="18">
        <f>FE116*VLOOKUP('Données projet'!$B$16,Paramètres!$A$1:$I$89,3,0)*VLOOKUP('Données projet'!$B$16,Paramètres!$A$1:$I$89,5,0)</f>
        <v>2.7666828827932479E-13</v>
      </c>
      <c r="FG116" s="14">
        <f t="shared" si="101"/>
        <v>3.6920483163466686E-12</v>
      </c>
      <c r="FH116" s="22">
        <f t="shared" si="76"/>
        <v>6.9121814197236049E-12</v>
      </c>
      <c r="FI116" s="60">
        <f t="shared" si="77"/>
        <v>280.64530612889456</v>
      </c>
      <c r="FJ116" s="60">
        <f ca="1">AVERAGE(OFFSET($FI$3,0,0,'Données projet'!$E$16+1,1))-AVERAGE(OFFSET($H$3,0,0,'Données projet'!$E$16+1,1))</f>
        <v>341.66430955115521</v>
      </c>
      <c r="FK116" s="60">
        <f t="shared" si="102"/>
        <v>366.15174925159192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3.4106051316484809E-13</v>
      </c>
      <c r="GA116" s="18">
        <f>FZ116*VLOOKUP('Données projet'!$B$17,Paramètres!$A$1:$I$89,3,0)*VLOOKUP('Données projet'!$B$17,Paramètres!$A$1:$I$89,5,0)</f>
        <v>2.5006556825246659E-13</v>
      </c>
      <c r="GB116" s="14">
        <f t="shared" si="103"/>
        <v>3.3765445850268018E-12</v>
      </c>
      <c r="GC116" s="22">
        <f t="shared" si="79"/>
        <v>6.3163460169613921E-12</v>
      </c>
      <c r="GD116" s="60">
        <f t="shared" si="80"/>
        <v>280.64530612889394</v>
      </c>
      <c r="GE116" s="60">
        <f ca="1">AVERAGE(OFFSET($GD$3,0,0,'Données projet'!$E$17+1,1))-AVERAGE(OFFSET($H$3,0,0,'Données projet'!$E$17+1,1))</f>
        <v>314.58662400031631</v>
      </c>
      <c r="GF116" s="60">
        <f t="shared" si="104"/>
        <v>336.99073123405981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4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284.7311999999996</v>
      </c>
      <c r="P117" s="14">
        <f t="shared" si="87"/>
        <v>67.965870320050882</v>
      </c>
      <c r="Q117" s="22">
        <f t="shared" si="107"/>
        <v>614.28073080742126</v>
      </c>
      <c r="R117" s="60">
        <f t="shared" si="55"/>
        <v>895.14614584212677</v>
      </c>
      <c r="S117" s="60">
        <f ca="1">AVERAGE(OFFSET($R$3,0,0,'Données projet'!$E$9+1,1))-AVERAGE(OFFSET($H$3,0,0,'Données projet'!$E$9+1,1))</f>
        <v>516.30971934066179</v>
      </c>
      <c r="T117" s="60">
        <f t="shared" si="88"/>
        <v>290.84286505723571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2.8846153846153868</v>
      </c>
      <c r="AI117" s="14">
        <f>IF('Données projet'!$A$62&gt;35,AI116+AH117-AQ116,IF(A117&lt;'Données projet'!$A$62,$AF$205^A117,IF(A117='Données projet'!$A$62,'Données projet'!$B$62,AI116+AH117-AQ116)))</f>
        <v>313.461538461538</v>
      </c>
      <c r="AJ117" s="14">
        <f>AI117*VLOOKUP('Données projet'!$B$10,Paramètres!$A$1:$I$89,3,0)*VLOOKUP('Données projet'!$B$10,Paramètres!$A$1:$I$89,5,0)</f>
        <v>327.62999999999954</v>
      </c>
      <c r="AK117" s="14">
        <f t="shared" si="89"/>
        <v>76.938739773947404</v>
      </c>
      <c r="AL117" s="22">
        <f t="shared" si="58"/>
        <v>704.62388843962435</v>
      </c>
      <c r="AM117" s="60">
        <f t="shared" si="59"/>
        <v>985.48930347432974</v>
      </c>
      <c r="AN117" s="60">
        <f ca="1">AVERAGE(OFFSET($AM$3,0,0,'Données projet'!$E$10+1,1))-AVERAGE(OFFSET($H$3,0,0,'Données projet'!$E$10+1,1))</f>
        <v>529.00505223594837</v>
      </c>
      <c r="AO117" s="60">
        <f t="shared" si="90"/>
        <v>321.23004033257985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3.4106051316484809E-13</v>
      </c>
      <c r="BE117" s="14">
        <f>BD117*VLOOKUP('Données projet'!$B$11,Paramètres!$A$1:$I$89,3,0)*VLOOKUP('Données projet'!$B$11,Paramètres!$A$1:$I$89,5,0)</f>
        <v>2.9795046430081134E-13</v>
      </c>
      <c r="BF117" s="14">
        <f t="shared" si="91"/>
        <v>3.9419014464513778E-12</v>
      </c>
      <c r="BG117" s="22">
        <f t="shared" si="61"/>
        <v>7.384408744560063E-12</v>
      </c>
      <c r="BH117" s="60">
        <f t="shared" si="62"/>
        <v>280.86541503471284</v>
      </c>
      <c r="BI117" s="60">
        <f ca="1">AVERAGE(OFFSET($BH$3,0,0,'Données projet'!$E$11+1,1))-AVERAGE(OFFSET($H$3,0,0,'Données projet'!$E$11+1,1))</f>
        <v>363.28611056308665</v>
      </c>
      <c r="BJ117" s="60">
        <f t="shared" si="92"/>
        <v>389.43647559455974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280.79999999999956</v>
      </c>
      <c r="BZ117" s="14">
        <f>BY117*VLOOKUP('Données projet'!$B$12,Paramètres!$A$1:$I$89,3,0)*VLOOKUP('Données projet'!$B$12,Paramètres!$A$1:$I$89,5,0)</f>
        <v>302.25311999999951</v>
      </c>
      <c r="CA117" s="14">
        <f t="shared" si="93"/>
        <v>71.648598083211283</v>
      </c>
      <c r="CB117" s="22">
        <f t="shared" si="64"/>
        <v>651.21215899492529</v>
      </c>
      <c r="CC117" s="60">
        <f t="shared" si="65"/>
        <v>932.0775740296308</v>
      </c>
      <c r="CD117" s="60">
        <f ca="1">AVERAGE(OFFSET($CC$3,0,0,'Données projet'!$E$12+1,1))-AVERAGE(OFFSET($H$3,0,0,'Données projet'!$E$12+1,1))</f>
        <v>542.90832990875208</v>
      </c>
      <c r="CE117" s="60">
        <f t="shared" si="94"/>
        <v>304.94365539329362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-6.2527760746888816E-13</v>
      </c>
      <c r="CU117" s="18">
        <f>CT117*VLOOKUP('Données projet'!$B$13,Paramètres!$A$1:$I$89,3,0)*VLOOKUP('Données projet'!$B$13,Paramètres!$A$1:$I$89,5,0)</f>
        <v>-2.9262992029543964E-13</v>
      </c>
      <c r="CV117" s="14" t="e">
        <f t="shared" si="95"/>
        <v>#NUM!</v>
      </c>
      <c r="CW117" s="22" t="e">
        <f t="shared" si="67"/>
        <v>#NUM!</v>
      </c>
      <c r="CX117" s="60" t="e">
        <f t="shared" si="68"/>
        <v>#NUM!</v>
      </c>
      <c r="CY117" s="60">
        <f ca="1">AVERAGE(OFFSET($CX$3,0,0,'Données projet'!$E$13+1,1))-AVERAGE(OFFSET($H$3,0,0,'Données projet'!$E$13+1,1))</f>
        <v>277.77877239988635</v>
      </c>
      <c r="CZ117" s="60">
        <f t="shared" si="96"/>
        <v>164.65640238394164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2.3076923076923093</v>
      </c>
      <c r="DO117" s="13">
        <f>IF('Données projet'!$A$166&gt;35,DO116+DN117-DW116,IF(A117&lt;'Données projet'!$A$166,$DL$205^A117,IF(A117='Données projet'!$A$166,'Données projet'!$B$166,DO116+DN117-DW116)))</f>
        <v>238.07692307692315</v>
      </c>
      <c r="DP117" s="18">
        <f>DO117*VLOOKUP('Données projet'!$B$14,Paramètres!$A$1:$I$89,3,0)*VLOOKUP('Données projet'!$B$14,Paramètres!$A$1:$I$89,5,0)</f>
        <v>204.27000000000007</v>
      </c>
      <c r="DQ117" s="14">
        <f t="shared" si="97"/>
        <v>50.68142759785573</v>
      </c>
      <c r="DR117" s="22">
        <f t="shared" si="70"/>
        <v>444.04040306626547</v>
      </c>
      <c r="DS117" s="60">
        <f t="shared" si="71"/>
        <v>724.90581810097092</v>
      </c>
      <c r="DT117" s="60">
        <f ca="1">AVERAGE(OFFSET($DS$3,0,0,'Données projet'!$E$14+1,1))-AVERAGE(OFFSET($H$3,0,0,'Données projet'!$E$14+1,1))</f>
        <v>354.30160274624632</v>
      </c>
      <c r="DU117" s="60">
        <f t="shared" si="98"/>
        <v>218.8005329382452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3.7</v>
      </c>
      <c r="EJ117" s="13">
        <f>IF('Données projet'!$A$192&gt;35,EJ116+EI117-ER116,IF(A117&lt;'Données projet'!$A$192,$EG$205^A117,IF(A117='Données projet'!$A$192,'Données projet'!$B$192,EJ116+EI117-ER116)))</f>
        <v>280.79999999999956</v>
      </c>
      <c r="EK117" s="18">
        <f>EJ117*VLOOKUP('Données projet'!$B$15,Paramètres!$A$1:$I$89,3,0)*VLOOKUP('Données projet'!$B$15,Paramètres!$A$1:$I$89,5,0)</f>
        <v>271.58975999999956</v>
      </c>
      <c r="EL117" s="14">
        <f t="shared" si="99"/>
        <v>65.186541118848012</v>
      </c>
      <c r="EM117" s="22">
        <f t="shared" si="73"/>
        <v>586.55205778199286</v>
      </c>
      <c r="EN117" s="60">
        <f t="shared" si="74"/>
        <v>867.41747281669836</v>
      </c>
      <c r="EO117" s="60">
        <f ca="1">AVERAGE(OFFSET($EN$3,0,0,'Données projet'!$E$15+1,1))-AVERAGE(OFFSET($H$3,0,0,'Données projet'!$E$15+1,1))</f>
        <v>496.33873798282525</v>
      </c>
      <c r="EP117" s="60">
        <f t="shared" si="100"/>
        <v>280.25465074992246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3.4106051316484809E-13</v>
      </c>
      <c r="FF117" s="18">
        <f>FE117*VLOOKUP('Données projet'!$B$16,Paramètres!$A$1:$I$89,3,0)*VLOOKUP('Données projet'!$B$16,Paramètres!$A$1:$I$89,5,0)</f>
        <v>2.7666828827932479E-13</v>
      </c>
      <c r="FG117" s="14">
        <f t="shared" si="101"/>
        <v>3.6920483163466686E-12</v>
      </c>
      <c r="FH117" s="22">
        <f t="shared" si="76"/>
        <v>6.9121814197236049E-12</v>
      </c>
      <c r="FI117" s="60">
        <f t="shared" si="77"/>
        <v>280.86541503471238</v>
      </c>
      <c r="FJ117" s="60">
        <f ca="1">AVERAGE(OFFSET($FI$3,0,0,'Données projet'!$E$16+1,1))-AVERAGE(OFFSET($H$3,0,0,'Données projet'!$E$16+1,1))</f>
        <v>341.66430955115521</v>
      </c>
      <c r="FK117" s="60">
        <f t="shared" si="102"/>
        <v>366.15174925159192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3.4106051316484809E-13</v>
      </c>
      <c r="GA117" s="18">
        <f>FZ117*VLOOKUP('Données projet'!$B$17,Paramètres!$A$1:$I$89,3,0)*VLOOKUP('Données projet'!$B$17,Paramètres!$A$1:$I$89,5,0)</f>
        <v>2.5006556825246659E-13</v>
      </c>
      <c r="GB117" s="14">
        <f t="shared" si="103"/>
        <v>3.3765445850268018E-12</v>
      </c>
      <c r="GC117" s="22">
        <f t="shared" si="79"/>
        <v>6.3163460169613921E-12</v>
      </c>
      <c r="GD117" s="60">
        <f t="shared" si="80"/>
        <v>280.86541503471176</v>
      </c>
      <c r="GE117" s="60">
        <f ca="1">AVERAGE(OFFSET($GD$3,0,0,'Données projet'!$E$17+1,1))-AVERAGE(OFFSET($H$3,0,0,'Données projet'!$E$17+1,1))</f>
        <v>314.58662400031631</v>
      </c>
      <c r="GF117" s="60">
        <f t="shared" si="104"/>
        <v>336.99073123405981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4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288.48299999999955</v>
      </c>
      <c r="P118" s="14">
        <f t="shared" si="87"/>
        <v>68.756584730508635</v>
      </c>
      <c r="Q118" s="22">
        <f t="shared" si="107"/>
        <v>622.19227673896842</v>
      </c>
      <c r="R118" s="60">
        <f t="shared" si="55"/>
        <v>903.27398228206562</v>
      </c>
      <c r="S118" s="60">
        <f ca="1">AVERAGE(OFFSET($R$3,0,0,'Données projet'!$E$9+1,1))-AVERAGE(OFFSET($H$3,0,0,'Données projet'!$E$9+1,1))</f>
        <v>516.30971934066179</v>
      </c>
      <c r="T118" s="60">
        <f t="shared" si="88"/>
        <v>290.84286505723571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2.8846153846153868</v>
      </c>
      <c r="AI118" s="14">
        <f>IF('Données projet'!$A$62&gt;35,AI117+AH118-AQ117,IF(A118&lt;'Données projet'!$A$62,$AF$205^A118,IF(A118='Données projet'!$A$62,'Données projet'!$B$62,AI117+AH118-AQ117)))</f>
        <v>316.34615384615336</v>
      </c>
      <c r="AJ118" s="14">
        <f>AI118*VLOOKUP('Données projet'!$B$10,Paramètres!$A$1:$I$89,3,0)*VLOOKUP('Données projet'!$B$10,Paramètres!$A$1:$I$89,5,0)</f>
        <v>330.64499999999953</v>
      </c>
      <c r="AK118" s="14">
        <f t="shared" si="89"/>
        <v>77.564016927186358</v>
      </c>
      <c r="AL118" s="22">
        <f t="shared" si="58"/>
        <v>710.96403781484867</v>
      </c>
      <c r="AM118" s="60">
        <f t="shared" si="59"/>
        <v>992.04574335794587</v>
      </c>
      <c r="AN118" s="60">
        <f ca="1">AVERAGE(OFFSET($AM$3,0,0,'Données projet'!$E$10+1,1))-AVERAGE(OFFSET($H$3,0,0,'Données projet'!$E$10+1,1))</f>
        <v>529.00505223594837</v>
      </c>
      <c r="AO118" s="60">
        <f t="shared" si="90"/>
        <v>321.23004033257985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3.4106051316484809E-13</v>
      </c>
      <c r="BE118" s="14">
        <f>BD118*VLOOKUP('Données projet'!$B$11,Paramètres!$A$1:$I$89,3,0)*VLOOKUP('Données projet'!$B$11,Paramètres!$A$1:$I$89,5,0)</f>
        <v>2.9795046430081134E-13</v>
      </c>
      <c r="BF118" s="14">
        <f t="shared" si="91"/>
        <v>3.9419014464513778E-12</v>
      </c>
      <c r="BG118" s="22">
        <f t="shared" si="61"/>
        <v>7.384408744560063E-12</v>
      </c>
      <c r="BH118" s="60">
        <f t="shared" si="62"/>
        <v>281.08170554310465</v>
      </c>
      <c r="BI118" s="60">
        <f ca="1">AVERAGE(OFFSET($BH$3,0,0,'Données projet'!$E$11+1,1))-AVERAGE(OFFSET($H$3,0,0,'Données projet'!$E$11+1,1))</f>
        <v>363.28611056308665</v>
      </c>
      <c r="BJ118" s="60">
        <f t="shared" si="92"/>
        <v>389.43647559455974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284.49999999999955</v>
      </c>
      <c r="BZ118" s="14">
        <f>BY118*VLOOKUP('Données projet'!$B$12,Paramètres!$A$1:$I$89,3,0)*VLOOKUP('Données projet'!$B$12,Paramètres!$A$1:$I$89,5,0)</f>
        <v>306.23579999999947</v>
      </c>
      <c r="CA118" s="14">
        <f t="shared" si="93"/>
        <v>72.482157320026886</v>
      </c>
      <c r="CB118" s="22">
        <f t="shared" si="64"/>
        <v>659.6004423323792</v>
      </c>
      <c r="CC118" s="60">
        <f t="shared" si="65"/>
        <v>940.6821478754764</v>
      </c>
      <c r="CD118" s="60">
        <f ca="1">AVERAGE(OFFSET($CC$3,0,0,'Données projet'!$E$12+1,1))-AVERAGE(OFFSET($H$3,0,0,'Données projet'!$E$12+1,1))</f>
        <v>542.90832990875208</v>
      </c>
      <c r="CE118" s="60">
        <f t="shared" si="94"/>
        <v>304.94365539329362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-6.2527760746888816E-13</v>
      </c>
      <c r="CU118" s="18">
        <f>CT118*VLOOKUP('Données projet'!$B$13,Paramètres!$A$1:$I$89,3,0)*VLOOKUP('Données projet'!$B$13,Paramètres!$A$1:$I$89,5,0)</f>
        <v>-2.9262992029543964E-13</v>
      </c>
      <c r="CV118" s="14" t="e">
        <f t="shared" si="95"/>
        <v>#NUM!</v>
      </c>
      <c r="CW118" s="22" t="e">
        <f t="shared" si="67"/>
        <v>#NUM!</v>
      </c>
      <c r="CX118" s="60" t="e">
        <f t="shared" si="68"/>
        <v>#NUM!</v>
      </c>
      <c r="CY118" s="60">
        <f ca="1">AVERAGE(OFFSET($CX$3,0,0,'Données projet'!$E$13+1,1))-AVERAGE(OFFSET($H$3,0,0,'Données projet'!$E$13+1,1))</f>
        <v>277.77877239988635</v>
      </c>
      <c r="CZ118" s="60">
        <f t="shared" si="96"/>
        <v>164.65640238394164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2.3076923076923093</v>
      </c>
      <c r="DO118" s="13">
        <f>IF('Données projet'!$A$166&gt;35,DO117+DN118-DW117,IF(A118&lt;'Données projet'!$A$166,$DL$205^A118,IF(A118='Données projet'!$A$166,'Données projet'!$B$166,DO117+DN118-DW117)))</f>
        <v>240.38461538461547</v>
      </c>
      <c r="DP118" s="18">
        <f>DO118*VLOOKUP('Données projet'!$B$14,Paramètres!$A$1:$I$89,3,0)*VLOOKUP('Données projet'!$B$14,Paramètres!$A$1:$I$89,5,0)</f>
        <v>206.25000000000009</v>
      </c>
      <c r="DQ118" s="14">
        <f t="shared" si="97"/>
        <v>51.115258973311605</v>
      </c>
      <c r="DR118" s="22">
        <f t="shared" si="70"/>
        <v>448.24449271185125</v>
      </c>
      <c r="DS118" s="60">
        <f t="shared" si="71"/>
        <v>729.32619825494851</v>
      </c>
      <c r="DT118" s="60">
        <f ca="1">AVERAGE(OFFSET($DS$3,0,0,'Données projet'!$E$14+1,1))-AVERAGE(OFFSET($H$3,0,0,'Données projet'!$E$14+1,1))</f>
        <v>354.30160274624632</v>
      </c>
      <c r="DU118" s="60">
        <f t="shared" si="98"/>
        <v>218.8005329382452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3.7</v>
      </c>
      <c r="EJ118" s="13">
        <f>IF('Données projet'!$A$192&gt;35,EJ117+EI118-ER117,IF(A118&lt;'Données projet'!$A$192,$EG$205^A118,IF(A118='Données projet'!$A$192,'Données projet'!$B$192,EJ117+EI118-ER117)))</f>
        <v>284.49999999999955</v>
      </c>
      <c r="EK118" s="18">
        <f>EJ118*VLOOKUP('Données projet'!$B$15,Paramètres!$A$1:$I$89,3,0)*VLOOKUP('Données projet'!$B$15,Paramètres!$A$1:$I$89,5,0)</f>
        <v>275.16839999999956</v>
      </c>
      <c r="EL118" s="14">
        <f t="shared" si="99"/>
        <v>65.944920834841554</v>
      </c>
      <c r="EM118" s="22">
        <f t="shared" si="73"/>
        <v>594.10570045401494</v>
      </c>
      <c r="EN118" s="60">
        <f t="shared" si="74"/>
        <v>875.18740599711214</v>
      </c>
      <c r="EO118" s="60">
        <f ca="1">AVERAGE(OFFSET($EN$3,0,0,'Données projet'!$E$15+1,1))-AVERAGE(OFFSET($H$3,0,0,'Données projet'!$E$15+1,1))</f>
        <v>496.33873798282525</v>
      </c>
      <c r="EP118" s="60">
        <f t="shared" si="100"/>
        <v>280.25465074992246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3.4106051316484809E-13</v>
      </c>
      <c r="FF118" s="18">
        <f>FE118*VLOOKUP('Données projet'!$B$16,Paramètres!$A$1:$I$89,3,0)*VLOOKUP('Données projet'!$B$16,Paramètres!$A$1:$I$89,5,0)</f>
        <v>2.7666828827932479E-13</v>
      </c>
      <c r="FG118" s="14">
        <f t="shared" si="101"/>
        <v>3.6920483163466686E-12</v>
      </c>
      <c r="FH118" s="22">
        <f t="shared" si="76"/>
        <v>6.9121814197236049E-12</v>
      </c>
      <c r="FI118" s="60">
        <f t="shared" si="77"/>
        <v>281.08170554310419</v>
      </c>
      <c r="FJ118" s="60">
        <f ca="1">AVERAGE(OFFSET($FI$3,0,0,'Données projet'!$E$16+1,1))-AVERAGE(OFFSET($H$3,0,0,'Données projet'!$E$16+1,1))</f>
        <v>341.66430955115521</v>
      </c>
      <c r="FK118" s="60">
        <f t="shared" si="102"/>
        <v>366.15174925159192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3.4106051316484809E-13</v>
      </c>
      <c r="GA118" s="18">
        <f>FZ118*VLOOKUP('Données projet'!$B$17,Paramètres!$A$1:$I$89,3,0)*VLOOKUP('Données projet'!$B$17,Paramètres!$A$1:$I$89,5,0)</f>
        <v>2.5006556825246659E-13</v>
      </c>
      <c r="GB118" s="14">
        <f t="shared" si="103"/>
        <v>3.3765445850268018E-12</v>
      </c>
      <c r="GC118" s="22">
        <f t="shared" si="79"/>
        <v>6.3163460169613921E-12</v>
      </c>
      <c r="GD118" s="60">
        <f t="shared" si="80"/>
        <v>281.08170554310357</v>
      </c>
      <c r="GE118" s="60">
        <f ca="1">AVERAGE(OFFSET($GD$3,0,0,'Données projet'!$E$17+1,1))-AVERAGE(OFFSET($H$3,0,0,'Données projet'!$E$17+1,1))</f>
        <v>314.58662400031631</v>
      </c>
      <c r="GF118" s="60">
        <f t="shared" si="104"/>
        <v>336.99073123405981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4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292.23479999999955</v>
      </c>
      <c r="P119" s="14">
        <f t="shared" si="87"/>
        <v>69.546103016553644</v>
      </c>
      <c r="Q119" s="22">
        <f t="shared" si="107"/>
        <v>630.10173942049676</v>
      </c>
      <c r="R119" s="60">
        <f t="shared" si="55"/>
        <v>911.39598331521825</v>
      </c>
      <c r="S119" s="60">
        <f ca="1">AVERAGE(OFFSET($R$3,0,0,'Données projet'!$E$9+1,1))-AVERAGE(OFFSET($H$3,0,0,'Données projet'!$E$9+1,1))</f>
        <v>516.30971934066179</v>
      </c>
      <c r="T119" s="60">
        <f t="shared" si="88"/>
        <v>290.84286505723571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2.8846153846153868</v>
      </c>
      <c r="AI119" s="14">
        <f>IF('Données projet'!$A$62&gt;35,AI118+AH119-AQ118,IF(A119&lt;'Données projet'!$A$62,$AF$205^A119,IF(A119='Données projet'!$A$62,'Données projet'!$B$62,AI118+AH119-AQ118)))</f>
        <v>319.23076923076871</v>
      </c>
      <c r="AJ119" s="14">
        <f>AI119*VLOOKUP('Données projet'!$B$10,Paramètres!$A$1:$I$89,3,0)*VLOOKUP('Données projet'!$B$10,Paramètres!$A$1:$I$89,5,0)</f>
        <v>333.65999999999946</v>
      </c>
      <c r="AK119" s="14">
        <f t="shared" si="89"/>
        <v>78.188630754756275</v>
      </c>
      <c r="AL119" s="22">
        <f t="shared" si="58"/>
        <v>717.30303189786616</v>
      </c>
      <c r="AM119" s="60">
        <f t="shared" si="59"/>
        <v>998.59727579258765</v>
      </c>
      <c r="AN119" s="60">
        <f ca="1">AVERAGE(OFFSET($AM$3,0,0,'Données projet'!$E$10+1,1))-AVERAGE(OFFSET($H$3,0,0,'Données projet'!$E$10+1,1))</f>
        <v>529.00505223594837</v>
      </c>
      <c r="AO119" s="60">
        <f t="shared" si="90"/>
        <v>321.23004033257985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3.4106051316484809E-13</v>
      </c>
      <c r="BE119" s="14">
        <f>BD119*VLOOKUP('Données projet'!$B$11,Paramètres!$A$1:$I$89,3,0)*VLOOKUP('Données projet'!$B$11,Paramètres!$A$1:$I$89,5,0)</f>
        <v>2.9795046430081134E-13</v>
      </c>
      <c r="BF119" s="14">
        <f t="shared" si="91"/>
        <v>3.9419014464513778E-12</v>
      </c>
      <c r="BG119" s="22">
        <f t="shared" si="61"/>
        <v>7.384408744560063E-12</v>
      </c>
      <c r="BH119" s="60">
        <f t="shared" si="62"/>
        <v>281.29424389472888</v>
      </c>
      <c r="BI119" s="60">
        <f ca="1">AVERAGE(OFFSET($BH$3,0,0,'Données projet'!$E$11+1,1))-AVERAGE(OFFSET($H$3,0,0,'Données projet'!$E$11+1,1))</f>
        <v>363.28611056308665</v>
      </c>
      <c r="BJ119" s="60">
        <f t="shared" si="92"/>
        <v>389.43647559455974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288.19999999999953</v>
      </c>
      <c r="BZ119" s="14">
        <f>BY119*VLOOKUP('Données projet'!$B$12,Paramètres!$A$1:$I$89,3,0)*VLOOKUP('Données projet'!$B$12,Paramètres!$A$1:$I$89,5,0)</f>
        <v>310.21847999999949</v>
      </c>
      <c r="CA119" s="14">
        <f t="shared" si="93"/>
        <v>73.314455620479848</v>
      </c>
      <c r="CB119" s="22">
        <f t="shared" si="64"/>
        <v>667.98652953900148</v>
      </c>
      <c r="CC119" s="60">
        <f t="shared" si="65"/>
        <v>949.28077343372297</v>
      </c>
      <c r="CD119" s="60">
        <f ca="1">AVERAGE(OFFSET($CC$3,0,0,'Données projet'!$E$12+1,1))-AVERAGE(OFFSET($H$3,0,0,'Données projet'!$E$12+1,1))</f>
        <v>542.90832990875208</v>
      </c>
      <c r="CE119" s="60">
        <f t="shared" si="94"/>
        <v>304.94365539329362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-6.2527760746888816E-13</v>
      </c>
      <c r="CU119" s="18">
        <f>CT119*VLOOKUP('Données projet'!$B$13,Paramètres!$A$1:$I$89,3,0)*VLOOKUP('Données projet'!$B$13,Paramètres!$A$1:$I$89,5,0)</f>
        <v>-2.9262992029543964E-13</v>
      </c>
      <c r="CV119" s="14" t="e">
        <f t="shared" si="95"/>
        <v>#NUM!</v>
      </c>
      <c r="CW119" s="22" t="e">
        <f t="shared" si="67"/>
        <v>#NUM!</v>
      </c>
      <c r="CX119" s="60" t="e">
        <f t="shared" si="68"/>
        <v>#NUM!</v>
      </c>
      <c r="CY119" s="60">
        <f ca="1">AVERAGE(OFFSET($CX$3,0,0,'Données projet'!$E$13+1,1))-AVERAGE(OFFSET($H$3,0,0,'Données projet'!$E$13+1,1))</f>
        <v>277.77877239988635</v>
      </c>
      <c r="CZ119" s="60">
        <f t="shared" si="96"/>
        <v>164.65640238394164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2.3076923076923093</v>
      </c>
      <c r="DO119" s="13">
        <f>IF('Données projet'!$A$166&gt;35,DO118+DN119-DW118,IF(A119&lt;'Données projet'!$A$166,$DL$205^A119,IF(A119='Données projet'!$A$166,'Données projet'!$B$166,DO118+DN119-DW118)))</f>
        <v>242.69230769230779</v>
      </c>
      <c r="DP119" s="18">
        <f>DO119*VLOOKUP('Données projet'!$B$14,Paramètres!$A$1:$I$89,3,0)*VLOOKUP('Données projet'!$B$14,Paramètres!$A$1:$I$89,5,0)</f>
        <v>208.23000000000008</v>
      </c>
      <c r="DQ119" s="14">
        <f t="shared" si="97"/>
        <v>51.548605831119886</v>
      </c>
      <c r="DR119" s="22">
        <f t="shared" si="70"/>
        <v>452.44773848920062</v>
      </c>
      <c r="DS119" s="60">
        <f t="shared" si="71"/>
        <v>733.74198238392205</v>
      </c>
      <c r="DT119" s="60">
        <f ca="1">AVERAGE(OFFSET($DS$3,0,0,'Données projet'!$E$14+1,1))-AVERAGE(OFFSET($H$3,0,0,'Données projet'!$E$14+1,1))</f>
        <v>354.30160274624632</v>
      </c>
      <c r="DU119" s="60">
        <f t="shared" si="98"/>
        <v>218.8005329382452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3.7</v>
      </c>
      <c r="EJ119" s="13">
        <f>IF('Données projet'!$A$192&gt;35,EJ118+EI119-ER118,IF(A119&lt;'Données projet'!$A$192,$EG$205^A119,IF(A119='Données projet'!$A$192,'Données projet'!$B$192,EJ118+EI119-ER118)))</f>
        <v>288.19999999999953</v>
      </c>
      <c r="EK119" s="18">
        <f>EJ119*VLOOKUP('Données projet'!$B$15,Paramètres!$A$1:$I$89,3,0)*VLOOKUP('Données projet'!$B$15,Paramètres!$A$1:$I$89,5,0)</f>
        <v>278.74703999999957</v>
      </c>
      <c r="EL119" s="14">
        <f t="shared" si="99"/>
        <v>66.702153339553135</v>
      </c>
      <c r="EM119" s="22">
        <f t="shared" si="73"/>
        <v>601.65734506638762</v>
      </c>
      <c r="EN119" s="60">
        <f t="shared" si="74"/>
        <v>882.95158896110911</v>
      </c>
      <c r="EO119" s="60">
        <f ca="1">AVERAGE(OFFSET($EN$3,0,0,'Données projet'!$E$15+1,1))-AVERAGE(OFFSET($H$3,0,0,'Données projet'!$E$15+1,1))</f>
        <v>496.33873798282525</v>
      </c>
      <c r="EP119" s="60">
        <f t="shared" si="100"/>
        <v>280.25465074992246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3.4106051316484809E-13</v>
      </c>
      <c r="FF119" s="18">
        <f>FE119*VLOOKUP('Données projet'!$B$16,Paramètres!$A$1:$I$89,3,0)*VLOOKUP('Données projet'!$B$16,Paramètres!$A$1:$I$89,5,0)</f>
        <v>2.7666828827932479E-13</v>
      </c>
      <c r="FG119" s="14">
        <f t="shared" si="101"/>
        <v>3.6920483163466686E-12</v>
      </c>
      <c r="FH119" s="22">
        <f t="shared" si="76"/>
        <v>6.9121814197236049E-12</v>
      </c>
      <c r="FI119" s="60">
        <f t="shared" si="77"/>
        <v>281.29424389472842</v>
      </c>
      <c r="FJ119" s="60">
        <f ca="1">AVERAGE(OFFSET($FI$3,0,0,'Données projet'!$E$16+1,1))-AVERAGE(OFFSET($H$3,0,0,'Données projet'!$E$16+1,1))</f>
        <v>341.66430955115521</v>
      </c>
      <c r="FK119" s="60">
        <f t="shared" si="102"/>
        <v>366.15174925159192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3.4106051316484809E-13</v>
      </c>
      <c r="GA119" s="18">
        <f>FZ119*VLOOKUP('Données projet'!$B$17,Paramètres!$A$1:$I$89,3,0)*VLOOKUP('Données projet'!$B$17,Paramètres!$A$1:$I$89,5,0)</f>
        <v>2.5006556825246659E-13</v>
      </c>
      <c r="GB119" s="14">
        <f t="shared" si="103"/>
        <v>3.3765445850268018E-12</v>
      </c>
      <c r="GC119" s="22">
        <f t="shared" si="79"/>
        <v>6.3163460169613921E-12</v>
      </c>
      <c r="GD119" s="60">
        <f t="shared" si="80"/>
        <v>281.2942438947278</v>
      </c>
      <c r="GE119" s="60">
        <f ca="1">AVERAGE(OFFSET($GD$3,0,0,'Données projet'!$E$17+1,1))-AVERAGE(OFFSET($H$3,0,0,'Données projet'!$E$17+1,1))</f>
        <v>314.58662400031631</v>
      </c>
      <c r="GF119" s="60">
        <f t="shared" si="104"/>
        <v>336.99073123405981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4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295.98659999999956</v>
      </c>
      <c r="P120" s="14">
        <f t="shared" si="87"/>
        <v>70.334442310004661</v>
      </c>
      <c r="Q120" s="22">
        <f t="shared" si="107"/>
        <v>638.00914868992402</v>
      </c>
      <c r="R120" s="60">
        <f t="shared" si="55"/>
        <v>919.51224387103366</v>
      </c>
      <c r="S120" s="60">
        <f ca="1">AVERAGE(OFFSET($R$3,0,0,'Données projet'!$E$9+1,1))-AVERAGE(OFFSET($H$3,0,0,'Données projet'!$E$9+1,1))</f>
        <v>516.30971934066179</v>
      </c>
      <c r="T120" s="60">
        <f t="shared" si="88"/>
        <v>290.84286505723571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2.8846153846153868</v>
      </c>
      <c r="AI120" s="14">
        <f>IF('Données projet'!$A$62&gt;35,AI119+AH120-AQ119,IF(A120&lt;'Données projet'!$A$62,$AF$205^A120,IF(A120='Données projet'!$A$62,'Données projet'!$B$62,AI119+AH120-AQ119)))</f>
        <v>322.11538461538407</v>
      </c>
      <c r="AJ120" s="14">
        <f>AI120*VLOOKUP('Données projet'!$B$10,Paramètres!$A$1:$I$89,3,0)*VLOOKUP('Données projet'!$B$10,Paramètres!$A$1:$I$89,5,0)</f>
        <v>336.67499999999944</v>
      </c>
      <c r="AK120" s="14">
        <f t="shared" si="89"/>
        <v>78.8125879449194</v>
      </c>
      <c r="AL120" s="22">
        <f t="shared" si="58"/>
        <v>723.64088233740028</v>
      </c>
      <c r="AM120" s="60">
        <f t="shared" si="59"/>
        <v>1005.1439775185099</v>
      </c>
      <c r="AN120" s="60">
        <f ca="1">AVERAGE(OFFSET($AM$3,0,0,'Données projet'!$E$10+1,1))-AVERAGE(OFFSET($H$3,0,0,'Données projet'!$E$10+1,1))</f>
        <v>529.00505223594837</v>
      </c>
      <c r="AO120" s="60">
        <f t="shared" si="90"/>
        <v>321.23004033257985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3.4106051316484809E-13</v>
      </c>
      <c r="BE120" s="14">
        <f>BD120*VLOOKUP('Données projet'!$B$11,Paramètres!$A$1:$I$89,3,0)*VLOOKUP('Données projet'!$B$11,Paramètres!$A$1:$I$89,5,0)</f>
        <v>2.9795046430081134E-13</v>
      </c>
      <c r="BF120" s="14">
        <f t="shared" si="91"/>
        <v>3.9419014464513778E-12</v>
      </c>
      <c r="BG120" s="22">
        <f t="shared" si="61"/>
        <v>7.384408744560063E-12</v>
      </c>
      <c r="BH120" s="60">
        <f t="shared" si="62"/>
        <v>281.50309518111703</v>
      </c>
      <c r="BI120" s="60">
        <f ca="1">AVERAGE(OFFSET($BH$3,0,0,'Données projet'!$E$11+1,1))-AVERAGE(OFFSET($H$3,0,0,'Données projet'!$E$11+1,1))</f>
        <v>363.28611056308665</v>
      </c>
      <c r="BJ120" s="60">
        <f t="shared" si="92"/>
        <v>389.43647559455974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291.89999999999952</v>
      </c>
      <c r="BZ120" s="14">
        <f>BY120*VLOOKUP('Données projet'!$B$12,Paramètres!$A$1:$I$89,3,0)*VLOOKUP('Données projet'!$B$12,Paramètres!$A$1:$I$89,5,0)</f>
        <v>314.2011599999995</v>
      </c>
      <c r="CA120" s="14">
        <f t="shared" si="93"/>
        <v>74.145511044675771</v>
      </c>
      <c r="CB120" s="22">
        <f t="shared" si="64"/>
        <v>676.37045206947607</v>
      </c>
      <c r="CC120" s="60">
        <f t="shared" si="65"/>
        <v>957.87354725058572</v>
      </c>
      <c r="CD120" s="60">
        <f ca="1">AVERAGE(OFFSET($CC$3,0,0,'Données projet'!$E$12+1,1))-AVERAGE(OFFSET($H$3,0,0,'Données projet'!$E$12+1,1))</f>
        <v>542.90832990875208</v>
      </c>
      <c r="CE120" s="60">
        <f t="shared" si="94"/>
        <v>304.94365539329362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-6.2527760746888816E-13</v>
      </c>
      <c r="CU120" s="18">
        <f>CT120*VLOOKUP('Données projet'!$B$13,Paramètres!$A$1:$I$89,3,0)*VLOOKUP('Données projet'!$B$13,Paramètres!$A$1:$I$89,5,0)</f>
        <v>-2.9262992029543964E-13</v>
      </c>
      <c r="CV120" s="14" t="e">
        <f t="shared" si="95"/>
        <v>#NUM!</v>
      </c>
      <c r="CW120" s="22" t="e">
        <f t="shared" si="67"/>
        <v>#NUM!</v>
      </c>
      <c r="CX120" s="60" t="e">
        <f t="shared" si="68"/>
        <v>#NUM!</v>
      </c>
      <c r="CY120" s="60">
        <f ca="1">AVERAGE(OFFSET($CX$3,0,0,'Données projet'!$E$13+1,1))-AVERAGE(OFFSET($H$3,0,0,'Données projet'!$E$13+1,1))</f>
        <v>277.77877239988635</v>
      </c>
      <c r="CZ120" s="60">
        <f t="shared" si="96"/>
        <v>164.65640238394164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2.3076923076923093</v>
      </c>
      <c r="DO120" s="13">
        <f>IF('Données projet'!$A$166&gt;35,DO119+DN120-DW119,IF(A120&lt;'Données projet'!$A$166,$DL$205^A120,IF(A120='Données projet'!$A$166,'Données projet'!$B$166,DO119+DN120-DW119)))</f>
        <v>245.00000000000011</v>
      </c>
      <c r="DP120" s="18">
        <f>DO120*VLOOKUP('Données projet'!$B$14,Paramètres!$A$1:$I$89,3,0)*VLOOKUP('Données projet'!$B$14,Paramètres!$A$1:$I$89,5,0)</f>
        <v>210.21000000000015</v>
      </c>
      <c r="DQ120" s="14">
        <f t="shared" si="97"/>
        <v>51.981473312002848</v>
      </c>
      <c r="DR120" s="22">
        <f t="shared" si="70"/>
        <v>456.65014935173849</v>
      </c>
      <c r="DS120" s="60">
        <f t="shared" si="71"/>
        <v>738.15324453284813</v>
      </c>
      <c r="DT120" s="60">
        <f ca="1">AVERAGE(OFFSET($DS$3,0,0,'Données projet'!$E$14+1,1))-AVERAGE(OFFSET($H$3,0,0,'Données projet'!$E$14+1,1))</f>
        <v>354.30160274624632</v>
      </c>
      <c r="DU120" s="60">
        <f t="shared" si="98"/>
        <v>218.8005329382452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3.7</v>
      </c>
      <c r="EJ120" s="13">
        <f>IF('Données projet'!$A$192&gt;35,EJ119+EI120-ER119,IF(A120&lt;'Données projet'!$A$192,$EG$205^A120,IF(A120='Données projet'!$A$192,'Données projet'!$B$192,EJ119+EI120-ER119)))</f>
        <v>291.89999999999952</v>
      </c>
      <c r="EK120" s="18">
        <f>EJ120*VLOOKUP('Données projet'!$B$15,Paramètres!$A$1:$I$89,3,0)*VLOOKUP('Données projet'!$B$15,Paramètres!$A$1:$I$89,5,0)</f>
        <v>282.32567999999952</v>
      </c>
      <c r="EL120" s="14">
        <f t="shared" si="99"/>
        <v>67.458255064229917</v>
      </c>
      <c r="EM120" s="22">
        <f t="shared" si="73"/>
        <v>609.20702023686624</v>
      </c>
      <c r="EN120" s="60">
        <f t="shared" si="74"/>
        <v>890.71011541797589</v>
      </c>
      <c r="EO120" s="60">
        <f ca="1">AVERAGE(OFFSET($EN$3,0,0,'Données projet'!$E$15+1,1))-AVERAGE(OFFSET($H$3,0,0,'Données projet'!$E$15+1,1))</f>
        <v>496.33873798282525</v>
      </c>
      <c r="EP120" s="60">
        <f t="shared" si="100"/>
        <v>280.25465074992246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3.4106051316484809E-13</v>
      </c>
      <c r="FF120" s="18">
        <f>FE120*VLOOKUP('Données projet'!$B$16,Paramètres!$A$1:$I$89,3,0)*VLOOKUP('Données projet'!$B$16,Paramètres!$A$1:$I$89,5,0)</f>
        <v>2.7666828827932479E-13</v>
      </c>
      <c r="FG120" s="14">
        <f t="shared" si="101"/>
        <v>3.6920483163466686E-12</v>
      </c>
      <c r="FH120" s="22">
        <f t="shared" si="76"/>
        <v>6.9121814197236049E-12</v>
      </c>
      <c r="FI120" s="60">
        <f t="shared" si="77"/>
        <v>281.50309518111658</v>
      </c>
      <c r="FJ120" s="60">
        <f ca="1">AVERAGE(OFFSET($FI$3,0,0,'Données projet'!$E$16+1,1))-AVERAGE(OFFSET($H$3,0,0,'Données projet'!$E$16+1,1))</f>
        <v>341.66430955115521</v>
      </c>
      <c r="FK120" s="60">
        <f t="shared" si="102"/>
        <v>366.15174925159192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3.4106051316484809E-13</v>
      </c>
      <c r="GA120" s="18">
        <f>FZ120*VLOOKUP('Données projet'!$B$17,Paramètres!$A$1:$I$89,3,0)*VLOOKUP('Données projet'!$B$17,Paramètres!$A$1:$I$89,5,0)</f>
        <v>2.5006556825246659E-13</v>
      </c>
      <c r="GB120" s="14">
        <f t="shared" si="103"/>
        <v>3.3765445850268018E-12</v>
      </c>
      <c r="GC120" s="22">
        <f t="shared" si="79"/>
        <v>6.3163460169613921E-12</v>
      </c>
      <c r="GD120" s="60">
        <f t="shared" si="80"/>
        <v>281.50309518111595</v>
      </c>
      <c r="GE120" s="60">
        <f ca="1">AVERAGE(OFFSET($GD$3,0,0,'Données projet'!$E$17+1,1))-AVERAGE(OFFSET($H$3,0,0,'Données projet'!$E$17+1,1))</f>
        <v>314.58662400031631</v>
      </c>
      <c r="GF120" s="60">
        <f t="shared" si="104"/>
        <v>336.99073123405981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4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299.73839999999956</v>
      </c>
      <c r="P121" s="14">
        <f t="shared" si="87"/>
        <v>71.121619283394352</v>
      </c>
      <c r="Q121" s="22">
        <f t="shared" si="107"/>
        <v>645.91453358524438</v>
      </c>
      <c r="R121" s="60">
        <f t="shared" si="55"/>
        <v>927.62285694984485</v>
      </c>
      <c r="S121" s="60">
        <f ca="1">AVERAGE(OFFSET($R$3,0,0,'Données projet'!$E$9+1,1))-AVERAGE(OFFSET($H$3,0,0,'Données projet'!$E$9+1,1))</f>
        <v>516.30971934066179</v>
      </c>
      <c r="T121" s="60">
        <f t="shared" si="88"/>
        <v>290.84286505723571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2.8846153846153868</v>
      </c>
      <c r="AI121" s="14">
        <f>IF('Données projet'!$A$62&gt;35,AI120+AH121-AQ120,IF(A121&lt;'Données projet'!$A$62,$AF$205^A121,IF(A121='Données projet'!$A$62,'Données projet'!$B$62,AI120+AH121-AQ120)))</f>
        <v>324.99999999999943</v>
      </c>
      <c r="AJ121" s="14">
        <f>AI121*VLOOKUP('Données projet'!$B$10,Paramètres!$A$1:$I$89,3,0)*VLOOKUP('Données projet'!$B$10,Paramètres!$A$1:$I$89,5,0)</f>
        <v>339.68999999999943</v>
      </c>
      <c r="AK121" s="14">
        <f t="shared" si="89"/>
        <v>79.435895059237467</v>
      </c>
      <c r="AL121" s="22">
        <f t="shared" si="58"/>
        <v>729.97760056150412</v>
      </c>
      <c r="AM121" s="60">
        <f t="shared" si="59"/>
        <v>1011.6859239261046</v>
      </c>
      <c r="AN121" s="60">
        <f ca="1">AVERAGE(OFFSET($AM$3,0,0,'Données projet'!$E$10+1,1))-AVERAGE(OFFSET($H$3,0,0,'Données projet'!$E$10+1,1))</f>
        <v>529.00505223594837</v>
      </c>
      <c r="AO121" s="60">
        <f t="shared" si="90"/>
        <v>321.23004033257985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3.4106051316484809E-13</v>
      </c>
      <c r="BE121" s="14">
        <f>BD121*VLOOKUP('Données projet'!$B$11,Paramètres!$A$1:$I$89,3,0)*VLOOKUP('Données projet'!$B$11,Paramètres!$A$1:$I$89,5,0)</f>
        <v>2.9795046430081134E-13</v>
      </c>
      <c r="BF121" s="14">
        <f t="shared" si="91"/>
        <v>3.9419014464513778E-12</v>
      </c>
      <c r="BG121" s="22">
        <f t="shared" si="61"/>
        <v>7.384408744560063E-12</v>
      </c>
      <c r="BH121" s="60">
        <f t="shared" si="62"/>
        <v>281.70832336460779</v>
      </c>
      <c r="BI121" s="60">
        <f ca="1">AVERAGE(OFFSET($BH$3,0,0,'Données projet'!$E$11+1,1))-AVERAGE(OFFSET($H$3,0,0,'Données projet'!$E$11+1,1))</f>
        <v>363.28611056308665</v>
      </c>
      <c r="BJ121" s="60">
        <f t="shared" si="92"/>
        <v>389.43647559455974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295.59999999999951</v>
      </c>
      <c r="BZ121" s="14">
        <f>BY121*VLOOKUP('Données projet'!$B$12,Paramètres!$A$1:$I$89,3,0)*VLOOKUP('Données projet'!$B$12,Paramètres!$A$1:$I$89,5,0)</f>
        <v>318.18383999999946</v>
      </c>
      <c r="CA121" s="14">
        <f t="shared" si="93"/>
        <v>74.975341168547786</v>
      </c>
      <c r="CB121" s="22">
        <f t="shared" si="64"/>
        <v>684.75224053521981</v>
      </c>
      <c r="CC121" s="60">
        <f t="shared" si="65"/>
        <v>966.46056389982027</v>
      </c>
      <c r="CD121" s="60">
        <f ca="1">AVERAGE(OFFSET($CC$3,0,0,'Données projet'!$E$12+1,1))-AVERAGE(OFFSET($H$3,0,0,'Données projet'!$E$12+1,1))</f>
        <v>542.90832990875208</v>
      </c>
      <c r="CE121" s="60">
        <f t="shared" si="94"/>
        <v>304.94365539329362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-6.2527760746888816E-13</v>
      </c>
      <c r="CU121" s="18">
        <f>CT121*VLOOKUP('Données projet'!$B$13,Paramètres!$A$1:$I$89,3,0)*VLOOKUP('Données projet'!$B$13,Paramètres!$A$1:$I$89,5,0)</f>
        <v>-2.9262992029543964E-13</v>
      </c>
      <c r="CV121" s="14" t="e">
        <f t="shared" si="95"/>
        <v>#NUM!</v>
      </c>
      <c r="CW121" s="22" t="e">
        <f t="shared" si="67"/>
        <v>#NUM!</v>
      </c>
      <c r="CX121" s="60" t="e">
        <f t="shared" si="68"/>
        <v>#NUM!</v>
      </c>
      <c r="CY121" s="60">
        <f ca="1">AVERAGE(OFFSET($CX$3,0,0,'Données projet'!$E$13+1,1))-AVERAGE(OFFSET($H$3,0,0,'Données projet'!$E$13+1,1))</f>
        <v>277.77877239988635</v>
      </c>
      <c r="CZ121" s="60">
        <f t="shared" si="96"/>
        <v>164.65640238394164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2.3076923076923093</v>
      </c>
      <c r="DO121" s="13">
        <f>IF('Données projet'!$A$166&gt;35,DO120+DN121-DW120,IF(A121&lt;'Données projet'!$A$166,$DL$205^A121,IF(A121='Données projet'!$A$166,'Données projet'!$B$166,DO120+DN121-DW120)))</f>
        <v>247.30769230769243</v>
      </c>
      <c r="DP121" s="18">
        <f>DO121*VLOOKUP('Données projet'!$B$14,Paramètres!$A$1:$I$89,3,0)*VLOOKUP('Données projet'!$B$14,Paramètres!$A$1:$I$89,5,0)</f>
        <v>212.19000000000014</v>
      </c>
      <c r="DQ121" s="14">
        <f t="shared" si="97"/>
        <v>52.41386645425581</v>
      </c>
      <c r="DR121" s="22">
        <f t="shared" si="70"/>
        <v>460.85173407449571</v>
      </c>
      <c r="DS121" s="60">
        <f t="shared" si="71"/>
        <v>742.56005743909611</v>
      </c>
      <c r="DT121" s="60">
        <f ca="1">AVERAGE(OFFSET($DS$3,0,0,'Données projet'!$E$14+1,1))-AVERAGE(OFFSET($H$3,0,0,'Données projet'!$E$14+1,1))</f>
        <v>354.30160274624632</v>
      </c>
      <c r="DU121" s="60">
        <f t="shared" si="98"/>
        <v>218.8005329382452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3.7</v>
      </c>
      <c r="EJ121" s="13">
        <f>IF('Données projet'!$A$192&gt;35,EJ120+EI121-ER120,IF(A121&lt;'Données projet'!$A$192,$EG$205^A121,IF(A121='Données projet'!$A$192,'Données projet'!$B$192,EJ120+EI121-ER120)))</f>
        <v>295.59999999999951</v>
      </c>
      <c r="EK121" s="18">
        <f>EJ121*VLOOKUP('Données projet'!$B$15,Paramètres!$A$1:$I$89,3,0)*VLOOKUP('Données projet'!$B$15,Paramètres!$A$1:$I$89,5,0)</f>
        <v>285.90431999999953</v>
      </c>
      <c r="EL121" s="14">
        <f t="shared" si="99"/>
        <v>68.213241999614453</v>
      </c>
      <c r="EM121" s="22">
        <f t="shared" si="73"/>
        <v>616.75475381599438</v>
      </c>
      <c r="EN121" s="60">
        <f t="shared" si="74"/>
        <v>898.46307718059484</v>
      </c>
      <c r="EO121" s="60">
        <f ca="1">AVERAGE(OFFSET($EN$3,0,0,'Données projet'!$E$15+1,1))-AVERAGE(OFFSET($H$3,0,0,'Données projet'!$E$15+1,1))</f>
        <v>496.33873798282525</v>
      </c>
      <c r="EP121" s="60">
        <f t="shared" si="100"/>
        <v>280.25465074992246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3.4106051316484809E-13</v>
      </c>
      <c r="FF121" s="18">
        <f>FE121*VLOOKUP('Données projet'!$B$16,Paramètres!$A$1:$I$89,3,0)*VLOOKUP('Données projet'!$B$16,Paramètres!$A$1:$I$89,5,0)</f>
        <v>2.7666828827932479E-13</v>
      </c>
      <c r="FG121" s="14">
        <f t="shared" si="101"/>
        <v>3.6920483163466686E-12</v>
      </c>
      <c r="FH121" s="22">
        <f t="shared" si="76"/>
        <v>6.9121814197236049E-12</v>
      </c>
      <c r="FI121" s="60">
        <f t="shared" si="77"/>
        <v>281.70832336460734</v>
      </c>
      <c r="FJ121" s="60">
        <f ca="1">AVERAGE(OFFSET($FI$3,0,0,'Données projet'!$E$16+1,1))-AVERAGE(OFFSET($H$3,0,0,'Données projet'!$E$16+1,1))</f>
        <v>341.66430955115521</v>
      </c>
      <c r="FK121" s="60">
        <f t="shared" si="102"/>
        <v>366.15174925159192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3.4106051316484809E-13</v>
      </c>
      <c r="GA121" s="18">
        <f>FZ121*VLOOKUP('Données projet'!$B$17,Paramètres!$A$1:$I$89,3,0)*VLOOKUP('Données projet'!$B$17,Paramètres!$A$1:$I$89,5,0)</f>
        <v>2.5006556825246659E-13</v>
      </c>
      <c r="GB121" s="14">
        <f t="shared" si="103"/>
        <v>3.3765445850268018E-12</v>
      </c>
      <c r="GC121" s="22">
        <f t="shared" si="79"/>
        <v>6.3163460169613921E-12</v>
      </c>
      <c r="GD121" s="60">
        <f t="shared" si="80"/>
        <v>281.70832336460671</v>
      </c>
      <c r="GE121" s="60">
        <f ca="1">AVERAGE(OFFSET($GD$3,0,0,'Données projet'!$E$17+1,1))-AVERAGE(OFFSET($H$3,0,0,'Données projet'!$E$17+1,1))</f>
        <v>314.58662400031631</v>
      </c>
      <c r="GF121" s="60">
        <f t="shared" si="104"/>
        <v>336.99073123405981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4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303.4901999999995</v>
      </c>
      <c r="P122" s="14">
        <f t="shared" si="87"/>
        <v>71.907650167874138</v>
      </c>
      <c r="Q122" s="22">
        <f t="shared" si="107"/>
        <v>653.81792237571324</v>
      </c>
      <c r="R122" s="60">
        <f t="shared" si="55"/>
        <v>935.72791367364243</v>
      </c>
      <c r="S122" s="60">
        <f ca="1">AVERAGE(OFFSET($R$3,0,0,'Données projet'!$E$9+1,1))-AVERAGE(OFFSET($H$3,0,0,'Données projet'!$E$9+1,1))</f>
        <v>516.30971934066179</v>
      </c>
      <c r="T122" s="60">
        <f t="shared" si="88"/>
        <v>290.84286505723571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2.8846153846153868</v>
      </c>
      <c r="AI122" s="14">
        <f>IF('Données projet'!$A$62&gt;35,AI121+AH122-AQ121,IF(A122&lt;'Données projet'!$A$62,$AF$205^A122,IF(A122='Données projet'!$A$62,'Données projet'!$B$62,AI121+AH122-AQ121)))</f>
        <v>327.88461538461479</v>
      </c>
      <c r="AJ122" s="14">
        <f>AI122*VLOOKUP('Données projet'!$B$10,Paramètres!$A$1:$I$89,3,0)*VLOOKUP('Données projet'!$B$10,Paramètres!$A$1:$I$89,5,0)</f>
        <v>342.70499999999942</v>
      </c>
      <c r="AK122" s="14">
        <f t="shared" si="89"/>
        <v>80.058558536074614</v>
      </c>
      <c r="AL122" s="22">
        <f t="shared" si="58"/>
        <v>736.31319778366208</v>
      </c>
      <c r="AM122" s="60">
        <f t="shared" si="59"/>
        <v>1018.2231890815913</v>
      </c>
      <c r="AN122" s="60">
        <f ca="1">AVERAGE(OFFSET($AM$3,0,0,'Données projet'!$E$10+1,1))-AVERAGE(OFFSET($H$3,0,0,'Données projet'!$E$10+1,1))</f>
        <v>529.00505223594837</v>
      </c>
      <c r="AO122" s="60">
        <f t="shared" si="90"/>
        <v>321.23004033257985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3.4106051316484809E-13</v>
      </c>
      <c r="BE122" s="14">
        <f>BD122*VLOOKUP('Données projet'!$B$11,Paramètres!$A$1:$I$89,3,0)*VLOOKUP('Données projet'!$B$11,Paramètres!$A$1:$I$89,5,0)</f>
        <v>2.9795046430081134E-13</v>
      </c>
      <c r="BF122" s="14">
        <f t="shared" si="91"/>
        <v>3.9419014464513778E-12</v>
      </c>
      <c r="BG122" s="22">
        <f t="shared" si="61"/>
        <v>7.384408744560063E-12</v>
      </c>
      <c r="BH122" s="60">
        <f t="shared" si="62"/>
        <v>281.90999129793653</v>
      </c>
      <c r="BI122" s="60">
        <f ca="1">AVERAGE(OFFSET($BH$3,0,0,'Données projet'!$E$11+1,1))-AVERAGE(OFFSET($H$3,0,0,'Données projet'!$E$11+1,1))</f>
        <v>363.28611056308665</v>
      </c>
      <c r="BJ122" s="60">
        <f t="shared" si="92"/>
        <v>389.43647559455974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299.2999999999995</v>
      </c>
      <c r="BZ122" s="14">
        <f>BY122*VLOOKUP('Données projet'!$B$12,Paramètres!$A$1:$I$89,3,0)*VLOOKUP('Données projet'!$B$12,Paramètres!$A$1:$I$89,5,0)</f>
        <v>322.16651999999942</v>
      </c>
      <c r="CA122" s="14">
        <f t="shared" si="93"/>
        <v>75.803963102731529</v>
      </c>
      <c r="CB122" s="22">
        <f t="shared" si="64"/>
        <v>693.13192473725633</v>
      </c>
      <c r="CC122" s="60">
        <f t="shared" si="65"/>
        <v>975.04191603518552</v>
      </c>
      <c r="CD122" s="60">
        <f ca="1">AVERAGE(OFFSET($CC$3,0,0,'Données projet'!$E$12+1,1))-AVERAGE(OFFSET($H$3,0,0,'Données projet'!$E$12+1,1))</f>
        <v>542.90832990875208</v>
      </c>
      <c r="CE122" s="60">
        <f t="shared" si="94"/>
        <v>304.94365539329362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-6.2527760746888816E-13</v>
      </c>
      <c r="CU122" s="18">
        <f>CT122*VLOOKUP('Données projet'!$B$13,Paramètres!$A$1:$I$89,3,0)*VLOOKUP('Données projet'!$B$13,Paramètres!$A$1:$I$89,5,0)</f>
        <v>-2.9262992029543964E-13</v>
      </c>
      <c r="CV122" s="14" t="e">
        <f t="shared" si="95"/>
        <v>#NUM!</v>
      </c>
      <c r="CW122" s="22" t="e">
        <f t="shared" si="67"/>
        <v>#NUM!</v>
      </c>
      <c r="CX122" s="60" t="e">
        <f t="shared" si="68"/>
        <v>#NUM!</v>
      </c>
      <c r="CY122" s="60">
        <f ca="1">AVERAGE(OFFSET($CX$3,0,0,'Données projet'!$E$13+1,1))-AVERAGE(OFFSET($H$3,0,0,'Données projet'!$E$13+1,1))</f>
        <v>277.77877239988635</v>
      </c>
      <c r="CZ122" s="60">
        <f t="shared" si="96"/>
        <v>164.65640238394164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2.3076923076923093</v>
      </c>
      <c r="DO122" s="13">
        <f>IF('Données projet'!$A$166&gt;35,DO121+DN122-DW121,IF(A122&lt;'Données projet'!$A$166,$DL$205^A122,IF(A122='Données projet'!$A$166,'Données projet'!$B$166,DO121+DN122-DW121)))</f>
        <v>249.61538461538476</v>
      </c>
      <c r="DP122" s="18">
        <f>DO122*VLOOKUP('Données projet'!$B$14,Paramètres!$A$1:$I$89,3,0)*VLOOKUP('Données projet'!$B$14,Paramètres!$A$1:$I$89,5,0)</f>
        <v>214.17000000000016</v>
      </c>
      <c r="DQ122" s="14">
        <f t="shared" si="97"/>
        <v>52.845790196724067</v>
      </c>
      <c r="DR122" s="22">
        <f t="shared" si="70"/>
        <v>465.05250125929462</v>
      </c>
      <c r="DS122" s="60">
        <f t="shared" si="71"/>
        <v>746.96249255722375</v>
      </c>
      <c r="DT122" s="60">
        <f ca="1">AVERAGE(OFFSET($DS$3,0,0,'Données projet'!$E$14+1,1))-AVERAGE(OFFSET($H$3,0,0,'Données projet'!$E$14+1,1))</f>
        <v>354.30160274624632</v>
      </c>
      <c r="DU122" s="60">
        <f t="shared" si="98"/>
        <v>218.8005329382452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3.7</v>
      </c>
      <c r="EJ122" s="13">
        <f>IF('Données projet'!$A$192&gt;35,EJ121+EI122-ER121,IF(A122&lt;'Données projet'!$A$192,$EG$205^A122,IF(A122='Données projet'!$A$192,'Données projet'!$B$192,EJ121+EI122-ER121)))</f>
        <v>299.2999999999995</v>
      </c>
      <c r="EK122" s="18">
        <f>EJ122*VLOOKUP('Données projet'!$B$15,Paramètres!$A$1:$I$89,3,0)*VLOOKUP('Données projet'!$B$15,Paramètres!$A$1:$I$89,5,0)</f>
        <v>289.48295999999954</v>
      </c>
      <c r="EL122" s="14">
        <f t="shared" si="99"/>
        <v>68.967129713117401</v>
      </c>
      <c r="EM122" s="22">
        <f t="shared" si="73"/>
        <v>624.300572917012</v>
      </c>
      <c r="EN122" s="60">
        <f t="shared" si="74"/>
        <v>906.21056421494109</v>
      </c>
      <c r="EO122" s="60">
        <f ca="1">AVERAGE(OFFSET($EN$3,0,0,'Données projet'!$E$15+1,1))-AVERAGE(OFFSET($H$3,0,0,'Données projet'!$E$15+1,1))</f>
        <v>496.33873798282525</v>
      </c>
      <c r="EP122" s="60">
        <f t="shared" si="100"/>
        <v>280.25465074992246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3.4106051316484809E-13</v>
      </c>
      <c r="FF122" s="18">
        <f>FE122*VLOOKUP('Données projet'!$B$16,Paramètres!$A$1:$I$89,3,0)*VLOOKUP('Données projet'!$B$16,Paramètres!$A$1:$I$89,5,0)</f>
        <v>2.7666828827932479E-13</v>
      </c>
      <c r="FG122" s="14">
        <f t="shared" si="101"/>
        <v>3.6920483163466686E-12</v>
      </c>
      <c r="FH122" s="22">
        <f t="shared" si="76"/>
        <v>6.9121814197236049E-12</v>
      </c>
      <c r="FI122" s="60">
        <f t="shared" si="77"/>
        <v>281.90999129793607</v>
      </c>
      <c r="FJ122" s="60">
        <f ca="1">AVERAGE(OFFSET($FI$3,0,0,'Données projet'!$E$16+1,1))-AVERAGE(OFFSET($H$3,0,0,'Données projet'!$E$16+1,1))</f>
        <v>341.66430955115521</v>
      </c>
      <c r="FK122" s="60">
        <f t="shared" si="102"/>
        <v>366.15174925159192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3.4106051316484809E-13</v>
      </c>
      <c r="GA122" s="18">
        <f>FZ122*VLOOKUP('Données projet'!$B$17,Paramètres!$A$1:$I$89,3,0)*VLOOKUP('Données projet'!$B$17,Paramètres!$A$1:$I$89,5,0)</f>
        <v>2.5006556825246659E-13</v>
      </c>
      <c r="GB122" s="14">
        <f t="shared" si="103"/>
        <v>3.3765445850268018E-12</v>
      </c>
      <c r="GC122" s="22">
        <f t="shared" si="79"/>
        <v>6.3163460169613921E-12</v>
      </c>
      <c r="GD122" s="60">
        <f t="shared" si="80"/>
        <v>281.90999129793545</v>
      </c>
      <c r="GE122" s="60">
        <f ca="1">AVERAGE(OFFSET($GD$3,0,0,'Données projet'!$E$17+1,1))-AVERAGE(OFFSET($H$3,0,0,'Données projet'!$E$17+1,1))</f>
        <v>314.58662400031631</v>
      </c>
      <c r="GF122" s="60">
        <f t="shared" si="104"/>
        <v>336.99073123405981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4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307.24199999999951</v>
      </c>
      <c r="P123" s="14">
        <f t="shared" si="87"/>
        <v>72.692550770207717</v>
      </c>
      <c r="Q123" s="22">
        <f t="shared" si="107"/>
        <v>661.71934259144427</v>
      </c>
      <c r="R123" s="60">
        <f t="shared" si="55"/>
        <v>943.82750333492095</v>
      </c>
      <c r="S123" s="60">
        <f ca="1">AVERAGE(OFFSET($R$3,0,0,'Données projet'!$E$9+1,1))-AVERAGE(OFFSET($H$3,0,0,'Données projet'!$E$9+1,1))</f>
        <v>516.30971934066179</v>
      </c>
      <c r="T123" s="60">
        <f t="shared" si="88"/>
        <v>290.84286505723571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330.76923076923077</v>
      </c>
      <c r="AG123" s="13">
        <f>VLOOKUP(A123,'Données projet'!$A$61:$I$81,9,0)</f>
        <v>2.8846153846153868</v>
      </c>
      <c r="AH123" s="13">
        <f t="array" ref="AH123">INDEX(AG:AG,MIN(IF(ISNUMBER(AG123:AG319),ROW(AG123:AG319),"")))</f>
        <v>2.8846153846153868</v>
      </c>
      <c r="AI123" s="14">
        <f>IF('Données projet'!$A$62&gt;35,AI122+AH123-AQ122,IF(A123&lt;'Données projet'!$A$62,$AF$205^A123,IF(A123='Données projet'!$A$62,'Données projet'!$B$62,AI122+AH123-AQ122)))</f>
        <v>330.76923076923015</v>
      </c>
      <c r="AJ123" s="14">
        <f>AI123*VLOOKUP('Données projet'!$B$10,Paramètres!$A$1:$I$89,3,0)*VLOOKUP('Données projet'!$B$10,Paramètres!$A$1:$I$89,5,0)</f>
        <v>345.7199999999994</v>
      </c>
      <c r="AK123" s="14">
        <f t="shared" si="89"/>
        <v>80.6805846939736</v>
      </c>
      <c r="AL123" s="22">
        <f t="shared" si="58"/>
        <v>742.64768500866955</v>
      </c>
      <c r="AM123" s="60">
        <f t="shared" si="59"/>
        <v>1024.7558457521461</v>
      </c>
      <c r="AN123" s="60">
        <f ca="1">AVERAGE(OFFSET($AM$3,0,0,'Données projet'!$E$10+1,1))-AVERAGE(OFFSET($H$3,0,0,'Données projet'!$E$10+1,1))</f>
        <v>529.00505223594837</v>
      </c>
      <c r="AO123" s="60">
        <f t="shared" si="90"/>
        <v>321.23004033257985</v>
      </c>
      <c r="AP123" s="16">
        <f>IF(ISNA(VLOOKUP(A123,'Données projet'!$A$61:$I$81,3,0)),0,VLOOKUP(A123,'Données projet'!$A$61:$I$81,3,0))</f>
        <v>11</v>
      </c>
      <c r="AQ123" s="16">
        <f>IF(ISNA(VLOOKUP(A123,'Données projet'!$A$61:$I$81,4,0)),0,VLOOKUP(A123,'Données projet'!$A$61:$I$81,4,0))</f>
        <v>17.948717948717949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3.4106051316484809E-13</v>
      </c>
      <c r="BE123" s="14">
        <f>BD123*VLOOKUP('Données projet'!$B$11,Paramètres!$A$1:$I$89,3,0)*VLOOKUP('Données projet'!$B$11,Paramètres!$A$1:$I$89,5,0)</f>
        <v>2.9795046430081134E-13</v>
      </c>
      <c r="BF123" s="14">
        <f t="shared" si="91"/>
        <v>3.9419014464513778E-12</v>
      </c>
      <c r="BG123" s="22">
        <f t="shared" si="61"/>
        <v>7.384408744560063E-12</v>
      </c>
      <c r="BH123" s="60">
        <f t="shared" si="62"/>
        <v>282.10816074348401</v>
      </c>
      <c r="BI123" s="60">
        <f ca="1">AVERAGE(OFFSET($BH$3,0,0,'Données projet'!$E$11+1,1))-AVERAGE(OFFSET($H$3,0,0,'Données projet'!$E$11+1,1))</f>
        <v>363.28611056308665</v>
      </c>
      <c r="BJ123" s="60">
        <f t="shared" si="92"/>
        <v>389.43647559455974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302.99999999999949</v>
      </c>
      <c r="BZ123" s="14">
        <f>BY123*VLOOKUP('Données projet'!$B$12,Paramètres!$A$1:$I$89,3,0)*VLOOKUP('Données projet'!$B$12,Paramètres!$A$1:$I$89,5,0)</f>
        <v>326.14919999999944</v>
      </c>
      <c r="CA123" s="14">
        <f t="shared" si="93"/>
        <v>76.631393510479555</v>
      </c>
      <c r="CB123" s="22">
        <f t="shared" si="64"/>
        <v>701.50953369741762</v>
      </c>
      <c r="CC123" s="60">
        <f t="shared" si="65"/>
        <v>983.61769444089418</v>
      </c>
      <c r="CD123" s="60">
        <f ca="1">AVERAGE(OFFSET($CC$3,0,0,'Données projet'!$E$12+1,1))-AVERAGE(OFFSET($H$3,0,0,'Données projet'!$E$12+1,1))</f>
        <v>542.90832990875208</v>
      </c>
      <c r="CE123" s="60">
        <f t="shared" si="94"/>
        <v>304.94365539329362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-6.2527760746888816E-13</v>
      </c>
      <c r="CU123" s="18">
        <f>CT123*VLOOKUP('Données projet'!$B$13,Paramètres!$A$1:$I$89,3,0)*VLOOKUP('Données projet'!$B$13,Paramètres!$A$1:$I$89,5,0)</f>
        <v>-2.9262992029543964E-13</v>
      </c>
      <c r="CV123" s="14" t="e">
        <f t="shared" si="95"/>
        <v>#NUM!</v>
      </c>
      <c r="CW123" s="22" t="e">
        <f t="shared" si="67"/>
        <v>#NUM!</v>
      </c>
      <c r="CX123" s="60" t="e">
        <f t="shared" si="68"/>
        <v>#NUM!</v>
      </c>
      <c r="CY123" s="60">
        <f ca="1">AVERAGE(OFFSET($CX$3,0,0,'Données projet'!$E$13+1,1))-AVERAGE(OFFSET($H$3,0,0,'Données projet'!$E$13+1,1))</f>
        <v>277.77877239988635</v>
      </c>
      <c r="CZ123" s="60">
        <f t="shared" si="96"/>
        <v>164.65640238394164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251.92307692307691</v>
      </c>
      <c r="DM123" s="13">
        <f>VLOOKUP(A123,'Données projet'!$A$165:$I$185,9,0)</f>
        <v>2.3076923076923093</v>
      </c>
      <c r="DN123" s="13">
        <f t="array" ref="DN123">INDEX(DM:DM,MIN(IF(ISNUMBER(DM123:DM319),ROW(DM123:DM319),"")))</f>
        <v>2.3076923076923093</v>
      </c>
      <c r="DO123" s="13">
        <f>IF('Données projet'!$A$166&gt;35,DO122+DN123-DW122,IF(A123&lt;'Données projet'!$A$166,$DL$205^A123,IF(A123='Données projet'!$A$166,'Données projet'!$B$166,DO122+DN123-DW122)))</f>
        <v>251.92307692307708</v>
      </c>
      <c r="DP123" s="18">
        <f>DO123*VLOOKUP('Données projet'!$B$14,Paramètres!$A$1:$I$89,3,0)*VLOOKUP('Données projet'!$B$14,Paramètres!$A$1:$I$89,5,0)</f>
        <v>216.15000000000015</v>
      </c>
      <c r="DQ123" s="14">
        <f t="shared" si="97"/>
        <v>53.277249381666834</v>
      </c>
      <c r="DR123" s="22">
        <f t="shared" si="70"/>
        <v>469.25245933973656</v>
      </c>
      <c r="DS123" s="60">
        <f t="shared" si="71"/>
        <v>751.36062008321323</v>
      </c>
      <c r="DT123" s="60">
        <f ca="1">AVERAGE(OFFSET($DS$3,0,0,'Données projet'!$E$14+1,1))-AVERAGE(OFFSET($H$3,0,0,'Données projet'!$E$14+1,1))</f>
        <v>354.30160274624632</v>
      </c>
      <c r="DU123" s="60">
        <f t="shared" si="98"/>
        <v>218.8005329382452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13.461538461538462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303</v>
      </c>
      <c r="EH123" s="13">
        <f>VLOOKUP(A123,'Données projet'!$A$191:$I$211,9,0)</f>
        <v>3.7</v>
      </c>
      <c r="EI123" s="13">
        <f t="array" ref="EI123">INDEX(EH:EH,MIN(IF(ISNUMBER(EH123:EH319),ROW(EH123:EH319),"")))</f>
        <v>3.7</v>
      </c>
      <c r="EJ123" s="13">
        <f>IF('Données projet'!$A$192&gt;35,EJ122+EI123-ER122,IF(A123&lt;'Données projet'!$A$192,$EG$205^A123,IF(A123='Données projet'!$A$192,'Données projet'!$B$192,EJ122+EI123-ER122)))</f>
        <v>302.99999999999949</v>
      </c>
      <c r="EK123" s="18">
        <f>EJ123*VLOOKUP('Données projet'!$B$15,Paramètres!$A$1:$I$89,3,0)*VLOOKUP('Données projet'!$B$15,Paramètres!$A$1:$I$89,5,0)</f>
        <v>293.06159999999949</v>
      </c>
      <c r="EL123" s="14">
        <f t="shared" si="99"/>
        <v>69.719933365116432</v>
      </c>
      <c r="EM123" s="22">
        <f t="shared" si="73"/>
        <v>631.84450394424357</v>
      </c>
      <c r="EN123" s="60">
        <f t="shared" si="74"/>
        <v>913.95266468772024</v>
      </c>
      <c r="EO123" s="60">
        <f ca="1">AVERAGE(OFFSET($EN$3,0,0,'Données projet'!$E$15+1,1))-AVERAGE(OFFSET($H$3,0,0,'Données projet'!$E$15+1,1))</f>
        <v>496.33873798282525</v>
      </c>
      <c r="EP123" s="60">
        <f t="shared" si="100"/>
        <v>280.25465074992246</v>
      </c>
      <c r="EQ123" s="16">
        <f>IF(ISNA(VLOOKUP(A123,'Données projet'!$A$191:$I$211,3,0)),0,VLOOKUP(A123,'Données projet'!$A$191:$I$211,3,0))</f>
        <v>10</v>
      </c>
      <c r="ER123" s="16">
        <f>IF(ISNA(VLOOKUP(A123,'Données projet'!$A$191:$I$211,4,0)),0,VLOOKUP(A123,'Données projet'!$A$191:$I$211,4,0))</f>
        <v>35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3.4106051316484809E-13</v>
      </c>
      <c r="FF123" s="18">
        <f>FE123*VLOOKUP('Données projet'!$B$16,Paramètres!$A$1:$I$89,3,0)*VLOOKUP('Données projet'!$B$16,Paramètres!$A$1:$I$89,5,0)</f>
        <v>2.7666828827932479E-13</v>
      </c>
      <c r="FG123" s="14">
        <f t="shared" si="101"/>
        <v>3.6920483163466686E-12</v>
      </c>
      <c r="FH123" s="22">
        <f t="shared" si="76"/>
        <v>6.9121814197236049E-12</v>
      </c>
      <c r="FI123" s="60">
        <f t="shared" si="77"/>
        <v>282.10816074348355</v>
      </c>
      <c r="FJ123" s="60">
        <f ca="1">AVERAGE(OFFSET($FI$3,0,0,'Données projet'!$E$16+1,1))-AVERAGE(OFFSET($H$3,0,0,'Données projet'!$E$16+1,1))</f>
        <v>341.66430955115521</v>
      </c>
      <c r="FK123" s="60">
        <f t="shared" si="102"/>
        <v>366.15174925159192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3.4106051316484809E-13</v>
      </c>
      <c r="GA123" s="18">
        <f>FZ123*VLOOKUP('Données projet'!$B$17,Paramètres!$A$1:$I$89,3,0)*VLOOKUP('Données projet'!$B$17,Paramètres!$A$1:$I$89,5,0)</f>
        <v>2.5006556825246659E-13</v>
      </c>
      <c r="GB123" s="14">
        <f t="shared" si="103"/>
        <v>3.3765445850268018E-12</v>
      </c>
      <c r="GC123" s="22">
        <f t="shared" si="79"/>
        <v>6.3163460169613921E-12</v>
      </c>
      <c r="GD123" s="60">
        <f t="shared" si="80"/>
        <v>282.10816074348293</v>
      </c>
      <c r="GE123" s="60">
        <f ca="1">AVERAGE(OFFSET($GD$3,0,0,'Données projet'!$E$17+1,1))-AVERAGE(OFFSET($H$3,0,0,'Données projet'!$E$17+1,1))</f>
        <v>314.58662400031631</v>
      </c>
      <c r="GF123" s="60">
        <f t="shared" si="104"/>
        <v>336.99073123405981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4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274.9967999999995</v>
      </c>
      <c r="P124" s="14">
        <f t="shared" si="87"/>
        <v>65.908581953881495</v>
      </c>
      <c r="Q124" s="22">
        <f t="shared" si="107"/>
        <v>593.74354023634271</v>
      </c>
      <c r="R124" s="60">
        <f t="shared" si="55"/>
        <v>876.0464326285271</v>
      </c>
      <c r="S124" s="60">
        <f ca="1">AVERAGE(OFFSET($R$3,0,0,'Données projet'!$E$9+1,1))-AVERAGE(OFFSET($H$3,0,0,'Données projet'!$E$9+1,1))</f>
        <v>516.30971934066179</v>
      </c>
      <c r="T124" s="60">
        <f t="shared" si="88"/>
        <v>290.84286505723571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2.6282051282051269</v>
      </c>
      <c r="AI124" s="14">
        <f>IF('Données projet'!$A$62&gt;35,AI123+AH124-AQ123,IF(A124&lt;'Données projet'!$A$62,$AF$205^A124,IF(A124='Données projet'!$A$62,'Données projet'!$B$62,AI123+AH124-AQ123)))</f>
        <v>315.44871794871733</v>
      </c>
      <c r="AJ124" s="14">
        <f>AI124*VLOOKUP('Données projet'!$B$10,Paramètres!$A$1:$I$89,3,0)*VLOOKUP('Données projet'!$B$10,Paramètres!$A$1:$I$89,5,0)</f>
        <v>329.70699999999937</v>
      </c>
      <c r="AK124" s="14">
        <f t="shared" si="89"/>
        <v>77.369557656320978</v>
      </c>
      <c r="AL124" s="22">
        <f t="shared" si="58"/>
        <v>708.99167125142458</v>
      </c>
      <c r="AM124" s="60">
        <f t="shared" si="59"/>
        <v>991.29456364360897</v>
      </c>
      <c r="AN124" s="60">
        <f ca="1">AVERAGE(OFFSET($AM$3,0,0,'Données projet'!$E$10+1,1))-AVERAGE(OFFSET($H$3,0,0,'Données projet'!$E$10+1,1))</f>
        <v>529.00505223594837</v>
      </c>
      <c r="AO124" s="60">
        <f t="shared" si="90"/>
        <v>321.23004033257985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2.9795046430081134E-13</v>
      </c>
      <c r="BF124" s="14">
        <f t="shared" si="91"/>
        <v>3.9419014464513778E-12</v>
      </c>
      <c r="BG124" s="22">
        <f t="shared" si="61"/>
        <v>7.384408744560063E-12</v>
      </c>
      <c r="BH124" s="60">
        <f t="shared" si="62"/>
        <v>282.30289239219178</v>
      </c>
      <c r="BI124" s="60">
        <f ca="1">AVERAGE(OFFSET($BH$3,0,0,'Données projet'!$E$11+1,1))-AVERAGE(OFFSET($H$3,0,0,'Données projet'!$E$11+1,1))</f>
        <v>363.28611056308665</v>
      </c>
      <c r="BJ124" s="60">
        <f t="shared" si="92"/>
        <v>389.43647559455974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271.19999999999948</v>
      </c>
      <c r="BZ124" s="14">
        <f>BY124*VLOOKUP('Données projet'!$B$12,Paramètres!$A$1:$I$89,3,0)*VLOOKUP('Données projet'!$B$12,Paramètres!$A$1:$I$89,5,0)</f>
        <v>291.9196799999994</v>
      </c>
      <c r="CA124" s="14">
        <f t="shared" si="93"/>
        <v>69.47983563531173</v>
      </c>
      <c r="CB124" s="22">
        <f t="shared" si="64"/>
        <v>629.43748973150025</v>
      </c>
      <c r="CC124" s="60">
        <f t="shared" si="65"/>
        <v>911.74038212368464</v>
      </c>
      <c r="CD124" s="60">
        <f ca="1">AVERAGE(OFFSET($CC$3,0,0,'Données projet'!$E$12+1,1))-AVERAGE(OFFSET($H$3,0,0,'Données projet'!$E$12+1,1))</f>
        <v>542.90832990875208</v>
      </c>
      <c r="CE124" s="60">
        <f t="shared" si="94"/>
        <v>304.94365539329362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-6.2527760746888816E-13</v>
      </c>
      <c r="CU124" s="18">
        <f>CT124*VLOOKUP('Données projet'!$B$13,Paramètres!$A$1:$I$89,3,0)*VLOOKUP('Données projet'!$B$13,Paramètres!$A$1:$I$89,5,0)</f>
        <v>-2.9262992029543964E-13</v>
      </c>
      <c r="CV124" s="14" t="e">
        <f t="shared" si="95"/>
        <v>#NUM!</v>
      </c>
      <c r="CW124" s="22" t="e">
        <f t="shared" si="67"/>
        <v>#NUM!</v>
      </c>
      <c r="CX124" s="60" t="e">
        <f t="shared" si="68"/>
        <v>#NUM!</v>
      </c>
      <c r="CY124" s="60">
        <f ca="1">AVERAGE(OFFSET($CX$3,0,0,'Données projet'!$E$13+1,1))-AVERAGE(OFFSET($H$3,0,0,'Données projet'!$E$13+1,1))</f>
        <v>277.77877239988635</v>
      </c>
      <c r="CZ124" s="60">
        <f t="shared" si="96"/>
        <v>164.65640238394164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2.0512820512820498</v>
      </c>
      <c r="DO124" s="13">
        <f>IF('Données projet'!$A$166&gt;35,DO123+DN124-DW123,IF(A124&lt;'Données projet'!$A$166,$DL$205^A124,IF(A124='Données projet'!$A$166,'Données projet'!$B$166,DO123+DN124-DW123)))</f>
        <v>240.51282051282067</v>
      </c>
      <c r="DP124" s="18">
        <f>DO124*VLOOKUP('Données projet'!$B$14,Paramètres!$A$1:$I$89,3,0)*VLOOKUP('Données projet'!$B$14,Paramètres!$A$1:$I$89,5,0)</f>
        <v>206.36000000000016</v>
      </c>
      <c r="DQ124" s="14">
        <f t="shared" si="97"/>
        <v>51.139346461936462</v>
      </c>
      <c r="DR124" s="22">
        <f t="shared" si="70"/>
        <v>448.47802842120626</v>
      </c>
      <c r="DS124" s="60">
        <f t="shared" si="71"/>
        <v>730.78092081339059</v>
      </c>
      <c r="DT124" s="60">
        <f ca="1">AVERAGE(OFFSET($DS$3,0,0,'Données projet'!$E$14+1,1))-AVERAGE(OFFSET($H$3,0,0,'Données projet'!$E$14+1,1))</f>
        <v>354.30160274624632</v>
      </c>
      <c r="DU124" s="60">
        <f t="shared" si="98"/>
        <v>218.8005329382452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3.2</v>
      </c>
      <c r="EJ124" s="13">
        <f>IF('Données projet'!$A$192&gt;35,EJ123+EI124-ER123,IF(A124&lt;'Données projet'!$A$192,$EG$205^A124,IF(A124='Données projet'!$A$192,'Données projet'!$B$192,EJ123+EI124-ER123)))</f>
        <v>271.19999999999948</v>
      </c>
      <c r="EK124" s="18">
        <f>EJ124*VLOOKUP('Données projet'!$B$15,Paramètres!$A$1:$I$89,3,0)*VLOOKUP('Données projet'!$B$15,Paramètres!$A$1:$I$89,5,0)</f>
        <v>262.30463999999949</v>
      </c>
      <c r="EL124" s="14">
        <f t="shared" si="99"/>
        <v>63.213381472055985</v>
      </c>
      <c r="EM124" s="22">
        <f t="shared" si="73"/>
        <v>566.94388739716328</v>
      </c>
      <c r="EN124" s="60">
        <f t="shared" si="74"/>
        <v>849.24677978934767</v>
      </c>
      <c r="EO124" s="60">
        <f ca="1">AVERAGE(OFFSET($EN$3,0,0,'Données projet'!$E$15+1,1))-AVERAGE(OFFSET($H$3,0,0,'Données projet'!$E$15+1,1))</f>
        <v>496.33873798282525</v>
      </c>
      <c r="EP124" s="60">
        <f t="shared" si="100"/>
        <v>280.25465074992246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3.4106051316484809E-13</v>
      </c>
      <c r="FF124" s="18">
        <f>FE124*VLOOKUP('Données projet'!$B$16,Paramètres!$A$1:$I$89,3,0)*VLOOKUP('Données projet'!$B$16,Paramètres!$A$1:$I$89,5,0)</f>
        <v>2.7666828827932479E-13</v>
      </c>
      <c r="FG124" s="14">
        <f t="shared" si="101"/>
        <v>3.6920483163466686E-12</v>
      </c>
      <c r="FH124" s="22">
        <f t="shared" si="76"/>
        <v>6.9121814197236049E-12</v>
      </c>
      <c r="FI124" s="60">
        <f t="shared" si="77"/>
        <v>282.30289239219132</v>
      </c>
      <c r="FJ124" s="60">
        <f ca="1">AVERAGE(OFFSET($FI$3,0,0,'Données projet'!$E$16+1,1))-AVERAGE(OFFSET($H$3,0,0,'Données projet'!$E$16+1,1))</f>
        <v>341.66430955115521</v>
      </c>
      <c r="FK124" s="60">
        <f t="shared" si="102"/>
        <v>366.15174925159192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3.4106051316484809E-13</v>
      </c>
      <c r="GA124" s="18">
        <f>FZ124*VLOOKUP('Données projet'!$B$17,Paramètres!$A$1:$I$89,3,0)*VLOOKUP('Données projet'!$B$17,Paramètres!$A$1:$I$89,5,0)</f>
        <v>2.5006556825246659E-13</v>
      </c>
      <c r="GB124" s="14">
        <f t="shared" si="103"/>
        <v>3.3765445850268018E-12</v>
      </c>
      <c r="GC124" s="22">
        <f t="shared" si="79"/>
        <v>6.3163460169613921E-12</v>
      </c>
      <c r="GD124" s="60">
        <f t="shared" si="80"/>
        <v>282.3028923921907</v>
      </c>
      <c r="GE124" s="60">
        <f ca="1">AVERAGE(OFFSET($GD$3,0,0,'Données projet'!$E$17+1,1))-AVERAGE(OFFSET($H$3,0,0,'Données projet'!$E$17+1,1))</f>
        <v>314.58662400031631</v>
      </c>
      <c r="GF124" s="60">
        <f t="shared" si="104"/>
        <v>336.99073123405981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4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278.24159999999949</v>
      </c>
      <c r="P125" s="14">
        <f t="shared" si="87"/>
        <v>66.595272276139681</v>
      </c>
      <c r="Q125" s="22">
        <f t="shared" si="107"/>
        <v>600.59088588094244</v>
      </c>
      <c r="R125" s="60">
        <f t="shared" si="55"/>
        <v>883.08513176308429</v>
      </c>
      <c r="S125" s="60">
        <f ca="1">AVERAGE(OFFSET($R$3,0,0,'Données projet'!$E$9+1,1))-AVERAGE(OFFSET($H$3,0,0,'Données projet'!$E$9+1,1))</f>
        <v>516.30971934066179</v>
      </c>
      <c r="T125" s="60">
        <f t="shared" si="88"/>
        <v>290.84286505723571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2.6282051282051269</v>
      </c>
      <c r="AI125" s="14">
        <f>IF('Données projet'!$A$62&gt;35,AI124+AH125-AQ124,IF(A125&lt;'Données projet'!$A$62,$AF$205^A125,IF(A125='Données projet'!$A$62,'Données projet'!$B$62,AI124+AH125-AQ124)))</f>
        <v>318.07692307692247</v>
      </c>
      <c r="AJ125" s="14">
        <f>AI125*VLOOKUP('Données projet'!$B$10,Paramètres!$A$1:$I$89,3,0)*VLOOKUP('Données projet'!$B$10,Paramètres!$A$1:$I$89,5,0)</f>
        <v>332.45399999999938</v>
      </c>
      <c r="AK125" s="14">
        <f t="shared" si="89"/>
        <v>77.938864391883257</v>
      </c>
      <c r="AL125" s="22">
        <f t="shared" si="58"/>
        <v>714.76757214919553</v>
      </c>
      <c r="AM125" s="60">
        <f t="shared" si="59"/>
        <v>997.26181803133727</v>
      </c>
      <c r="AN125" s="60">
        <f ca="1">AVERAGE(OFFSET($AM$3,0,0,'Données projet'!$E$10+1,1))-AVERAGE(OFFSET($H$3,0,0,'Données projet'!$E$10+1,1))</f>
        <v>529.00505223594837</v>
      </c>
      <c r="AO125" s="60">
        <f t="shared" si="90"/>
        <v>321.23004033257985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2.9795046430081134E-13</v>
      </c>
      <c r="BF125" s="14">
        <f t="shared" si="91"/>
        <v>3.9419014464513778E-12</v>
      </c>
      <c r="BG125" s="22">
        <f t="shared" si="61"/>
        <v>7.384408744560063E-12</v>
      </c>
      <c r="BH125" s="60">
        <f t="shared" si="62"/>
        <v>282.49424588214919</v>
      </c>
      <c r="BI125" s="60">
        <f ca="1">AVERAGE(OFFSET($BH$3,0,0,'Données projet'!$E$11+1,1))-AVERAGE(OFFSET($H$3,0,0,'Données projet'!$E$11+1,1))</f>
        <v>363.28611056308665</v>
      </c>
      <c r="BJ125" s="60">
        <f t="shared" si="92"/>
        <v>389.43647559455974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274.39999999999947</v>
      </c>
      <c r="BZ125" s="14">
        <f>BY125*VLOOKUP('Données projet'!$B$12,Paramètres!$A$1:$I$89,3,0)*VLOOKUP('Données projet'!$B$12,Paramètres!$A$1:$I$89,5,0)</f>
        <v>295.3641599999994</v>
      </c>
      <c r="CA125" s="14">
        <f t="shared" si="93"/>
        <v>70.203734243178047</v>
      </c>
      <c r="CB125" s="22">
        <f t="shared" si="64"/>
        <v>636.6974158068673</v>
      </c>
      <c r="CC125" s="60">
        <f t="shared" si="65"/>
        <v>919.19166168900915</v>
      </c>
      <c r="CD125" s="60">
        <f ca="1">AVERAGE(OFFSET($CC$3,0,0,'Données projet'!$E$12+1,1))-AVERAGE(OFFSET($H$3,0,0,'Données projet'!$E$12+1,1))</f>
        <v>542.90832990875208</v>
      </c>
      <c r="CE125" s="60">
        <f t="shared" si="94"/>
        <v>304.94365539329362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-6.2527760746888816E-13</v>
      </c>
      <c r="CU125" s="18">
        <f>CT125*VLOOKUP('Données projet'!$B$13,Paramètres!$A$1:$I$89,3,0)*VLOOKUP('Données projet'!$B$13,Paramètres!$A$1:$I$89,5,0)</f>
        <v>-2.9262992029543964E-13</v>
      </c>
      <c r="CV125" s="14" t="e">
        <f t="shared" si="95"/>
        <v>#NUM!</v>
      </c>
      <c r="CW125" s="22" t="e">
        <f t="shared" si="67"/>
        <v>#NUM!</v>
      </c>
      <c r="CX125" s="60" t="e">
        <f t="shared" si="68"/>
        <v>#NUM!</v>
      </c>
      <c r="CY125" s="60">
        <f ca="1">AVERAGE(OFFSET($CX$3,0,0,'Données projet'!$E$13+1,1))-AVERAGE(OFFSET($H$3,0,0,'Données projet'!$E$13+1,1))</f>
        <v>277.77877239988635</v>
      </c>
      <c r="CZ125" s="60">
        <f t="shared" si="96"/>
        <v>164.65640238394164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2.0512820512820498</v>
      </c>
      <c r="DO125" s="13">
        <f>IF('Données projet'!$A$166&gt;35,DO124+DN125-DW124,IF(A125&lt;'Données projet'!$A$166,$DL$205^A125,IF(A125='Données projet'!$A$166,'Données projet'!$B$166,DO124+DN125-DW124)))</f>
        <v>242.56410256410271</v>
      </c>
      <c r="DP125" s="18">
        <f>DO125*VLOOKUP('Données projet'!$B$14,Paramètres!$A$1:$I$89,3,0)*VLOOKUP('Données projet'!$B$14,Paramètres!$A$1:$I$89,5,0)</f>
        <v>208.12000000000015</v>
      </c>
      <c r="DQ125" s="14">
        <f t="shared" si="97"/>
        <v>51.524543628919737</v>
      </c>
      <c r="DR125" s="22">
        <f t="shared" si="70"/>
        <v>452.21424682036883</v>
      </c>
      <c r="DS125" s="60">
        <f t="shared" si="71"/>
        <v>734.70849270251063</v>
      </c>
      <c r="DT125" s="60">
        <f ca="1">AVERAGE(OFFSET($DS$3,0,0,'Données projet'!$E$14+1,1))-AVERAGE(OFFSET($H$3,0,0,'Données projet'!$E$14+1,1))</f>
        <v>354.30160274624632</v>
      </c>
      <c r="DU125" s="60">
        <f t="shared" si="98"/>
        <v>218.8005329382452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3.2</v>
      </c>
      <c r="EJ125" s="13">
        <f>IF('Données projet'!$A$192&gt;35,EJ124+EI125-ER124,IF(A125&lt;'Données projet'!$A$192,$EG$205^A125,IF(A125='Données projet'!$A$192,'Données projet'!$B$192,EJ124+EI125-ER124)))</f>
        <v>274.39999999999947</v>
      </c>
      <c r="EK125" s="18">
        <f>EJ125*VLOOKUP('Données projet'!$B$15,Paramètres!$A$1:$I$89,3,0)*VLOOKUP('Données projet'!$B$15,Paramètres!$A$1:$I$89,5,0)</f>
        <v>265.39967999999948</v>
      </c>
      <c r="EL125" s="14">
        <f t="shared" si="99"/>
        <v>63.87199095821434</v>
      </c>
      <c r="EM125" s="22">
        <f t="shared" si="73"/>
        <v>573.48149358555565</v>
      </c>
      <c r="EN125" s="60">
        <f t="shared" si="74"/>
        <v>855.97573946769739</v>
      </c>
      <c r="EO125" s="60">
        <f ca="1">AVERAGE(OFFSET($EN$3,0,0,'Données projet'!$E$15+1,1))-AVERAGE(OFFSET($H$3,0,0,'Données projet'!$E$15+1,1))</f>
        <v>496.33873798282525</v>
      </c>
      <c r="EP125" s="60">
        <f t="shared" si="100"/>
        <v>280.25465074992246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3.4106051316484809E-13</v>
      </c>
      <c r="FF125" s="18">
        <f>FE125*VLOOKUP('Données projet'!$B$16,Paramètres!$A$1:$I$89,3,0)*VLOOKUP('Données projet'!$B$16,Paramètres!$A$1:$I$89,5,0)</f>
        <v>2.7666828827932479E-13</v>
      </c>
      <c r="FG125" s="14">
        <f t="shared" si="101"/>
        <v>3.6920483163466686E-12</v>
      </c>
      <c r="FH125" s="22">
        <f t="shared" si="76"/>
        <v>6.9121814197236049E-12</v>
      </c>
      <c r="FI125" s="60">
        <f t="shared" si="77"/>
        <v>282.49424588214873</v>
      </c>
      <c r="FJ125" s="60">
        <f ca="1">AVERAGE(OFFSET($FI$3,0,0,'Données projet'!$E$16+1,1))-AVERAGE(OFFSET($H$3,0,0,'Données projet'!$E$16+1,1))</f>
        <v>341.66430955115521</v>
      </c>
      <c r="FK125" s="60">
        <f t="shared" si="102"/>
        <v>366.15174925159192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3.4106051316484809E-13</v>
      </c>
      <c r="GA125" s="18">
        <f>FZ125*VLOOKUP('Données projet'!$B$17,Paramètres!$A$1:$I$89,3,0)*VLOOKUP('Données projet'!$B$17,Paramètres!$A$1:$I$89,5,0)</f>
        <v>2.5006556825246659E-13</v>
      </c>
      <c r="GB125" s="14">
        <f t="shared" si="103"/>
        <v>3.3765445850268018E-12</v>
      </c>
      <c r="GC125" s="22">
        <f t="shared" si="79"/>
        <v>6.3163460169613921E-12</v>
      </c>
      <c r="GD125" s="60">
        <f t="shared" si="80"/>
        <v>282.49424588214811</v>
      </c>
      <c r="GE125" s="60">
        <f ca="1">AVERAGE(OFFSET($GD$3,0,0,'Données projet'!$E$17+1,1))-AVERAGE(OFFSET($H$3,0,0,'Données projet'!$E$17+1,1))</f>
        <v>314.58662400031631</v>
      </c>
      <c r="GF125" s="60">
        <f t="shared" si="104"/>
        <v>336.99073123405981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4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281.48639999999949</v>
      </c>
      <c r="P126" s="14">
        <f t="shared" si="87"/>
        <v>67.281031071373235</v>
      </c>
      <c r="Q126" s="22">
        <f t="shared" si="107"/>
        <v>607.43660911597419</v>
      </c>
      <c r="R126" s="60">
        <f t="shared" si="55"/>
        <v>890.1188889328248</v>
      </c>
      <c r="S126" s="60">
        <f ca="1">AVERAGE(OFFSET($R$3,0,0,'Données projet'!$E$9+1,1))-AVERAGE(OFFSET($H$3,0,0,'Données projet'!$E$9+1,1))</f>
        <v>516.30971934066179</v>
      </c>
      <c r="T126" s="60">
        <f t="shared" si="88"/>
        <v>290.84286505723571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2.6282051282051269</v>
      </c>
      <c r="AI126" s="14">
        <f>IF('Données projet'!$A$62&gt;35,AI125+AH126-AQ125,IF(A126&lt;'Données projet'!$A$62,$AF$205^A126,IF(A126='Données projet'!$A$62,'Données projet'!$B$62,AI125+AH126-AQ125)))</f>
        <v>320.70512820512761</v>
      </c>
      <c r="AJ126" s="14">
        <f>AI126*VLOOKUP('Données projet'!$B$10,Paramètres!$A$1:$I$89,3,0)*VLOOKUP('Données projet'!$B$10,Paramètres!$A$1:$I$89,5,0)</f>
        <v>335.2009999999994</v>
      </c>
      <c r="AK126" s="14">
        <f t="shared" si="89"/>
        <v>78.507623830791573</v>
      </c>
      <c r="AL126" s="22">
        <f t="shared" si="58"/>
        <v>720.54251983862753</v>
      </c>
      <c r="AM126" s="60">
        <f t="shared" si="59"/>
        <v>1003.2247996554781</v>
      </c>
      <c r="AN126" s="60">
        <f ca="1">AVERAGE(OFFSET($AM$3,0,0,'Données projet'!$E$10+1,1))-AVERAGE(OFFSET($H$3,0,0,'Données projet'!$E$10+1,1))</f>
        <v>529.00505223594837</v>
      </c>
      <c r="AO126" s="60">
        <f t="shared" si="90"/>
        <v>321.23004033257985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2.9795046430081134E-13</v>
      </c>
      <c r="BF126" s="14">
        <f t="shared" si="91"/>
        <v>3.9419014464513778E-12</v>
      </c>
      <c r="BG126" s="22">
        <f t="shared" si="61"/>
        <v>7.384408744560063E-12</v>
      </c>
      <c r="BH126" s="60">
        <f t="shared" si="62"/>
        <v>282.68227981685806</v>
      </c>
      <c r="BI126" s="60">
        <f ca="1">AVERAGE(OFFSET($BH$3,0,0,'Données projet'!$E$11+1,1))-AVERAGE(OFFSET($H$3,0,0,'Données projet'!$E$11+1,1))</f>
        <v>363.28611056308665</v>
      </c>
      <c r="BJ126" s="60">
        <f t="shared" si="92"/>
        <v>389.43647559455974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277.59999999999945</v>
      </c>
      <c r="BZ126" s="14">
        <f>BY126*VLOOKUP('Données projet'!$B$12,Paramètres!$A$1:$I$89,3,0)*VLOOKUP('Données projet'!$B$12,Paramètres!$A$1:$I$89,5,0)</f>
        <v>298.8086399999994</v>
      </c>
      <c r="CA126" s="14">
        <f t="shared" si="93"/>
        <v>70.926650849267929</v>
      </c>
      <c r="CB126" s="22">
        <f t="shared" si="64"/>
        <v>643.95563156247397</v>
      </c>
      <c r="CC126" s="60">
        <f t="shared" si="65"/>
        <v>926.63791137932458</v>
      </c>
      <c r="CD126" s="60">
        <f ca="1">AVERAGE(OFFSET($CC$3,0,0,'Données projet'!$E$12+1,1))-AVERAGE(OFFSET($H$3,0,0,'Données projet'!$E$12+1,1))</f>
        <v>542.90832990875208</v>
      </c>
      <c r="CE126" s="60">
        <f t="shared" si="94"/>
        <v>304.94365539329362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-6.2527760746888816E-13</v>
      </c>
      <c r="CU126" s="18">
        <f>CT126*VLOOKUP('Données projet'!$B$13,Paramètres!$A$1:$I$89,3,0)*VLOOKUP('Données projet'!$B$13,Paramètres!$A$1:$I$89,5,0)</f>
        <v>-2.9262992029543964E-13</v>
      </c>
      <c r="CV126" s="14" t="e">
        <f t="shared" si="95"/>
        <v>#NUM!</v>
      </c>
      <c r="CW126" s="22" t="e">
        <f t="shared" si="67"/>
        <v>#NUM!</v>
      </c>
      <c r="CX126" s="60" t="e">
        <f t="shared" si="68"/>
        <v>#NUM!</v>
      </c>
      <c r="CY126" s="60">
        <f ca="1">AVERAGE(OFFSET($CX$3,0,0,'Données projet'!$E$13+1,1))-AVERAGE(OFFSET($H$3,0,0,'Données projet'!$E$13+1,1))</f>
        <v>277.77877239988635</v>
      </c>
      <c r="CZ126" s="60">
        <f t="shared" si="96"/>
        <v>164.65640238394164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2.0512820512820498</v>
      </c>
      <c r="DO126" s="13">
        <f>IF('Données projet'!$A$166&gt;35,DO125+DN126-DW125,IF(A126&lt;'Données projet'!$A$166,$DL$205^A126,IF(A126='Données projet'!$A$166,'Données projet'!$B$166,DO125+DN126-DW125)))</f>
        <v>244.61538461538476</v>
      </c>
      <c r="DP126" s="18">
        <f>DO126*VLOOKUP('Données projet'!$B$14,Paramètres!$A$1:$I$89,3,0)*VLOOKUP('Données projet'!$B$14,Paramètres!$A$1:$I$89,5,0)</f>
        <v>209.88000000000017</v>
      </c>
      <c r="DQ126" s="14">
        <f t="shared" si="97"/>
        <v>51.909361806856772</v>
      </c>
      <c r="DR126" s="22">
        <f t="shared" si="70"/>
        <v>455.94980514694254</v>
      </c>
      <c r="DS126" s="60">
        <f t="shared" si="71"/>
        <v>738.6320849637932</v>
      </c>
      <c r="DT126" s="60">
        <f ca="1">AVERAGE(OFFSET($DS$3,0,0,'Données projet'!$E$14+1,1))-AVERAGE(OFFSET($H$3,0,0,'Données projet'!$E$14+1,1))</f>
        <v>354.30160274624632</v>
      </c>
      <c r="DU126" s="60">
        <f t="shared" si="98"/>
        <v>218.8005329382452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3.2</v>
      </c>
      <c r="EJ126" s="13">
        <f>IF('Données projet'!$A$192&gt;35,EJ125+EI126-ER125,IF(A126&lt;'Données projet'!$A$192,$EG$205^A126,IF(A126='Données projet'!$A$192,'Données projet'!$B$192,EJ125+EI126-ER125)))</f>
        <v>277.59999999999945</v>
      </c>
      <c r="EK126" s="18">
        <f>EJ126*VLOOKUP('Données projet'!$B$15,Paramètres!$A$1:$I$89,3,0)*VLOOKUP('Données projet'!$B$15,Paramètres!$A$1:$I$89,5,0)</f>
        <v>268.49471999999946</v>
      </c>
      <c r="EL126" s="14">
        <f t="shared" si="99"/>
        <v>64.529707010294615</v>
      </c>
      <c r="EM126" s="22">
        <f t="shared" si="73"/>
        <v>580.01754370959543</v>
      </c>
      <c r="EN126" s="60">
        <f t="shared" si="74"/>
        <v>862.69982352644615</v>
      </c>
      <c r="EO126" s="60">
        <f ca="1">AVERAGE(OFFSET($EN$3,0,0,'Données projet'!$E$15+1,1))-AVERAGE(OFFSET($H$3,0,0,'Données projet'!$E$15+1,1))</f>
        <v>496.33873798282525</v>
      </c>
      <c r="EP126" s="60">
        <f t="shared" si="100"/>
        <v>280.25465074992246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3.4106051316484809E-13</v>
      </c>
      <c r="FF126" s="18">
        <f>FE126*VLOOKUP('Données projet'!$B$16,Paramètres!$A$1:$I$89,3,0)*VLOOKUP('Données projet'!$B$16,Paramètres!$A$1:$I$89,5,0)</f>
        <v>2.7666828827932479E-13</v>
      </c>
      <c r="FG126" s="14">
        <f t="shared" si="101"/>
        <v>3.6920483163466686E-12</v>
      </c>
      <c r="FH126" s="22">
        <f t="shared" si="76"/>
        <v>6.9121814197236049E-12</v>
      </c>
      <c r="FI126" s="60">
        <f t="shared" si="77"/>
        <v>282.6822798168576</v>
      </c>
      <c r="FJ126" s="60">
        <f ca="1">AVERAGE(OFFSET($FI$3,0,0,'Données projet'!$E$16+1,1))-AVERAGE(OFFSET($H$3,0,0,'Données projet'!$E$16+1,1))</f>
        <v>341.66430955115521</v>
      </c>
      <c r="FK126" s="60">
        <f t="shared" si="102"/>
        <v>366.15174925159192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3.4106051316484809E-13</v>
      </c>
      <c r="GA126" s="18">
        <f>FZ126*VLOOKUP('Données projet'!$B$17,Paramètres!$A$1:$I$89,3,0)*VLOOKUP('Données projet'!$B$17,Paramètres!$A$1:$I$89,5,0)</f>
        <v>2.5006556825246659E-13</v>
      </c>
      <c r="GB126" s="14">
        <f t="shared" si="103"/>
        <v>3.3765445850268018E-12</v>
      </c>
      <c r="GC126" s="22">
        <f t="shared" si="79"/>
        <v>6.3163460169613921E-12</v>
      </c>
      <c r="GD126" s="60">
        <f t="shared" si="80"/>
        <v>282.68227981685698</v>
      </c>
      <c r="GE126" s="60">
        <f ca="1">AVERAGE(OFFSET($GD$3,0,0,'Données projet'!$E$17+1,1))-AVERAGE(OFFSET($H$3,0,0,'Données projet'!$E$17+1,1))</f>
        <v>314.58662400031631</v>
      </c>
      <c r="GF126" s="60">
        <f t="shared" si="104"/>
        <v>336.99073123405981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4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284.73119999999943</v>
      </c>
      <c r="P127" s="14">
        <f t="shared" si="87"/>
        <v>67.965870320050826</v>
      </c>
      <c r="Q127" s="22">
        <f t="shared" si="107"/>
        <v>614.28073080742081</v>
      </c>
      <c r="R127" s="60">
        <f t="shared" si="55"/>
        <v>897.14778259059415</v>
      </c>
      <c r="S127" s="60">
        <f ca="1">AVERAGE(OFFSET($R$3,0,0,'Données projet'!$E$9+1,1))-AVERAGE(OFFSET($H$3,0,0,'Données projet'!$E$9+1,1))</f>
        <v>516.30971934066179</v>
      </c>
      <c r="T127" s="60">
        <f t="shared" si="88"/>
        <v>290.84286505723571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2.6282051282051269</v>
      </c>
      <c r="AI127" s="14">
        <f>IF('Données projet'!$A$62&gt;35,AI126+AH127-AQ126,IF(A127&lt;'Données projet'!$A$62,$AF$205^A127,IF(A127='Données projet'!$A$62,'Données projet'!$B$62,AI126+AH127-AQ126)))</f>
        <v>323.33333333333275</v>
      </c>
      <c r="AJ127" s="14">
        <f>AI127*VLOOKUP('Données projet'!$B$10,Paramètres!$A$1:$I$89,3,0)*VLOOKUP('Données projet'!$B$10,Paramètres!$A$1:$I$89,5,0)</f>
        <v>337.94799999999941</v>
      </c>
      <c r="AK127" s="14">
        <f t="shared" si="89"/>
        <v>79.075840977982864</v>
      </c>
      <c r="AL127" s="22">
        <f t="shared" si="58"/>
        <v>726.31652303665248</v>
      </c>
      <c r="AM127" s="60">
        <f t="shared" si="59"/>
        <v>1009.1835748198258</v>
      </c>
      <c r="AN127" s="60">
        <f ca="1">AVERAGE(OFFSET($AM$3,0,0,'Données projet'!$E$10+1,1))-AVERAGE(OFFSET($H$3,0,0,'Données projet'!$E$10+1,1))</f>
        <v>529.00505223594837</v>
      </c>
      <c r="AO127" s="60">
        <f t="shared" si="90"/>
        <v>321.23004033257985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2.9795046430081134E-13</v>
      </c>
      <c r="BF127" s="14">
        <f t="shared" si="91"/>
        <v>3.9419014464513778E-12</v>
      </c>
      <c r="BG127" s="22">
        <f t="shared" si="61"/>
        <v>7.384408744560063E-12</v>
      </c>
      <c r="BH127" s="60">
        <f t="shared" si="62"/>
        <v>282.86705178318073</v>
      </c>
      <c r="BI127" s="60">
        <f ca="1">AVERAGE(OFFSET($BH$3,0,0,'Données projet'!$E$11+1,1))-AVERAGE(OFFSET($H$3,0,0,'Données projet'!$E$11+1,1))</f>
        <v>363.28611056308665</v>
      </c>
      <c r="BJ127" s="60">
        <f t="shared" si="92"/>
        <v>389.43647559455974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280.79999999999944</v>
      </c>
      <c r="BZ127" s="14">
        <f>BY127*VLOOKUP('Données projet'!$B$12,Paramètres!$A$1:$I$89,3,0)*VLOOKUP('Données projet'!$B$12,Paramètres!$A$1:$I$89,5,0)</f>
        <v>302.2531199999994</v>
      </c>
      <c r="CA127" s="14">
        <f t="shared" si="93"/>
        <v>71.648598083211283</v>
      </c>
      <c r="CB127" s="22">
        <f t="shared" si="64"/>
        <v>651.21215899492529</v>
      </c>
      <c r="CC127" s="60">
        <f t="shared" si="65"/>
        <v>934.07921077809863</v>
      </c>
      <c r="CD127" s="60">
        <f ca="1">AVERAGE(OFFSET($CC$3,0,0,'Données projet'!$E$12+1,1))-AVERAGE(OFFSET($H$3,0,0,'Données projet'!$E$12+1,1))</f>
        <v>542.90832990875208</v>
      </c>
      <c r="CE127" s="60">
        <f t="shared" si="94"/>
        <v>304.94365539329362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-6.2527760746888816E-13</v>
      </c>
      <c r="CU127" s="18">
        <f>CT127*VLOOKUP('Données projet'!$B$13,Paramètres!$A$1:$I$89,3,0)*VLOOKUP('Données projet'!$B$13,Paramètres!$A$1:$I$89,5,0)</f>
        <v>-2.9262992029543964E-13</v>
      </c>
      <c r="CV127" s="14" t="e">
        <f t="shared" si="95"/>
        <v>#NUM!</v>
      </c>
      <c r="CW127" s="22" t="e">
        <f t="shared" si="67"/>
        <v>#NUM!</v>
      </c>
      <c r="CX127" s="60" t="e">
        <f t="shared" si="68"/>
        <v>#NUM!</v>
      </c>
      <c r="CY127" s="60">
        <f ca="1">AVERAGE(OFFSET($CX$3,0,0,'Données projet'!$E$13+1,1))-AVERAGE(OFFSET($H$3,0,0,'Données projet'!$E$13+1,1))</f>
        <v>277.77877239988635</v>
      </c>
      <c r="CZ127" s="60">
        <f t="shared" si="96"/>
        <v>164.65640238394164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2.0512820512820498</v>
      </c>
      <c r="DO127" s="13">
        <f>IF('Données projet'!$A$166&gt;35,DO126+DN127-DW126,IF(A127&lt;'Données projet'!$A$166,$DL$205^A127,IF(A127='Données projet'!$A$166,'Données projet'!$B$166,DO126+DN127-DW126)))</f>
        <v>246.6666666666668</v>
      </c>
      <c r="DP127" s="18">
        <f>DO127*VLOOKUP('Données projet'!$B$14,Paramètres!$A$1:$I$89,3,0)*VLOOKUP('Données projet'!$B$14,Paramètres!$A$1:$I$89,5,0)</f>
        <v>211.64000000000013</v>
      </c>
      <c r="DQ127" s="14">
        <f t="shared" si="97"/>
        <v>52.293804542136584</v>
      </c>
      <c r="DR127" s="22">
        <f t="shared" si="70"/>
        <v>459.68470957755477</v>
      </c>
      <c r="DS127" s="60">
        <f t="shared" si="71"/>
        <v>742.55176136072805</v>
      </c>
      <c r="DT127" s="60">
        <f ca="1">AVERAGE(OFFSET($DS$3,0,0,'Données projet'!$E$14+1,1))-AVERAGE(OFFSET($H$3,0,0,'Données projet'!$E$14+1,1))</f>
        <v>354.30160274624632</v>
      </c>
      <c r="DU127" s="60">
        <f t="shared" si="98"/>
        <v>218.8005329382452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3.2</v>
      </c>
      <c r="EJ127" s="13">
        <f>IF('Données projet'!$A$192&gt;35,EJ126+EI127-ER126,IF(A127&lt;'Données projet'!$A$192,$EG$205^A127,IF(A127='Données projet'!$A$192,'Données projet'!$B$192,EJ126+EI127-ER126)))</f>
        <v>280.79999999999944</v>
      </c>
      <c r="EK127" s="18">
        <f>EJ127*VLOOKUP('Données projet'!$B$15,Paramètres!$A$1:$I$89,3,0)*VLOOKUP('Données projet'!$B$15,Paramètres!$A$1:$I$89,5,0)</f>
        <v>271.5897599999995</v>
      </c>
      <c r="EL127" s="14">
        <f t="shared" si="99"/>
        <v>65.186541118848012</v>
      </c>
      <c r="EM127" s="22">
        <f t="shared" si="73"/>
        <v>586.55205778199274</v>
      </c>
      <c r="EN127" s="60">
        <f t="shared" si="74"/>
        <v>869.41910956516608</v>
      </c>
      <c r="EO127" s="60">
        <f ca="1">AVERAGE(OFFSET($EN$3,0,0,'Données projet'!$E$15+1,1))-AVERAGE(OFFSET($H$3,0,0,'Données projet'!$E$15+1,1))</f>
        <v>496.33873798282525</v>
      </c>
      <c r="EP127" s="60">
        <f t="shared" si="100"/>
        <v>280.25465074992246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3.4106051316484809E-13</v>
      </c>
      <c r="FF127" s="18">
        <f>FE127*VLOOKUP('Données projet'!$B$16,Paramètres!$A$1:$I$89,3,0)*VLOOKUP('Données projet'!$B$16,Paramètres!$A$1:$I$89,5,0)</f>
        <v>2.7666828827932479E-13</v>
      </c>
      <c r="FG127" s="14">
        <f t="shared" si="101"/>
        <v>3.6920483163466686E-12</v>
      </c>
      <c r="FH127" s="22">
        <f t="shared" si="76"/>
        <v>6.9121814197236049E-12</v>
      </c>
      <c r="FI127" s="60">
        <f t="shared" si="77"/>
        <v>282.86705178318027</v>
      </c>
      <c r="FJ127" s="60">
        <f ca="1">AVERAGE(OFFSET($FI$3,0,0,'Données projet'!$E$16+1,1))-AVERAGE(OFFSET($H$3,0,0,'Données projet'!$E$16+1,1))</f>
        <v>341.66430955115521</v>
      </c>
      <c r="FK127" s="60">
        <f t="shared" si="102"/>
        <v>366.15174925159192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3.4106051316484809E-13</v>
      </c>
      <c r="GA127" s="18">
        <f>FZ127*VLOOKUP('Données projet'!$B$17,Paramètres!$A$1:$I$89,3,0)*VLOOKUP('Données projet'!$B$17,Paramètres!$A$1:$I$89,5,0)</f>
        <v>2.5006556825246659E-13</v>
      </c>
      <c r="GB127" s="14">
        <f t="shared" si="103"/>
        <v>3.3765445850268018E-12</v>
      </c>
      <c r="GC127" s="22">
        <f t="shared" si="79"/>
        <v>6.3163460169613921E-12</v>
      </c>
      <c r="GD127" s="60">
        <f t="shared" si="80"/>
        <v>282.86705178317965</v>
      </c>
      <c r="GE127" s="60">
        <f ca="1">AVERAGE(OFFSET($GD$3,0,0,'Données projet'!$E$17+1,1))-AVERAGE(OFFSET($H$3,0,0,'Données projet'!$E$17+1,1))</f>
        <v>314.58662400031631</v>
      </c>
      <c r="GF127" s="60">
        <f t="shared" si="104"/>
        <v>336.99073123405981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4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287.97599999999943</v>
      </c>
      <c r="P128" s="14">
        <f t="shared" si="87"/>
        <v>68.649801713863027</v>
      </c>
      <c r="Q128" s="22">
        <f t="shared" si="107"/>
        <v>621.12327131831046</v>
      </c>
      <c r="R128" s="60">
        <f t="shared" si="55"/>
        <v>904.17188968727896</v>
      </c>
      <c r="S128" s="60">
        <f ca="1">AVERAGE(OFFSET($R$3,0,0,'Données projet'!$E$9+1,1))-AVERAGE(OFFSET($H$3,0,0,'Données projet'!$E$9+1,1))</f>
        <v>516.30971934066179</v>
      </c>
      <c r="T128" s="60">
        <f t="shared" si="88"/>
        <v>290.84286505723571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2.6282051282051269</v>
      </c>
      <c r="AI128" s="14">
        <f>IF('Données projet'!$A$62&gt;35,AI127+AH128-AQ127,IF(A128&lt;'Données projet'!$A$62,$AF$205^A128,IF(A128='Données projet'!$A$62,'Données projet'!$B$62,AI127+AH128-AQ127)))</f>
        <v>325.96153846153788</v>
      </c>
      <c r="AJ128" s="14">
        <f>AI128*VLOOKUP('Données projet'!$B$10,Paramètres!$A$1:$I$89,3,0)*VLOOKUP('Données projet'!$B$10,Paramètres!$A$1:$I$89,5,0)</f>
        <v>340.69499999999942</v>
      </c>
      <c r="AK128" s="14">
        <f t="shared" si="89"/>
        <v>79.643520752331625</v>
      </c>
      <c r="AL128" s="22">
        <f t="shared" si="58"/>
        <v>732.08959031030997</v>
      </c>
      <c r="AM128" s="60">
        <f t="shared" si="59"/>
        <v>1015.1382086792785</v>
      </c>
      <c r="AN128" s="60">
        <f ca="1">AVERAGE(OFFSET($AM$3,0,0,'Données projet'!$E$10+1,1))-AVERAGE(OFFSET($H$3,0,0,'Données projet'!$E$10+1,1))</f>
        <v>529.00505223594837</v>
      </c>
      <c r="AO128" s="60">
        <f t="shared" si="90"/>
        <v>321.23004033257985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2.9795046430081134E-13</v>
      </c>
      <c r="BF128" s="14">
        <f t="shared" si="91"/>
        <v>3.9419014464513778E-12</v>
      </c>
      <c r="BG128" s="22">
        <f t="shared" si="61"/>
        <v>7.384408744560063E-12</v>
      </c>
      <c r="BH128" s="60">
        <f t="shared" si="62"/>
        <v>283.04861836897589</v>
      </c>
      <c r="BI128" s="60">
        <f ca="1">AVERAGE(OFFSET($BH$3,0,0,'Données projet'!$E$11+1,1))-AVERAGE(OFFSET($H$3,0,0,'Données projet'!$E$11+1,1))</f>
        <v>363.28611056308665</v>
      </c>
      <c r="BJ128" s="60">
        <f t="shared" si="92"/>
        <v>389.43647559455974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283.99999999999943</v>
      </c>
      <c r="BZ128" s="14">
        <f>BY128*VLOOKUP('Données projet'!$B$12,Paramètres!$A$1:$I$89,3,0)*VLOOKUP('Données projet'!$B$12,Paramètres!$A$1:$I$89,5,0)</f>
        <v>305.69759999999934</v>
      </c>
      <c r="CA128" s="14">
        <f t="shared" si="93"/>
        <v>72.369588270212233</v>
      </c>
      <c r="CB128" s="22">
        <f t="shared" si="64"/>
        <v>658.46701957061839</v>
      </c>
      <c r="CC128" s="60">
        <f t="shared" si="65"/>
        <v>941.5156379395869</v>
      </c>
      <c r="CD128" s="60">
        <f ca="1">AVERAGE(OFFSET($CC$3,0,0,'Données projet'!$E$12+1,1))-AVERAGE(OFFSET($H$3,0,0,'Données projet'!$E$12+1,1))</f>
        <v>542.90832990875208</v>
      </c>
      <c r="CE128" s="60">
        <f t="shared" si="94"/>
        <v>304.94365539329362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-6.2527760746888816E-13</v>
      </c>
      <c r="CU128" s="18">
        <f>CT128*VLOOKUP('Données projet'!$B$13,Paramètres!$A$1:$I$89,3,0)*VLOOKUP('Données projet'!$B$13,Paramètres!$A$1:$I$89,5,0)</f>
        <v>-2.9262992029543964E-13</v>
      </c>
      <c r="CV128" s="14" t="e">
        <f t="shared" si="95"/>
        <v>#NUM!</v>
      </c>
      <c r="CW128" s="22" t="e">
        <f t="shared" si="67"/>
        <v>#NUM!</v>
      </c>
      <c r="CX128" s="60" t="e">
        <f t="shared" si="68"/>
        <v>#NUM!</v>
      </c>
      <c r="CY128" s="60">
        <f ca="1">AVERAGE(OFFSET($CX$3,0,0,'Données projet'!$E$13+1,1))-AVERAGE(OFFSET($H$3,0,0,'Données projet'!$E$13+1,1))</f>
        <v>277.77877239988635</v>
      </c>
      <c r="CZ128" s="60">
        <f t="shared" si="96"/>
        <v>164.65640238394164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2.0512820512820498</v>
      </c>
      <c r="DO128" s="13">
        <f>IF('Données projet'!$A$166&gt;35,DO127+DN128-DW127,IF(A128&lt;'Données projet'!$A$166,$DL$205^A128,IF(A128='Données projet'!$A$166,'Données projet'!$B$166,DO127+DN128-DW127)))</f>
        <v>248.71794871794884</v>
      </c>
      <c r="DP128" s="18">
        <f>DO128*VLOOKUP('Données projet'!$B$14,Paramètres!$A$1:$I$89,3,0)*VLOOKUP('Données projet'!$B$14,Paramètres!$A$1:$I$89,5,0)</f>
        <v>213.40000000000015</v>
      </c>
      <c r="DQ128" s="14">
        <f t="shared" si="97"/>
        <v>52.677875318759909</v>
      </c>
      <c r="DR128" s="22">
        <f t="shared" si="70"/>
        <v>463.41896618017375</v>
      </c>
      <c r="DS128" s="60">
        <f t="shared" si="71"/>
        <v>746.4675845491422</v>
      </c>
      <c r="DT128" s="60">
        <f ca="1">AVERAGE(OFFSET($DS$3,0,0,'Données projet'!$E$14+1,1))-AVERAGE(OFFSET($H$3,0,0,'Données projet'!$E$14+1,1))</f>
        <v>354.30160274624632</v>
      </c>
      <c r="DU128" s="60">
        <f t="shared" si="98"/>
        <v>218.8005329382452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3.2</v>
      </c>
      <c r="EJ128" s="13">
        <f>IF('Données projet'!$A$192&gt;35,EJ127+EI128-ER127,IF(A128&lt;'Données projet'!$A$192,$EG$205^A128,IF(A128='Données projet'!$A$192,'Données projet'!$B$192,EJ127+EI128-ER127)))</f>
        <v>283.99999999999943</v>
      </c>
      <c r="EK128" s="18">
        <f>EJ128*VLOOKUP('Données projet'!$B$15,Paramètres!$A$1:$I$89,3,0)*VLOOKUP('Données projet'!$B$15,Paramètres!$A$1:$I$89,5,0)</f>
        <v>274.68479999999943</v>
      </c>
      <c r="EL128" s="14">
        <f t="shared" si="99"/>
        <v>65.842504497456545</v>
      </c>
      <c r="EM128" s="22">
        <f t="shared" si="73"/>
        <v>593.08505533306914</v>
      </c>
      <c r="EN128" s="60">
        <f t="shared" si="74"/>
        <v>876.13367370203764</v>
      </c>
      <c r="EO128" s="60">
        <f ca="1">AVERAGE(OFFSET($EN$3,0,0,'Données projet'!$E$15+1,1))-AVERAGE(OFFSET($H$3,0,0,'Données projet'!$E$15+1,1))</f>
        <v>496.33873798282525</v>
      </c>
      <c r="EP128" s="60">
        <f t="shared" si="100"/>
        <v>280.25465074992246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3.4106051316484809E-13</v>
      </c>
      <c r="FF128" s="18">
        <f>FE128*VLOOKUP('Données projet'!$B$16,Paramètres!$A$1:$I$89,3,0)*VLOOKUP('Données projet'!$B$16,Paramètres!$A$1:$I$89,5,0)</f>
        <v>2.7666828827932479E-13</v>
      </c>
      <c r="FG128" s="14">
        <f t="shared" si="101"/>
        <v>3.6920483163466686E-12</v>
      </c>
      <c r="FH128" s="22">
        <f t="shared" si="76"/>
        <v>6.9121814197236049E-12</v>
      </c>
      <c r="FI128" s="60">
        <f t="shared" si="77"/>
        <v>283.04861836897544</v>
      </c>
      <c r="FJ128" s="60">
        <f ca="1">AVERAGE(OFFSET($FI$3,0,0,'Données projet'!$E$16+1,1))-AVERAGE(OFFSET($H$3,0,0,'Données projet'!$E$16+1,1))</f>
        <v>341.66430955115521</v>
      </c>
      <c r="FK128" s="60">
        <f t="shared" si="102"/>
        <v>366.15174925159192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3.4106051316484809E-13</v>
      </c>
      <c r="GA128" s="18">
        <f>FZ128*VLOOKUP('Données projet'!$B$17,Paramètres!$A$1:$I$89,3,0)*VLOOKUP('Données projet'!$B$17,Paramètres!$A$1:$I$89,5,0)</f>
        <v>2.5006556825246659E-13</v>
      </c>
      <c r="GB128" s="14">
        <f t="shared" si="103"/>
        <v>3.3765445850268018E-12</v>
      </c>
      <c r="GC128" s="22">
        <f t="shared" si="79"/>
        <v>6.3163460169613921E-12</v>
      </c>
      <c r="GD128" s="60">
        <f t="shared" si="80"/>
        <v>283.04861836897481</v>
      </c>
      <c r="GE128" s="60">
        <f ca="1">AVERAGE(OFFSET($GD$3,0,0,'Données projet'!$E$17+1,1))-AVERAGE(OFFSET($H$3,0,0,'Données projet'!$E$17+1,1))</f>
        <v>314.58662400031631</v>
      </c>
      <c r="GF128" s="60">
        <f t="shared" si="104"/>
        <v>336.99073123405981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4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291.22079999999943</v>
      </c>
      <c r="P129" s="14">
        <f t="shared" si="87"/>
        <v>69.33283666585649</v>
      </c>
      <c r="Q129" s="22">
        <f t="shared" si="107"/>
        <v>627.96425052636573</v>
      </c>
      <c r="R129" s="60">
        <f t="shared" si="55"/>
        <v>911.19128570678799</v>
      </c>
      <c r="S129" s="60">
        <f ca="1">AVERAGE(OFFSET($R$3,0,0,'Données projet'!$E$9+1,1))-AVERAGE(OFFSET($H$3,0,0,'Données projet'!$E$9+1,1))</f>
        <v>516.30971934066179</v>
      </c>
      <c r="T129" s="60">
        <f t="shared" si="88"/>
        <v>290.84286505723571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2.6282051282051269</v>
      </c>
      <c r="AI129" s="14">
        <f>IF('Données projet'!$A$62&gt;35,AI128+AH129-AQ128,IF(A129&lt;'Données projet'!$A$62,$AF$205^A129,IF(A129='Données projet'!$A$62,'Données projet'!$B$62,AI128+AH129-AQ128)))</f>
        <v>328.58974358974302</v>
      </c>
      <c r="AJ129" s="14">
        <f>AI129*VLOOKUP('Données projet'!$B$10,Paramètres!$A$1:$I$89,3,0)*VLOOKUP('Données projet'!$B$10,Paramètres!$A$1:$I$89,5,0)</f>
        <v>343.44199999999944</v>
      </c>
      <c r="AK129" s="14">
        <f t="shared" si="89"/>
        <v>80.210667988811437</v>
      </c>
      <c r="AL129" s="22">
        <f t="shared" si="58"/>
        <v>737.86173008051219</v>
      </c>
      <c r="AM129" s="60">
        <f t="shared" si="59"/>
        <v>1021.0887652609345</v>
      </c>
      <c r="AN129" s="60">
        <f ca="1">AVERAGE(OFFSET($AM$3,0,0,'Données projet'!$E$10+1,1))-AVERAGE(OFFSET($H$3,0,0,'Données projet'!$E$10+1,1))</f>
        <v>529.00505223594837</v>
      </c>
      <c r="AO129" s="60">
        <f t="shared" si="90"/>
        <v>321.23004033257985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2.9795046430081134E-13</v>
      </c>
      <c r="BF129" s="14">
        <f t="shared" si="91"/>
        <v>3.9419014464513778E-12</v>
      </c>
      <c r="BG129" s="22">
        <f t="shared" si="61"/>
        <v>7.384408744560063E-12</v>
      </c>
      <c r="BH129" s="60">
        <f t="shared" si="62"/>
        <v>283.2270351804296</v>
      </c>
      <c r="BI129" s="60">
        <f ca="1">AVERAGE(OFFSET($BH$3,0,0,'Données projet'!$E$11+1,1))-AVERAGE(OFFSET($H$3,0,0,'Données projet'!$E$11+1,1))</f>
        <v>363.28611056308665</v>
      </c>
      <c r="BJ129" s="60">
        <f t="shared" si="92"/>
        <v>389.43647559455974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287.19999999999942</v>
      </c>
      <c r="BZ129" s="14">
        <f>BY129*VLOOKUP('Données projet'!$B$12,Paramètres!$A$1:$I$89,3,0)*VLOOKUP('Données projet'!$B$12,Paramètres!$A$1:$I$89,5,0)</f>
        <v>309.14207999999934</v>
      </c>
      <c r="CA129" s="14">
        <f t="shared" si="93"/>
        <v>73.089633441733085</v>
      </c>
      <c r="CB129" s="22">
        <f t="shared" si="64"/>
        <v>665.72023424435065</v>
      </c>
      <c r="CC129" s="60">
        <f t="shared" si="65"/>
        <v>948.94726942477291</v>
      </c>
      <c r="CD129" s="60">
        <f ca="1">AVERAGE(OFFSET($CC$3,0,0,'Données projet'!$E$12+1,1))-AVERAGE(OFFSET($H$3,0,0,'Données projet'!$E$12+1,1))</f>
        <v>542.90832990875208</v>
      </c>
      <c r="CE129" s="60">
        <f t="shared" si="94"/>
        <v>304.94365539329362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-6.2527760746888816E-13</v>
      </c>
      <c r="CU129" s="18">
        <f>CT129*VLOOKUP('Données projet'!$B$13,Paramètres!$A$1:$I$89,3,0)*VLOOKUP('Données projet'!$B$13,Paramètres!$A$1:$I$89,5,0)</f>
        <v>-2.9262992029543964E-13</v>
      </c>
      <c r="CV129" s="14" t="e">
        <f t="shared" si="95"/>
        <v>#NUM!</v>
      </c>
      <c r="CW129" s="22" t="e">
        <f t="shared" si="67"/>
        <v>#NUM!</v>
      </c>
      <c r="CX129" s="60" t="e">
        <f t="shared" si="68"/>
        <v>#NUM!</v>
      </c>
      <c r="CY129" s="60">
        <f ca="1">AVERAGE(OFFSET($CX$3,0,0,'Données projet'!$E$13+1,1))-AVERAGE(OFFSET($H$3,0,0,'Données projet'!$E$13+1,1))</f>
        <v>277.77877239988635</v>
      </c>
      <c r="CZ129" s="60">
        <f t="shared" si="96"/>
        <v>164.65640238394164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2.0512820512820498</v>
      </c>
      <c r="DO129" s="13">
        <f>IF('Données projet'!$A$166&gt;35,DO128+DN129-DW128,IF(A129&lt;'Données projet'!$A$166,$DL$205^A129,IF(A129='Données projet'!$A$166,'Données projet'!$B$166,DO128+DN129-DW128)))</f>
        <v>250.76923076923089</v>
      </c>
      <c r="DP129" s="18">
        <f>DO129*VLOOKUP('Données projet'!$B$14,Paramètres!$A$1:$I$89,3,0)*VLOOKUP('Données projet'!$B$14,Paramètres!$A$1:$I$89,5,0)</f>
        <v>215.16000000000011</v>
      </c>
      <c r="DQ129" s="14">
        <f t="shared" si="97"/>
        <v>53.061577559941711</v>
      </c>
      <c r="DR129" s="22">
        <f t="shared" si="70"/>
        <v>467.15258091689861</v>
      </c>
      <c r="DS129" s="60">
        <f t="shared" si="71"/>
        <v>750.37961609732088</v>
      </c>
      <c r="DT129" s="60">
        <f ca="1">AVERAGE(OFFSET($DS$3,0,0,'Données projet'!$E$14+1,1))-AVERAGE(OFFSET($H$3,0,0,'Données projet'!$E$14+1,1))</f>
        <v>354.30160274624632</v>
      </c>
      <c r="DU129" s="60">
        <f t="shared" si="98"/>
        <v>218.8005329382452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3.2</v>
      </c>
      <c r="EJ129" s="13">
        <f>IF('Données projet'!$A$192&gt;35,EJ128+EI129-ER128,IF(A129&lt;'Données projet'!$A$192,$EG$205^A129,IF(A129='Données projet'!$A$192,'Données projet'!$B$192,EJ128+EI129-ER128)))</f>
        <v>287.19999999999942</v>
      </c>
      <c r="EK129" s="18">
        <f>EJ129*VLOOKUP('Données projet'!$B$15,Paramètres!$A$1:$I$89,3,0)*VLOOKUP('Données projet'!$B$15,Paramètres!$A$1:$I$89,5,0)</f>
        <v>277.77983999999947</v>
      </c>
      <c r="EL129" s="14">
        <f t="shared" si="99"/>
        <v>66.497608092453063</v>
      </c>
      <c r="EM129" s="22">
        <f t="shared" si="73"/>
        <v>599.61655542768813</v>
      </c>
      <c r="EN129" s="60">
        <f t="shared" si="74"/>
        <v>882.84359060811039</v>
      </c>
      <c r="EO129" s="60">
        <f ca="1">AVERAGE(OFFSET($EN$3,0,0,'Données projet'!$E$15+1,1))-AVERAGE(OFFSET($H$3,0,0,'Données projet'!$E$15+1,1))</f>
        <v>496.33873798282525</v>
      </c>
      <c r="EP129" s="60">
        <f t="shared" si="100"/>
        <v>280.25465074992246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3.4106051316484809E-13</v>
      </c>
      <c r="FF129" s="18">
        <f>FE129*VLOOKUP('Données projet'!$B$16,Paramètres!$A$1:$I$89,3,0)*VLOOKUP('Données projet'!$B$16,Paramètres!$A$1:$I$89,5,0)</f>
        <v>2.7666828827932479E-13</v>
      </c>
      <c r="FG129" s="14">
        <f t="shared" si="101"/>
        <v>3.6920483163466686E-12</v>
      </c>
      <c r="FH129" s="22">
        <f t="shared" si="76"/>
        <v>6.9121814197236049E-12</v>
      </c>
      <c r="FI129" s="60">
        <f t="shared" si="77"/>
        <v>283.22703518042914</v>
      </c>
      <c r="FJ129" s="60">
        <f ca="1">AVERAGE(OFFSET($FI$3,0,0,'Données projet'!$E$16+1,1))-AVERAGE(OFFSET($H$3,0,0,'Données projet'!$E$16+1,1))</f>
        <v>341.66430955115521</v>
      </c>
      <c r="FK129" s="60">
        <f t="shared" si="102"/>
        <v>366.15174925159192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3.4106051316484809E-13</v>
      </c>
      <c r="GA129" s="18">
        <f>FZ129*VLOOKUP('Données projet'!$B$17,Paramètres!$A$1:$I$89,3,0)*VLOOKUP('Données projet'!$B$17,Paramètres!$A$1:$I$89,5,0)</f>
        <v>2.5006556825246659E-13</v>
      </c>
      <c r="GB129" s="14">
        <f t="shared" si="103"/>
        <v>3.3765445850268018E-12</v>
      </c>
      <c r="GC129" s="22">
        <f t="shared" si="79"/>
        <v>6.3163460169613921E-12</v>
      </c>
      <c r="GD129" s="60">
        <f t="shared" si="80"/>
        <v>283.22703518042852</v>
      </c>
      <c r="GE129" s="60">
        <f ca="1">AVERAGE(OFFSET($GD$3,0,0,'Données projet'!$E$17+1,1))-AVERAGE(OFFSET($H$3,0,0,'Données projet'!$E$17+1,1))</f>
        <v>314.58662400031631</v>
      </c>
      <c r="GF129" s="60">
        <f t="shared" si="104"/>
        <v>336.99073123405981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4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294.46559999999943</v>
      </c>
      <c r="P130" s="14">
        <f t="shared" si="87"/>
        <v>70.0149863201041</v>
      </c>
      <c r="Q130" s="22">
        <f t="shared" si="107"/>
        <v>634.80368784084692</v>
      </c>
      <c r="R130" s="60">
        <f t="shared" si="55"/>
        <v>918.2060446999244</v>
      </c>
      <c r="S130" s="60">
        <f ca="1">AVERAGE(OFFSET($R$3,0,0,'Données projet'!$E$9+1,1))-AVERAGE(OFFSET($H$3,0,0,'Données projet'!$E$9+1,1))</f>
        <v>516.30971934066179</v>
      </c>
      <c r="T130" s="60">
        <f t="shared" si="88"/>
        <v>290.84286505723571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2.6282051282051269</v>
      </c>
      <c r="AI130" s="14">
        <f>IF('Données projet'!$A$62&gt;35,AI129+AH130-AQ129,IF(A130&lt;'Données projet'!$A$62,$AF$205^A130,IF(A130='Données projet'!$A$62,'Données projet'!$B$62,AI129+AH130-AQ129)))</f>
        <v>331.21794871794816</v>
      </c>
      <c r="AJ130" s="14">
        <f>AI130*VLOOKUP('Données projet'!$B$10,Paramètres!$A$1:$I$89,3,0)*VLOOKUP('Données projet'!$B$10,Paramètres!$A$1:$I$89,5,0)</f>
        <v>346.18899999999945</v>
      </c>
      <c r="AK130" s="14">
        <f t="shared" si="89"/>
        <v>80.77728744058544</v>
      </c>
      <c r="AL130" s="22">
        <f t="shared" si="58"/>
        <v>743.63295062568523</v>
      </c>
      <c r="AM130" s="60">
        <f t="shared" si="59"/>
        <v>1027.0353074847626</v>
      </c>
      <c r="AN130" s="60">
        <f ca="1">AVERAGE(OFFSET($AM$3,0,0,'Données projet'!$E$10+1,1))-AVERAGE(OFFSET($H$3,0,0,'Données projet'!$E$10+1,1))</f>
        <v>529.00505223594837</v>
      </c>
      <c r="AO130" s="60">
        <f t="shared" si="90"/>
        <v>321.23004033257985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2.9795046430081134E-13</v>
      </c>
      <c r="BF130" s="14">
        <f t="shared" si="91"/>
        <v>3.9419014464513778E-12</v>
      </c>
      <c r="BG130" s="22">
        <f t="shared" si="61"/>
        <v>7.384408744560063E-12</v>
      </c>
      <c r="BH130" s="60">
        <f t="shared" si="62"/>
        <v>283.40235685908482</v>
      </c>
      <c r="BI130" s="60">
        <f ca="1">AVERAGE(OFFSET($BH$3,0,0,'Données projet'!$E$11+1,1))-AVERAGE(OFFSET($H$3,0,0,'Données projet'!$E$11+1,1))</f>
        <v>363.28611056308665</v>
      </c>
      <c r="BJ130" s="60">
        <f t="shared" si="92"/>
        <v>389.43647559455974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290.39999999999941</v>
      </c>
      <c r="BZ130" s="14">
        <f>BY130*VLOOKUP('Données projet'!$B$12,Paramètres!$A$1:$I$89,3,0)*VLOOKUP('Données projet'!$B$12,Paramètres!$A$1:$I$89,5,0)</f>
        <v>312.58655999999934</v>
      </c>
      <c r="CA130" s="14">
        <f t="shared" si="93"/>
        <v>73.808745345687839</v>
      </c>
      <c r="CB130" s="22">
        <f t="shared" si="64"/>
        <v>672.97182347707178</v>
      </c>
      <c r="CC130" s="60">
        <f t="shared" si="65"/>
        <v>956.37418033614927</v>
      </c>
      <c r="CD130" s="60">
        <f ca="1">AVERAGE(OFFSET($CC$3,0,0,'Données projet'!$E$12+1,1))-AVERAGE(OFFSET($H$3,0,0,'Données projet'!$E$12+1,1))</f>
        <v>542.90832990875208</v>
      </c>
      <c r="CE130" s="60">
        <f t="shared" si="94"/>
        <v>304.94365539329362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-6.2527760746888816E-13</v>
      </c>
      <c r="CU130" s="18">
        <f>CT130*VLOOKUP('Données projet'!$B$13,Paramètres!$A$1:$I$89,3,0)*VLOOKUP('Données projet'!$B$13,Paramètres!$A$1:$I$89,5,0)</f>
        <v>-2.9262992029543964E-13</v>
      </c>
      <c r="CV130" s="14" t="e">
        <f t="shared" si="95"/>
        <v>#NUM!</v>
      </c>
      <c r="CW130" s="22" t="e">
        <f t="shared" si="67"/>
        <v>#NUM!</v>
      </c>
      <c r="CX130" s="60" t="e">
        <f t="shared" si="68"/>
        <v>#NUM!</v>
      </c>
      <c r="CY130" s="60">
        <f ca="1">AVERAGE(OFFSET($CX$3,0,0,'Données projet'!$E$13+1,1))-AVERAGE(OFFSET($H$3,0,0,'Données projet'!$E$13+1,1))</f>
        <v>277.77877239988635</v>
      </c>
      <c r="CZ130" s="60">
        <f t="shared" si="96"/>
        <v>164.65640238394164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2.0512820512820498</v>
      </c>
      <c r="DO130" s="13">
        <f>IF('Données projet'!$A$166&gt;35,DO129+DN130-DW129,IF(A130&lt;'Données projet'!$A$166,$DL$205^A130,IF(A130='Données projet'!$A$166,'Données projet'!$B$166,DO129+DN130-DW129)))</f>
        <v>252.82051282051293</v>
      </c>
      <c r="DP130" s="18">
        <f>DO130*VLOOKUP('Données projet'!$B$14,Paramètres!$A$1:$I$89,3,0)*VLOOKUP('Données projet'!$B$14,Paramètres!$A$1:$I$89,5,0)</f>
        <v>216.92000000000013</v>
      </c>
      <c r="DQ130" s="14">
        <f t="shared" si="97"/>
        <v>53.444914629660587</v>
      </c>
      <c r="DR130" s="22">
        <f t="shared" si="70"/>
        <v>470.88555964665903</v>
      </c>
      <c r="DS130" s="60">
        <f t="shared" si="71"/>
        <v>754.28791650573646</v>
      </c>
      <c r="DT130" s="60">
        <f ca="1">AVERAGE(OFFSET($DS$3,0,0,'Données projet'!$E$14+1,1))-AVERAGE(OFFSET($H$3,0,0,'Données projet'!$E$14+1,1))</f>
        <v>354.30160274624632</v>
      </c>
      <c r="DU130" s="60">
        <f t="shared" si="98"/>
        <v>218.8005329382452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3.2</v>
      </c>
      <c r="EJ130" s="13">
        <f>IF('Données projet'!$A$192&gt;35,EJ129+EI130-ER129,IF(A130&lt;'Données projet'!$A$192,$EG$205^A130,IF(A130='Données projet'!$A$192,'Données projet'!$B$192,EJ129+EI130-ER129)))</f>
        <v>290.39999999999941</v>
      </c>
      <c r="EK130" s="18">
        <f>EJ130*VLOOKUP('Données projet'!$B$15,Paramètres!$A$1:$I$89,3,0)*VLOOKUP('Données projet'!$B$15,Paramètres!$A$1:$I$89,5,0)</f>
        <v>280.87487999999945</v>
      </c>
      <c r="EL130" s="14">
        <f t="shared" si="99"/>
        <v>67.151862592195727</v>
      </c>
      <c r="EM130" s="22">
        <f t="shared" si="73"/>
        <v>606.1465766814066</v>
      </c>
      <c r="EN130" s="60">
        <f t="shared" si="74"/>
        <v>889.54893354048409</v>
      </c>
      <c r="EO130" s="60">
        <f ca="1">AVERAGE(OFFSET($EN$3,0,0,'Données projet'!$E$15+1,1))-AVERAGE(OFFSET($H$3,0,0,'Données projet'!$E$15+1,1))</f>
        <v>496.33873798282525</v>
      </c>
      <c r="EP130" s="60">
        <f t="shared" si="100"/>
        <v>280.25465074992246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3.4106051316484809E-13</v>
      </c>
      <c r="FF130" s="18">
        <f>FE130*VLOOKUP('Données projet'!$B$16,Paramètres!$A$1:$I$89,3,0)*VLOOKUP('Données projet'!$B$16,Paramètres!$A$1:$I$89,5,0)</f>
        <v>2.7666828827932479E-13</v>
      </c>
      <c r="FG130" s="14">
        <f t="shared" si="101"/>
        <v>3.6920483163466686E-12</v>
      </c>
      <c r="FH130" s="22">
        <f t="shared" si="76"/>
        <v>6.9121814197236049E-12</v>
      </c>
      <c r="FI130" s="60">
        <f t="shared" si="77"/>
        <v>283.40235685908436</v>
      </c>
      <c r="FJ130" s="60">
        <f ca="1">AVERAGE(OFFSET($FI$3,0,0,'Données projet'!$E$16+1,1))-AVERAGE(OFFSET($H$3,0,0,'Données projet'!$E$16+1,1))</f>
        <v>341.66430955115521</v>
      </c>
      <c r="FK130" s="60">
        <f t="shared" si="102"/>
        <v>366.15174925159192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3.4106051316484809E-13</v>
      </c>
      <c r="GA130" s="18">
        <f>FZ130*VLOOKUP('Données projet'!$B$17,Paramètres!$A$1:$I$89,3,0)*VLOOKUP('Données projet'!$B$17,Paramètres!$A$1:$I$89,5,0)</f>
        <v>2.5006556825246659E-13</v>
      </c>
      <c r="GB130" s="14">
        <f t="shared" si="103"/>
        <v>3.3765445850268018E-12</v>
      </c>
      <c r="GC130" s="22">
        <f t="shared" si="79"/>
        <v>6.3163460169613921E-12</v>
      </c>
      <c r="GD130" s="60">
        <f t="shared" si="80"/>
        <v>283.40235685908374</v>
      </c>
      <c r="GE130" s="60">
        <f ca="1">AVERAGE(OFFSET($GD$3,0,0,'Données projet'!$E$17+1,1))-AVERAGE(OFFSET($H$3,0,0,'Données projet'!$E$17+1,1))</f>
        <v>314.58662400031631</v>
      </c>
      <c r="GF130" s="60">
        <f t="shared" si="104"/>
        <v>336.99073123405981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4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297.71039999999937</v>
      </c>
      <c r="P131" s="14">
        <f t="shared" si="87"/>
        <v>70.696261560936534</v>
      </c>
      <c r="Q131" s="22">
        <f t="shared" ref="Q131:Q153" si="108">(O131+P131)*0.475*44/12</f>
        <v>641.64160221862994</v>
      </c>
      <c r="R131" s="60">
        <f t="shared" ref="R131:R194" si="109">Q131+(I131+J131)*44/12</f>
        <v>925.21623931719841</v>
      </c>
      <c r="S131" s="60">
        <f ca="1">AVERAGE(OFFSET($R$3,0,0,'Données projet'!$E$9+1,1))-AVERAGE(OFFSET($H$3,0,0,'Données projet'!$E$9+1,1))</f>
        <v>516.30971934066179</v>
      </c>
      <c r="T131" s="60">
        <f t="shared" si="88"/>
        <v>290.84286505723571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2.6282051282051269</v>
      </c>
      <c r="AI131" s="14">
        <f>IF('Données projet'!$A$62&gt;35,AI130+AH131-AQ130,IF(A131&lt;'Données projet'!$A$62,$AF$205^A131,IF(A131='Données projet'!$A$62,'Données projet'!$B$62,AI130+AH131-AQ130)))</f>
        <v>333.8461538461533</v>
      </c>
      <c r="AJ131" s="14">
        <f>AI131*VLOOKUP('Données projet'!$B$10,Paramètres!$A$1:$I$89,3,0)*VLOOKUP('Données projet'!$B$10,Paramètres!$A$1:$I$89,5,0)</f>
        <v>348.93599999999947</v>
      </c>
      <c r="AK131" s="14">
        <f t="shared" si="89"/>
        <v>81.343383781028564</v>
      </c>
      <c r="AL131" s="22">
        <f t="shared" si="58"/>
        <v>749.40326008529053</v>
      </c>
      <c r="AM131" s="60">
        <f t="shared" si="59"/>
        <v>1032.9778971838591</v>
      </c>
      <c r="AN131" s="60">
        <f ca="1">AVERAGE(OFFSET($AM$3,0,0,'Données projet'!$E$10+1,1))-AVERAGE(OFFSET($H$3,0,0,'Données projet'!$E$10+1,1))</f>
        <v>529.00505223594837</v>
      </c>
      <c r="AO131" s="60">
        <f t="shared" si="90"/>
        <v>321.23004033257985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2.9795046430081134E-13</v>
      </c>
      <c r="BF131" s="14">
        <f t="shared" si="91"/>
        <v>3.9419014464513778E-12</v>
      </c>
      <c r="BG131" s="22">
        <f t="shared" si="61"/>
        <v>7.384408744560063E-12</v>
      </c>
      <c r="BH131" s="60">
        <f t="shared" si="62"/>
        <v>283.57463709857592</v>
      </c>
      <c r="BI131" s="60">
        <f ca="1">AVERAGE(OFFSET($BH$3,0,0,'Données projet'!$E$11+1,1))-AVERAGE(OFFSET($H$3,0,0,'Données projet'!$E$11+1,1))</f>
        <v>363.28611056308665</v>
      </c>
      <c r="BJ131" s="60">
        <f t="shared" si="92"/>
        <v>389.43647559455974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293.5999999999994</v>
      </c>
      <c r="BZ131" s="14">
        <f>BY131*VLOOKUP('Données projet'!$B$12,Paramètres!$A$1:$I$89,3,0)*VLOOKUP('Données projet'!$B$12,Paramètres!$A$1:$I$89,5,0)</f>
        <v>316.03103999999934</v>
      </c>
      <c r="CA131" s="14">
        <f t="shared" si="93"/>
        <v>74.526935456174002</v>
      </c>
      <c r="CB131" s="22">
        <f t="shared" si="64"/>
        <v>680.22180725283522</v>
      </c>
      <c r="CC131" s="60">
        <f t="shared" si="65"/>
        <v>963.79644435140381</v>
      </c>
      <c r="CD131" s="60">
        <f ca="1">AVERAGE(OFFSET($CC$3,0,0,'Données projet'!$E$12+1,1))-AVERAGE(OFFSET($H$3,0,0,'Données projet'!$E$12+1,1))</f>
        <v>542.90832990875208</v>
      </c>
      <c r="CE131" s="60">
        <f t="shared" si="94"/>
        <v>304.94365539329362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-6.2527760746888816E-13</v>
      </c>
      <c r="CU131" s="18">
        <f>CT131*VLOOKUP('Données projet'!$B$13,Paramètres!$A$1:$I$89,3,0)*VLOOKUP('Données projet'!$B$13,Paramètres!$A$1:$I$89,5,0)</f>
        <v>-2.9262992029543964E-13</v>
      </c>
      <c r="CV131" s="14" t="e">
        <f t="shared" si="95"/>
        <v>#NUM!</v>
      </c>
      <c r="CW131" s="22" t="e">
        <f t="shared" si="67"/>
        <v>#NUM!</v>
      </c>
      <c r="CX131" s="60" t="e">
        <f t="shared" si="68"/>
        <v>#NUM!</v>
      </c>
      <c r="CY131" s="60">
        <f ca="1">AVERAGE(OFFSET($CX$3,0,0,'Données projet'!$E$13+1,1))-AVERAGE(OFFSET($H$3,0,0,'Données projet'!$E$13+1,1))</f>
        <v>277.77877239988635</v>
      </c>
      <c r="CZ131" s="60">
        <f t="shared" si="96"/>
        <v>164.65640238394164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2.0512820512820498</v>
      </c>
      <c r="DO131" s="13">
        <f>IF('Données projet'!$A$166&gt;35,DO130+DN131-DW130,IF(A131&lt;'Données projet'!$A$166,$DL$205^A131,IF(A131='Données projet'!$A$166,'Données projet'!$B$166,DO130+DN131-DW130)))</f>
        <v>254.87179487179498</v>
      </c>
      <c r="DP131" s="18">
        <f>DO131*VLOOKUP('Données projet'!$B$14,Paramètres!$A$1:$I$89,3,0)*VLOOKUP('Données projet'!$B$14,Paramètres!$A$1:$I$89,5,0)</f>
        <v>218.68000000000009</v>
      </c>
      <c r="DQ131" s="14">
        <f t="shared" si="97"/>
        <v>53.8278898341553</v>
      </c>
      <c r="DR131" s="22">
        <f t="shared" si="70"/>
        <v>474.61790812782061</v>
      </c>
      <c r="DS131" s="60">
        <f t="shared" si="71"/>
        <v>758.19254522638914</v>
      </c>
      <c r="DT131" s="60">
        <f ca="1">AVERAGE(OFFSET($DS$3,0,0,'Données projet'!$E$14+1,1))-AVERAGE(OFFSET($H$3,0,0,'Données projet'!$E$14+1,1))</f>
        <v>354.30160274624632</v>
      </c>
      <c r="DU131" s="60">
        <f t="shared" si="98"/>
        <v>218.8005329382452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3.2</v>
      </c>
      <c r="EJ131" s="13">
        <f>IF('Données projet'!$A$192&gt;35,EJ130+EI131-ER130,IF(A131&lt;'Données projet'!$A$192,$EG$205^A131,IF(A131='Données projet'!$A$192,'Données projet'!$B$192,EJ130+EI131-ER130)))</f>
        <v>293.5999999999994</v>
      </c>
      <c r="EK131" s="18">
        <f>EJ131*VLOOKUP('Données projet'!$B$15,Paramètres!$A$1:$I$89,3,0)*VLOOKUP('Données projet'!$B$15,Paramètres!$A$1:$I$89,5,0)</f>
        <v>283.96991999999943</v>
      </c>
      <c r="EL131" s="14">
        <f t="shared" si="99"/>
        <v>67.805278435922148</v>
      </c>
      <c r="EM131" s="22">
        <f t="shared" si="73"/>
        <v>612.67513727589676</v>
      </c>
      <c r="EN131" s="60">
        <f t="shared" si="74"/>
        <v>896.24977437446523</v>
      </c>
      <c r="EO131" s="60">
        <f ca="1">AVERAGE(OFFSET($EN$3,0,0,'Données projet'!$E$15+1,1))-AVERAGE(OFFSET($H$3,0,0,'Données projet'!$E$15+1,1))</f>
        <v>496.33873798282525</v>
      </c>
      <c r="EP131" s="60">
        <f t="shared" si="100"/>
        <v>280.25465074992246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3.4106051316484809E-13</v>
      </c>
      <c r="FF131" s="18">
        <f>FE131*VLOOKUP('Données projet'!$B$16,Paramètres!$A$1:$I$89,3,0)*VLOOKUP('Données projet'!$B$16,Paramètres!$A$1:$I$89,5,0)</f>
        <v>2.7666828827932479E-13</v>
      </c>
      <c r="FG131" s="14">
        <f t="shared" si="101"/>
        <v>3.6920483163466686E-12</v>
      </c>
      <c r="FH131" s="22">
        <f t="shared" si="76"/>
        <v>6.9121814197236049E-12</v>
      </c>
      <c r="FI131" s="60">
        <f t="shared" si="77"/>
        <v>283.57463709857547</v>
      </c>
      <c r="FJ131" s="60">
        <f ca="1">AVERAGE(OFFSET($FI$3,0,0,'Données projet'!$E$16+1,1))-AVERAGE(OFFSET($H$3,0,0,'Données projet'!$E$16+1,1))</f>
        <v>341.66430955115521</v>
      </c>
      <c r="FK131" s="60">
        <f t="shared" si="102"/>
        <v>366.15174925159192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3.4106051316484809E-13</v>
      </c>
      <c r="GA131" s="18">
        <f>FZ131*VLOOKUP('Données projet'!$B$17,Paramètres!$A$1:$I$89,3,0)*VLOOKUP('Données projet'!$B$17,Paramètres!$A$1:$I$89,5,0)</f>
        <v>2.5006556825246659E-13</v>
      </c>
      <c r="GB131" s="14">
        <f t="shared" si="103"/>
        <v>3.3765445850268018E-12</v>
      </c>
      <c r="GC131" s="22">
        <f t="shared" si="79"/>
        <v>6.3163460169613921E-12</v>
      </c>
      <c r="GD131" s="60">
        <f t="shared" si="80"/>
        <v>283.57463709857484</v>
      </c>
      <c r="GE131" s="60">
        <f ca="1">AVERAGE(OFFSET($GD$3,0,0,'Données projet'!$E$17+1,1))-AVERAGE(OFFSET($H$3,0,0,'Données projet'!$E$17+1,1))</f>
        <v>314.58662400031631</v>
      </c>
      <c r="GF131" s="60">
        <f t="shared" si="104"/>
        <v>336.99073123405981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4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300.95519999999942</v>
      </c>
      <c r="P132" s="14">
        <f t="shared" si="87"/>
        <v>71.376673021759657</v>
      </c>
      <c r="Q132" s="22">
        <f t="shared" si="108"/>
        <v>648.47801217956373</v>
      </c>
      <c r="R132" s="60">
        <f t="shared" si="109"/>
        <v>932.22194084062903</v>
      </c>
      <c r="S132" s="60">
        <f ca="1">AVERAGE(OFFSET($R$3,0,0,'Données projet'!$E$9+1,1))-AVERAGE(OFFSET($H$3,0,0,'Données projet'!$E$9+1,1))</f>
        <v>516.30971934066179</v>
      </c>
      <c r="T132" s="60">
        <f t="shared" si="88"/>
        <v>290.84286505723571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2.6282051282051269</v>
      </c>
      <c r="AI132" s="14">
        <f>IF('Données projet'!$A$62&gt;35,AI131+AH132-AQ131,IF(A132&lt;'Données projet'!$A$62,$AF$205^A132,IF(A132='Données projet'!$A$62,'Données projet'!$B$62,AI131+AH132-AQ131)))</f>
        <v>336.47435897435844</v>
      </c>
      <c r="AJ132" s="14">
        <f>AI132*VLOOKUP('Données projet'!$B$10,Paramètres!$A$1:$I$89,3,0)*VLOOKUP('Données projet'!$B$10,Paramètres!$A$1:$I$89,5,0)</f>
        <v>351.68299999999948</v>
      </c>
      <c r="AK132" s="14">
        <f t="shared" si="89"/>
        <v>81.908961605684084</v>
      </c>
      <c r="AL132" s="22">
        <f t="shared" ref="AL132:AL153" si="112">(AJ132+AK132)*0.475*44/12</f>
        <v>755.17266646323208</v>
      </c>
      <c r="AM132" s="60">
        <f t="shared" ref="AM132:AM195" si="113">AL132+(AD132+AE132)*44/12</f>
        <v>1038.9165951242974</v>
      </c>
      <c r="AN132" s="60">
        <f ca="1">AVERAGE(OFFSET($AM$3,0,0,'Données projet'!$E$10+1,1))-AVERAGE(OFFSET($H$3,0,0,'Données projet'!$E$10+1,1))</f>
        <v>529.00505223594837</v>
      </c>
      <c r="AO132" s="60">
        <f t="shared" si="90"/>
        <v>321.23004033257985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2.9795046430081134E-13</v>
      </c>
      <c r="BF132" s="14">
        <f t="shared" si="91"/>
        <v>3.9419014464513778E-12</v>
      </c>
      <c r="BG132" s="22">
        <f t="shared" ref="BG132:BG153" si="115">(BE132+BF132)*0.475*44/12</f>
        <v>7.384408744560063E-12</v>
      </c>
      <c r="BH132" s="60">
        <f t="shared" ref="BH132:BH195" si="116">BG132+(AY132+AZ132)*44/12</f>
        <v>283.74392866107274</v>
      </c>
      <c r="BI132" s="60">
        <f ca="1">AVERAGE(OFFSET($BH$3,0,0,'Données projet'!$E$11+1,1))-AVERAGE(OFFSET($H$3,0,0,'Données projet'!$E$11+1,1))</f>
        <v>363.28611056308665</v>
      </c>
      <c r="BJ132" s="60">
        <f t="shared" si="92"/>
        <v>389.43647559455974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296.79999999999939</v>
      </c>
      <c r="BZ132" s="14">
        <f>BY132*VLOOKUP('Données projet'!$B$12,Paramètres!$A$1:$I$89,3,0)*VLOOKUP('Données projet'!$B$12,Paramètres!$A$1:$I$89,5,0)</f>
        <v>319.47551999999928</v>
      </c>
      <c r="CA132" s="14">
        <f t="shared" si="93"/>
        <v>75.244214982768113</v>
      </c>
      <c r="CB132" s="22">
        <f t="shared" ref="CB132:CB153" si="118">(BZ132+CA132)*0.475*44/12</f>
        <v>687.47020509498645</v>
      </c>
      <c r="CC132" s="60">
        <f t="shared" ref="CC132:CC195" si="119">CB132+(BT132+BU132)*44/12</f>
        <v>971.21413375605175</v>
      </c>
      <c r="CD132" s="60">
        <f ca="1">AVERAGE(OFFSET($CC$3,0,0,'Données projet'!$E$12+1,1))-AVERAGE(OFFSET($H$3,0,0,'Données projet'!$E$12+1,1))</f>
        <v>542.90832990875208</v>
      </c>
      <c r="CE132" s="60">
        <f t="shared" si="94"/>
        <v>304.94365539329362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-6.2527760746888816E-13</v>
      </c>
      <c r="CU132" s="18">
        <f>CT132*VLOOKUP('Données projet'!$B$13,Paramètres!$A$1:$I$89,3,0)*VLOOKUP('Données projet'!$B$13,Paramètres!$A$1:$I$89,5,0)</f>
        <v>-2.9262992029543964E-13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0" t="e">
        <f t="shared" ref="CX132:CX195" si="122">CW132+(CO132+CP132)*44/12</f>
        <v>#NUM!</v>
      </c>
      <c r="CY132" s="60">
        <f ca="1">AVERAGE(OFFSET($CX$3,0,0,'Données projet'!$E$13+1,1))-AVERAGE(OFFSET($H$3,0,0,'Données projet'!$E$13+1,1))</f>
        <v>277.77877239988635</v>
      </c>
      <c r="CZ132" s="60">
        <f t="shared" si="96"/>
        <v>164.65640238394164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2.0512820512820498</v>
      </c>
      <c r="DO132" s="13">
        <f>IF('Données projet'!$A$166&gt;35,DO131+DN132-DW131,IF(A132&lt;'Données projet'!$A$166,$DL$205^A132,IF(A132='Données projet'!$A$166,'Données projet'!$B$166,DO131+DN132-DW131)))</f>
        <v>256.92307692307702</v>
      </c>
      <c r="DP132" s="18">
        <f>DO132*VLOOKUP('Données projet'!$B$14,Paramètres!$A$1:$I$89,3,0)*VLOOKUP('Données projet'!$B$14,Paramètres!$A$1:$I$89,5,0)</f>
        <v>220.44000000000011</v>
      </c>
      <c r="DQ132" s="14">
        <f t="shared" si="97"/>
        <v>54.210506423372969</v>
      </c>
      <c r="DR132" s="22">
        <f t="shared" ref="DR132:DR153" si="124">(DP132+DQ132)*0.475*44/12</f>
        <v>478.34963202070804</v>
      </c>
      <c r="DS132" s="60">
        <f t="shared" ref="DS132:DS195" si="125">DR132+(DJ132+DK132)*44/12</f>
        <v>762.0935606817734</v>
      </c>
      <c r="DT132" s="60">
        <f ca="1">AVERAGE(OFFSET($DS$3,0,0,'Données projet'!$E$14+1,1))-AVERAGE(OFFSET($H$3,0,0,'Données projet'!$E$14+1,1))</f>
        <v>354.30160274624632</v>
      </c>
      <c r="DU132" s="60">
        <f t="shared" si="98"/>
        <v>218.8005329382452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3.2</v>
      </c>
      <c r="EJ132" s="13">
        <f>IF('Données projet'!$A$192&gt;35,EJ131+EI132-ER131,IF(A132&lt;'Données projet'!$A$192,$EG$205^A132,IF(A132='Données projet'!$A$192,'Données projet'!$B$192,EJ131+EI132-ER131)))</f>
        <v>296.79999999999939</v>
      </c>
      <c r="EK132" s="18">
        <f>EJ132*VLOOKUP('Données projet'!$B$15,Paramètres!$A$1:$I$89,3,0)*VLOOKUP('Données projet'!$B$15,Paramètres!$A$1:$I$89,5,0)</f>
        <v>287.06495999999942</v>
      </c>
      <c r="EL132" s="14">
        <f t="shared" si="99"/>
        <v>68.457865822206202</v>
      </c>
      <c r="EM132" s="22">
        <f t="shared" ref="EM132:EM153" si="127">(EK132+EL132)*0.475*44/12</f>
        <v>619.20225497367471</v>
      </c>
      <c r="EN132" s="60">
        <f t="shared" ref="EN132:EN195" si="128">EM132+(EE132+EF132)*44/12</f>
        <v>902.94618363474001</v>
      </c>
      <c r="EO132" s="60">
        <f ca="1">AVERAGE(OFFSET($EN$3,0,0,'Données projet'!$E$15+1,1))-AVERAGE(OFFSET($H$3,0,0,'Données projet'!$E$15+1,1))</f>
        <v>496.33873798282525</v>
      </c>
      <c r="EP132" s="60">
        <f t="shared" si="100"/>
        <v>280.25465074992246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3.4106051316484809E-13</v>
      </c>
      <c r="FF132" s="18">
        <f>FE132*VLOOKUP('Données projet'!$B$16,Paramètres!$A$1:$I$89,3,0)*VLOOKUP('Données projet'!$B$16,Paramètres!$A$1:$I$89,5,0)</f>
        <v>2.7666828827932479E-13</v>
      </c>
      <c r="FG132" s="14">
        <f t="shared" si="101"/>
        <v>3.6920483163466686E-12</v>
      </c>
      <c r="FH132" s="22">
        <f t="shared" ref="FH132:FH153" si="130">(FF132+FG132)*0.475*44/12</f>
        <v>6.9121814197236049E-12</v>
      </c>
      <c r="FI132" s="60">
        <f t="shared" ref="FI132:FI195" si="131">FH132+(EZ132+FA132)*44/12</f>
        <v>283.74392866107229</v>
      </c>
      <c r="FJ132" s="60">
        <f ca="1">AVERAGE(OFFSET($FI$3,0,0,'Données projet'!$E$16+1,1))-AVERAGE(OFFSET($H$3,0,0,'Données projet'!$E$16+1,1))</f>
        <v>341.66430955115521</v>
      </c>
      <c r="FK132" s="60">
        <f t="shared" si="102"/>
        <v>366.15174925159192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3.4106051316484809E-13</v>
      </c>
      <c r="GA132" s="18">
        <f>FZ132*VLOOKUP('Données projet'!$B$17,Paramètres!$A$1:$I$89,3,0)*VLOOKUP('Données projet'!$B$17,Paramètres!$A$1:$I$89,5,0)</f>
        <v>2.5006556825246659E-13</v>
      </c>
      <c r="GB132" s="14">
        <f t="shared" si="103"/>
        <v>3.3765445850268018E-12</v>
      </c>
      <c r="GC132" s="22">
        <f t="shared" ref="GC132:GC153" si="133">(GA132+GB132)*0.475*44/12</f>
        <v>6.3163460169613921E-12</v>
      </c>
      <c r="GD132" s="60">
        <f t="shared" ref="GD132:GD195" si="134">GC132+(FU132+FV132)*44/12</f>
        <v>283.74392866107166</v>
      </c>
      <c r="GE132" s="60">
        <f ca="1">AVERAGE(OFFSET($GD$3,0,0,'Données projet'!$E$17+1,1))-AVERAGE(OFFSET($H$3,0,0,'Données projet'!$E$17+1,1))</f>
        <v>314.58662400031631</v>
      </c>
      <c r="GF132" s="60">
        <f t="shared" si="104"/>
        <v>336.99073123405981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4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304.19999999999936</v>
      </c>
      <c r="P133" s="14">
        <f t="shared" ref="P133:P196" si="141">EXP(-1.0587+0.8836*LN(O133)+0.284)</f>
        <v>72.056231093480946</v>
      </c>
      <c r="Q133" s="22">
        <f t="shared" si="108"/>
        <v>655.31293582114483</v>
      </c>
      <c r="R133" s="60">
        <f t="shared" si="109"/>
        <v>939.22321921457694</v>
      </c>
      <c r="S133" s="60">
        <f ca="1">AVERAGE(OFFSET($R$3,0,0,'Données projet'!$E$9+1,1))-AVERAGE(OFFSET($H$3,0,0,'Données projet'!$E$9+1,1))</f>
        <v>516.30971934066179</v>
      </c>
      <c r="T133" s="60">
        <f t="shared" ref="T133:T196" si="142">$T$3</f>
        <v>290.84286505723571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339.10256410256409</v>
      </c>
      <c r="AG133" s="13">
        <f>VLOOKUP(A133,'Données projet'!$A$61:$I$81,9,0)</f>
        <v>2.6282051282051269</v>
      </c>
      <c r="AH133" s="13">
        <f t="array" ref="AH133">INDEX(AG:AG,MIN(IF(ISNUMBER(AG133:AG329),ROW(AG133:AG329),"")))</f>
        <v>2.6282051282051269</v>
      </c>
      <c r="AI133" s="14">
        <f>IF('Données projet'!$A$62&gt;35,AI132+AH133-AQ132,IF(A133&lt;'Données projet'!$A$62,$AF$205^A133,IF(A133='Données projet'!$A$62,'Données projet'!$B$62,AI132+AH133-AQ132)))</f>
        <v>339.10256410256358</v>
      </c>
      <c r="AJ133" s="14">
        <f>AI133*VLOOKUP('Données projet'!$B$10,Paramètres!$A$1:$I$89,3,0)*VLOOKUP('Données projet'!$B$10,Paramètres!$A$1:$I$89,5,0)</f>
        <v>354.4299999999995</v>
      </c>
      <c r="AK133" s="14">
        <f t="shared" ref="AK133:AK153" si="143">EXP(-1.0587+0.8836*LN(AJ133)+0.284)</f>
        <v>82.474025434157767</v>
      </c>
      <c r="AL133" s="22">
        <f t="shared" si="112"/>
        <v>760.94117763115719</v>
      </c>
      <c r="AM133" s="60">
        <f t="shared" si="113"/>
        <v>1044.8514610245893</v>
      </c>
      <c r="AN133" s="60">
        <f ca="1">AVERAGE(OFFSET($AM$3,0,0,'Données projet'!$E$10+1,1))-AVERAGE(OFFSET($H$3,0,0,'Données projet'!$E$10+1,1))</f>
        <v>529.00505223594837</v>
      </c>
      <c r="AO133" s="60">
        <f t="shared" ref="AO133:AO196" si="144">$AO$3</f>
        <v>321.23004033257985</v>
      </c>
      <c r="AP133" s="16">
        <f>IF(ISNA(VLOOKUP(A133,'Données projet'!$A$61:$I$81,3,0)),0,VLOOKUP(A133,'Données projet'!$A$61:$I$81,3,0))</f>
        <v>12</v>
      </c>
      <c r="AQ133" s="16">
        <f>IF(ISNA(VLOOKUP(A133,'Données projet'!$A$61:$I$81,4,0)),0,VLOOKUP(A133,'Données projet'!$A$61:$I$81,4,0))</f>
        <v>339.10256410256409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2.9795046430081134E-13</v>
      </c>
      <c r="BF133" s="14">
        <f t="shared" ref="BF133:BF153" si="145">EXP(-1.0587+0.8836*LN(BE133)+0.284)</f>
        <v>3.9419014464513778E-12</v>
      </c>
      <c r="BG133" s="22">
        <f t="shared" si="115"/>
        <v>7.384408744560063E-12</v>
      </c>
      <c r="BH133" s="60">
        <f t="shared" si="116"/>
        <v>283.9102833934395</v>
      </c>
      <c r="BI133" s="60">
        <f ca="1">AVERAGE(OFFSET($BH$3,0,0,'Données projet'!$E$11+1,1))-AVERAGE(OFFSET($H$3,0,0,'Données projet'!$E$11+1,1))</f>
        <v>363.28611056308665</v>
      </c>
      <c r="BJ133" s="60">
        <f t="shared" ref="BJ133:BJ196" si="146">$BJ$3</f>
        <v>389.43647559455974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299.99999999999937</v>
      </c>
      <c r="BZ133" s="14">
        <f>BY133*VLOOKUP('Données projet'!$B$12,Paramètres!$A$1:$I$89,3,0)*VLOOKUP('Données projet'!$B$12,Paramètres!$A$1:$I$89,5,0)</f>
        <v>322.91999999999928</v>
      </c>
      <c r="CA133" s="14">
        <f t="shared" ref="CA133:CA153" si="147">EXP(-1.0587+0.8836*LN(BZ133)+0.284)</f>
        <v>75.960594879408617</v>
      </c>
      <c r="CB133" s="22">
        <f t="shared" si="118"/>
        <v>694.71703608163534</v>
      </c>
      <c r="CC133" s="60">
        <f t="shared" si="119"/>
        <v>978.62731947506745</v>
      </c>
      <c r="CD133" s="60">
        <f ca="1">AVERAGE(OFFSET($CC$3,0,0,'Données projet'!$E$12+1,1))-AVERAGE(OFFSET($H$3,0,0,'Données projet'!$E$12+1,1))</f>
        <v>542.90832990875208</v>
      </c>
      <c r="CE133" s="60">
        <f t="shared" ref="CE133:CE196" si="148">$CE$3</f>
        <v>304.94365539329362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-6.2527760746888816E-13</v>
      </c>
      <c r="CU133" s="18">
        <f>CT133*VLOOKUP('Données projet'!$B$13,Paramètres!$A$1:$I$89,3,0)*VLOOKUP('Données projet'!$B$13,Paramètres!$A$1:$I$89,5,0)</f>
        <v>-2.9262992029543964E-13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0" t="e">
        <f t="shared" si="122"/>
        <v>#NUM!</v>
      </c>
      <c r="CY133" s="60">
        <f ca="1">AVERAGE(OFFSET($CX$3,0,0,'Données projet'!$E$13+1,1))-AVERAGE(OFFSET($H$3,0,0,'Données projet'!$E$13+1,1))</f>
        <v>277.77877239988635</v>
      </c>
      <c r="CZ133" s="60">
        <f t="shared" ref="CZ133:CZ196" si="150">$CZ$3</f>
        <v>164.65640238394164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258.97435897435895</v>
      </c>
      <c r="DM133" s="13">
        <f>VLOOKUP(A133,'Données projet'!$A$165:$I$185,9,0)</f>
        <v>2.0512820512820498</v>
      </c>
      <c r="DN133" s="13">
        <f t="array" ref="DN133">INDEX(DM:DM,MIN(IF(ISNUMBER(DM133:DM329),ROW(DM133:DM329),"")))</f>
        <v>2.0512820512820498</v>
      </c>
      <c r="DO133" s="13">
        <f>IF('Données projet'!$A$166&gt;35,DO132+DN133-DW132,IF(A133&lt;'Données projet'!$A$166,$DL$205^A133,IF(A133='Données projet'!$A$166,'Données projet'!$B$166,DO132+DN133-DW132)))</f>
        <v>258.97435897435906</v>
      </c>
      <c r="DP133" s="18">
        <f>DO133*VLOOKUP('Données projet'!$B$14,Paramètres!$A$1:$I$89,3,0)*VLOOKUP('Données projet'!$B$14,Paramètres!$A$1:$I$89,5,0)</f>
        <v>222.2000000000001</v>
      </c>
      <c r="DQ133" s="14">
        <f t="shared" ref="DQ133:DQ153" si="151">EXP(-1.0587+0.8836*LN(DP133)+0.284)</f>
        <v>54.592767592368624</v>
      </c>
      <c r="DR133" s="22">
        <f t="shared" si="124"/>
        <v>482.08073689004209</v>
      </c>
      <c r="DS133" s="60">
        <f t="shared" si="125"/>
        <v>765.9910202834742</v>
      </c>
      <c r="DT133" s="60">
        <f ca="1">AVERAGE(OFFSET($DS$3,0,0,'Données projet'!$E$14+1,1))-AVERAGE(OFFSET($H$3,0,0,'Données projet'!$E$14+1,1))</f>
        <v>354.30160274624632</v>
      </c>
      <c r="DU133" s="60">
        <f t="shared" ref="DU133:DU196" si="152">$DU$3</f>
        <v>218.8005329382452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258.97435897435895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>
        <f>VLOOKUP(A133,'Données projet'!$A$191:$I$211,2,0)</f>
        <v>300</v>
      </c>
      <c r="EH133" s="13">
        <f>VLOOKUP(A133,'Données projet'!$A$191:$I$211,9,0)</f>
        <v>3.2</v>
      </c>
      <c r="EI133" s="13">
        <f t="array" ref="EI133">INDEX(EH:EH,MIN(IF(ISNUMBER(EH133:EH329),ROW(EH133:EH329),"")))</f>
        <v>3.2</v>
      </c>
      <c r="EJ133" s="13">
        <f>IF('Données projet'!$A$192&gt;35,EJ132+EI133-ER132,IF(A133&lt;'Données projet'!$A$192,$EG$205^A133,IF(A133='Données projet'!$A$192,'Données projet'!$B$192,EJ132+EI133-ER132)))</f>
        <v>299.99999999999937</v>
      </c>
      <c r="EK133" s="18">
        <f>EJ133*VLOOKUP('Données projet'!$B$15,Paramètres!$A$1:$I$89,3,0)*VLOOKUP('Données projet'!$B$15,Paramètres!$A$1:$I$89,5,0)</f>
        <v>290.1599999999994</v>
      </c>
      <c r="EL133" s="14">
        <f t="shared" ref="EL133:EL153" si="153">EXP(-1.0587+0.8836*LN(EK133)+0.284)</f>
        <v>69.10963471703981</v>
      </c>
      <c r="EM133" s="22">
        <f t="shared" si="127"/>
        <v>625.72794713217661</v>
      </c>
      <c r="EN133" s="60">
        <f t="shared" si="128"/>
        <v>909.63823052560872</v>
      </c>
      <c r="EO133" s="60">
        <f ca="1">AVERAGE(OFFSET($EN$3,0,0,'Données projet'!$E$15+1,1))-AVERAGE(OFFSET($H$3,0,0,'Données projet'!$E$15+1,1))</f>
        <v>496.33873798282525</v>
      </c>
      <c r="EP133" s="60">
        <f t="shared" ref="EP133:EP196" si="154">$EP$3</f>
        <v>280.25465074992246</v>
      </c>
      <c r="EQ133" s="16">
        <f>IF(ISNA(VLOOKUP(A133,'Données projet'!$A$191:$I$211,3,0)),0,VLOOKUP(A133,'Données projet'!$A$191:$I$211,3,0))</f>
        <v>11</v>
      </c>
      <c r="ER133" s="16">
        <f>IF(ISNA(VLOOKUP(A133,'Données projet'!$A$191:$I$211,4,0)),0,VLOOKUP(A133,'Données projet'!$A$191:$I$211,4,0))</f>
        <v>31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3.4106051316484809E-13</v>
      </c>
      <c r="FF133" s="18">
        <f>FE133*VLOOKUP('Données projet'!$B$16,Paramètres!$A$1:$I$89,3,0)*VLOOKUP('Données projet'!$B$16,Paramètres!$A$1:$I$89,5,0)</f>
        <v>2.7666828827932479E-13</v>
      </c>
      <c r="FG133" s="14">
        <f t="shared" ref="FG133:FG153" si="155">EXP(-1.0587+0.8836*LN(FF133)+0.284)</f>
        <v>3.6920483163466686E-12</v>
      </c>
      <c r="FH133" s="22">
        <f t="shared" si="130"/>
        <v>6.9121814197236049E-12</v>
      </c>
      <c r="FI133" s="60">
        <f t="shared" si="131"/>
        <v>283.91028339343904</v>
      </c>
      <c r="FJ133" s="60">
        <f ca="1">AVERAGE(OFFSET($FI$3,0,0,'Données projet'!$E$16+1,1))-AVERAGE(OFFSET($H$3,0,0,'Données projet'!$E$16+1,1))</f>
        <v>341.66430955115521</v>
      </c>
      <c r="FK133" s="60">
        <f t="shared" ref="FK133:FK196" si="156">$FK$3</f>
        <v>366.15174925159192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3.4106051316484809E-13</v>
      </c>
      <c r="GA133" s="18">
        <f>FZ133*VLOOKUP('Données projet'!$B$17,Paramètres!$A$1:$I$89,3,0)*VLOOKUP('Données projet'!$B$17,Paramètres!$A$1:$I$89,5,0)</f>
        <v>2.5006556825246659E-13</v>
      </c>
      <c r="GB133" s="14">
        <f t="shared" ref="GB133:GB153" si="157">EXP(-1.0587+0.8836*LN(GA133)+0.284)</f>
        <v>3.3765445850268018E-12</v>
      </c>
      <c r="GC133" s="22">
        <f t="shared" si="133"/>
        <v>6.3163460169613921E-12</v>
      </c>
      <c r="GD133" s="60">
        <f t="shared" si="134"/>
        <v>283.91028339343842</v>
      </c>
      <c r="GE133" s="60">
        <f ca="1">AVERAGE(OFFSET($GD$3,0,0,'Données projet'!$E$17+1,1))-AVERAGE(OFFSET($H$3,0,0,'Données projet'!$E$17+1,1))</f>
        <v>314.58662400031631</v>
      </c>
      <c r="GF133" s="60">
        <f t="shared" ref="GF133:GF196" si="158">$GF$3</f>
        <v>336.99073123405981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4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275.50379999999939</v>
      </c>
      <c r="P134" s="14">
        <f t="shared" si="141"/>
        <v>66.015939215007748</v>
      </c>
      <c r="Q134" s="22">
        <f t="shared" si="108"/>
        <v>594.81354579947072</v>
      </c>
      <c r="R134" s="60">
        <f t="shared" si="109"/>
        <v>878.8872980425765</v>
      </c>
      <c r="S134" s="60">
        <f ca="1">AVERAGE(OFFSET($R$3,0,0,'Données projet'!$E$9+1,1))-AVERAGE(OFFSET($H$3,0,0,'Données projet'!$E$9+1,1))</f>
        <v>516.30971934066179</v>
      </c>
      <c r="T134" s="60">
        <f t="shared" si="142"/>
        <v>290.84286505723571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-5.1159076974727213E-13</v>
      </c>
      <c r="AJ134" s="14">
        <f>AI134*VLOOKUP('Données projet'!$B$10,Paramètres!$A$1:$I$89,3,0)*VLOOKUP('Données projet'!$B$10,Paramètres!$A$1:$I$89,5,0)</f>
        <v>-5.3471467253984886E-13</v>
      </c>
      <c r="AK134" s="14" t="e">
        <f t="shared" si="143"/>
        <v>#NUM!</v>
      </c>
      <c r="AL134" s="22" t="e">
        <f t="shared" si="112"/>
        <v>#NUM!</v>
      </c>
      <c r="AM134" s="60" t="e">
        <f t="shared" si="113"/>
        <v>#NUM!</v>
      </c>
      <c r="AN134" s="60">
        <f ca="1">AVERAGE(OFFSET($AM$3,0,0,'Données projet'!$E$10+1,1))-AVERAGE(OFFSET($H$3,0,0,'Données projet'!$E$10+1,1))</f>
        <v>529.00505223594837</v>
      </c>
      <c r="AO134" s="60">
        <f t="shared" si="144"/>
        <v>321.23004033257985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2.9795046430081134E-13</v>
      </c>
      <c r="BF134" s="14">
        <f t="shared" si="145"/>
        <v>3.9419014464513778E-12</v>
      </c>
      <c r="BG134" s="22">
        <f t="shared" si="115"/>
        <v>7.384408744560063E-12</v>
      </c>
      <c r="BH134" s="60">
        <f t="shared" si="116"/>
        <v>284.07375224311312</v>
      </c>
      <c r="BI134" s="60">
        <f ca="1">AVERAGE(OFFSET($BH$3,0,0,'Données projet'!$E$11+1,1))-AVERAGE(OFFSET($H$3,0,0,'Données projet'!$E$11+1,1))</f>
        <v>363.28611056308665</v>
      </c>
      <c r="BJ134" s="60">
        <f t="shared" si="146"/>
        <v>389.43647559455974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271.69999999999936</v>
      </c>
      <c r="BZ134" s="14">
        <f>BY134*VLOOKUP('Données projet'!$B$12,Paramètres!$A$1:$I$89,3,0)*VLOOKUP('Données projet'!$B$12,Paramètres!$A$1:$I$89,5,0)</f>
        <v>292.45787999999931</v>
      </c>
      <c r="CA134" s="14">
        <f t="shared" si="147"/>
        <v>69.59301004501954</v>
      </c>
      <c r="CB134" s="22">
        <f t="shared" si="118"/>
        <v>630.57196682840777</v>
      </c>
      <c r="CC134" s="60">
        <f t="shared" si="119"/>
        <v>914.64571907151344</v>
      </c>
      <c r="CD134" s="60">
        <f ca="1">AVERAGE(OFFSET($CC$3,0,0,'Données projet'!$E$12+1,1))-AVERAGE(OFFSET($H$3,0,0,'Données projet'!$E$12+1,1))</f>
        <v>542.90832990875208</v>
      </c>
      <c r="CE134" s="60">
        <f t="shared" si="148"/>
        <v>304.94365539329362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-6.2527760746888816E-13</v>
      </c>
      <c r="CU134" s="18">
        <f>CT134*VLOOKUP('Données projet'!$B$13,Paramètres!$A$1:$I$89,3,0)*VLOOKUP('Données projet'!$B$13,Paramètres!$A$1:$I$89,5,0)</f>
        <v>-2.9262992029543964E-13</v>
      </c>
      <c r="CV134" s="14" t="e">
        <f t="shared" si="149"/>
        <v>#NUM!</v>
      </c>
      <c r="CW134" s="22" t="e">
        <f t="shared" si="121"/>
        <v>#NUM!</v>
      </c>
      <c r="CX134" s="60" t="e">
        <f t="shared" si="122"/>
        <v>#NUM!</v>
      </c>
      <c r="CY134" s="60">
        <f ca="1">AVERAGE(OFFSET($CX$3,0,0,'Données projet'!$E$13+1,1))-AVERAGE(OFFSET($H$3,0,0,'Données projet'!$E$13+1,1))</f>
        <v>277.77877239988635</v>
      </c>
      <c r="CZ134" s="60">
        <f t="shared" si="150"/>
        <v>164.65640238394164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9.7543306765146564E-14</v>
      </c>
      <c r="DQ134" s="14">
        <f t="shared" si="151"/>
        <v>1.4696264278629426E-12</v>
      </c>
      <c r="DR134" s="22">
        <f t="shared" si="124"/>
        <v>2.7294872878105889E-12</v>
      </c>
      <c r="DS134" s="60">
        <f t="shared" si="125"/>
        <v>284.07375224310846</v>
      </c>
      <c r="DT134" s="60">
        <f ca="1">AVERAGE(OFFSET($DS$3,0,0,'Données projet'!$E$14+1,1))-AVERAGE(OFFSET($H$3,0,0,'Données projet'!$E$14+1,1))</f>
        <v>354.30160274624632</v>
      </c>
      <c r="DU134" s="60">
        <f t="shared" si="152"/>
        <v>218.8005329382452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2.7</v>
      </c>
      <c r="EJ134" s="13">
        <f>IF('Données projet'!$A$192&gt;35,EJ133+EI134-ER133,IF(A134&lt;'Données projet'!$A$192,$EG$205^A134,IF(A134='Données projet'!$A$192,'Données projet'!$B$192,EJ133+EI134-ER133)))</f>
        <v>271.69999999999936</v>
      </c>
      <c r="EK134" s="18">
        <f>EJ134*VLOOKUP('Données projet'!$B$15,Paramètres!$A$1:$I$89,3,0)*VLOOKUP('Données projet'!$B$15,Paramètres!$A$1:$I$89,5,0)</f>
        <v>262.7882399999994</v>
      </c>
      <c r="EL134" s="14">
        <f t="shared" si="153"/>
        <v>63.316348571334714</v>
      </c>
      <c r="EM134" s="22">
        <f t="shared" si="127"/>
        <v>567.96549176174028</v>
      </c>
      <c r="EN134" s="60">
        <f t="shared" si="128"/>
        <v>852.03924400484607</v>
      </c>
      <c r="EO134" s="60">
        <f ca="1">AVERAGE(OFFSET($EN$3,0,0,'Données projet'!$E$15+1,1))-AVERAGE(OFFSET($H$3,0,0,'Données projet'!$E$15+1,1))</f>
        <v>496.33873798282525</v>
      </c>
      <c r="EP134" s="60">
        <f t="shared" si="154"/>
        <v>280.25465074992246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3.4106051316484809E-13</v>
      </c>
      <c r="FF134" s="18">
        <f>FE134*VLOOKUP('Données projet'!$B$16,Paramètres!$A$1:$I$89,3,0)*VLOOKUP('Données projet'!$B$16,Paramètres!$A$1:$I$89,5,0)</f>
        <v>2.7666828827932479E-13</v>
      </c>
      <c r="FG134" s="14">
        <f t="shared" si="155"/>
        <v>3.6920483163466686E-12</v>
      </c>
      <c r="FH134" s="22">
        <f t="shared" si="130"/>
        <v>6.9121814197236049E-12</v>
      </c>
      <c r="FI134" s="60">
        <f t="shared" si="131"/>
        <v>284.07375224311266</v>
      </c>
      <c r="FJ134" s="60">
        <f ca="1">AVERAGE(OFFSET($FI$3,0,0,'Données projet'!$E$16+1,1))-AVERAGE(OFFSET($H$3,0,0,'Données projet'!$E$16+1,1))</f>
        <v>341.66430955115521</v>
      </c>
      <c r="FK134" s="60">
        <f t="shared" si="156"/>
        <v>366.15174925159192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3.4106051316484809E-13</v>
      </c>
      <c r="GA134" s="18">
        <f>FZ134*VLOOKUP('Données projet'!$B$17,Paramètres!$A$1:$I$89,3,0)*VLOOKUP('Données projet'!$B$17,Paramètres!$A$1:$I$89,5,0)</f>
        <v>2.5006556825246659E-13</v>
      </c>
      <c r="GB134" s="14">
        <f t="shared" si="157"/>
        <v>3.3765445850268018E-12</v>
      </c>
      <c r="GC134" s="22">
        <f t="shared" si="133"/>
        <v>6.3163460169613921E-12</v>
      </c>
      <c r="GD134" s="60">
        <f t="shared" si="134"/>
        <v>284.07375224311204</v>
      </c>
      <c r="GE134" s="60">
        <f ca="1">AVERAGE(OFFSET($GD$3,0,0,'Données projet'!$E$17+1,1))-AVERAGE(OFFSET($H$3,0,0,'Données projet'!$E$17+1,1))</f>
        <v>314.58662400031631</v>
      </c>
      <c r="GF134" s="60">
        <f t="shared" si="158"/>
        <v>336.99073123405981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4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278.24159999999938</v>
      </c>
      <c r="P135" s="14">
        <f t="shared" si="141"/>
        <v>66.595272276139625</v>
      </c>
      <c r="Q135" s="22">
        <f t="shared" si="108"/>
        <v>600.59088588094198</v>
      </c>
      <c r="R135" s="60">
        <f t="shared" si="109"/>
        <v>884.82527115464109</v>
      </c>
      <c r="S135" s="60">
        <f ca="1">AVERAGE(OFFSET($R$3,0,0,'Données projet'!$E$9+1,1))-AVERAGE(OFFSET($H$3,0,0,'Données projet'!$E$9+1,1))</f>
        <v>516.30971934066179</v>
      </c>
      <c r="T135" s="60">
        <f t="shared" si="142"/>
        <v>290.84286505723571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-5.1159076974727213E-13</v>
      </c>
      <c r="AJ135" s="14">
        <f>AI135*VLOOKUP('Données projet'!$B$10,Paramètres!$A$1:$I$89,3,0)*VLOOKUP('Données projet'!$B$10,Paramètres!$A$1:$I$89,5,0)</f>
        <v>-5.3471467253984886E-13</v>
      </c>
      <c r="AK135" s="14" t="e">
        <f t="shared" si="143"/>
        <v>#NUM!</v>
      </c>
      <c r="AL135" s="22" t="e">
        <f t="shared" si="112"/>
        <v>#NUM!</v>
      </c>
      <c r="AM135" s="60" t="e">
        <f t="shared" si="113"/>
        <v>#NUM!</v>
      </c>
      <c r="AN135" s="60">
        <f ca="1">AVERAGE(OFFSET($AM$3,0,0,'Données projet'!$E$10+1,1))-AVERAGE(OFFSET($H$3,0,0,'Données projet'!$E$10+1,1))</f>
        <v>529.00505223594837</v>
      </c>
      <c r="AO135" s="60">
        <f t="shared" si="144"/>
        <v>321.23004033257985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2.9795046430081134E-13</v>
      </c>
      <c r="BF135" s="14">
        <f t="shared" si="145"/>
        <v>3.9419014464513778E-12</v>
      </c>
      <c r="BG135" s="22">
        <f t="shared" si="115"/>
        <v>7.384408744560063E-12</v>
      </c>
      <c r="BH135" s="60">
        <f t="shared" si="116"/>
        <v>284.23438527370655</v>
      </c>
      <c r="BI135" s="60">
        <f ca="1">AVERAGE(OFFSET($BH$3,0,0,'Données projet'!$E$11+1,1))-AVERAGE(OFFSET($H$3,0,0,'Données projet'!$E$11+1,1))</f>
        <v>363.28611056308665</v>
      </c>
      <c r="BJ135" s="60">
        <f t="shared" si="146"/>
        <v>389.43647559455974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274.39999999999935</v>
      </c>
      <c r="BZ135" s="14">
        <f>BY135*VLOOKUP('Données projet'!$B$12,Paramètres!$A$1:$I$89,3,0)*VLOOKUP('Données projet'!$B$12,Paramètres!$A$1:$I$89,5,0)</f>
        <v>295.36415999999929</v>
      </c>
      <c r="CA135" s="14">
        <f t="shared" si="147"/>
        <v>70.203734243177976</v>
      </c>
      <c r="CB135" s="22">
        <f t="shared" si="118"/>
        <v>636.69741580686696</v>
      </c>
      <c r="CC135" s="60">
        <f t="shared" si="119"/>
        <v>920.93180108056617</v>
      </c>
      <c r="CD135" s="60">
        <f ca="1">AVERAGE(OFFSET($CC$3,0,0,'Données projet'!$E$12+1,1))-AVERAGE(OFFSET($H$3,0,0,'Données projet'!$E$12+1,1))</f>
        <v>542.90832990875208</v>
      </c>
      <c r="CE135" s="60">
        <f t="shared" si="148"/>
        <v>304.94365539329362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-6.2527760746888816E-13</v>
      </c>
      <c r="CU135" s="18">
        <f>CT135*VLOOKUP('Données projet'!$B$13,Paramètres!$A$1:$I$89,3,0)*VLOOKUP('Données projet'!$B$13,Paramètres!$A$1:$I$89,5,0)</f>
        <v>-2.9262992029543964E-13</v>
      </c>
      <c r="CV135" s="14" t="e">
        <f t="shared" si="149"/>
        <v>#NUM!</v>
      </c>
      <c r="CW135" s="22" t="e">
        <f t="shared" si="121"/>
        <v>#NUM!</v>
      </c>
      <c r="CX135" s="60" t="e">
        <f t="shared" si="122"/>
        <v>#NUM!</v>
      </c>
      <c r="CY135" s="60">
        <f ca="1">AVERAGE(OFFSET($CX$3,0,0,'Données projet'!$E$13+1,1))-AVERAGE(OFFSET($H$3,0,0,'Données projet'!$E$13+1,1))</f>
        <v>277.77877239988635</v>
      </c>
      <c r="CZ135" s="60">
        <f t="shared" si="150"/>
        <v>164.65640238394164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9.7543306765146564E-14</v>
      </c>
      <c r="DQ135" s="14">
        <f t="shared" si="151"/>
        <v>1.4696264278629426E-12</v>
      </c>
      <c r="DR135" s="22">
        <f t="shared" si="124"/>
        <v>2.7294872878105889E-12</v>
      </c>
      <c r="DS135" s="60">
        <f t="shared" si="125"/>
        <v>284.23438527370189</v>
      </c>
      <c r="DT135" s="60">
        <f ca="1">AVERAGE(OFFSET($DS$3,0,0,'Données projet'!$E$14+1,1))-AVERAGE(OFFSET($H$3,0,0,'Données projet'!$E$14+1,1))</f>
        <v>354.30160274624632</v>
      </c>
      <c r="DU135" s="60">
        <f t="shared" si="152"/>
        <v>218.8005329382452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2.7</v>
      </c>
      <c r="EJ135" s="13">
        <f>IF('Données projet'!$A$192&gt;35,EJ134+EI135-ER134,IF(A135&lt;'Données projet'!$A$192,$EG$205^A135,IF(A135='Données projet'!$A$192,'Données projet'!$B$192,EJ134+EI135-ER134)))</f>
        <v>274.39999999999935</v>
      </c>
      <c r="EK135" s="18">
        <f>EJ135*VLOOKUP('Données projet'!$B$15,Paramètres!$A$1:$I$89,3,0)*VLOOKUP('Données projet'!$B$15,Paramètres!$A$1:$I$89,5,0)</f>
        <v>265.39967999999936</v>
      </c>
      <c r="EL135" s="14">
        <f t="shared" si="153"/>
        <v>63.87199095821434</v>
      </c>
      <c r="EM135" s="22">
        <f t="shared" si="127"/>
        <v>573.48149358555554</v>
      </c>
      <c r="EN135" s="60">
        <f t="shared" si="128"/>
        <v>857.71587885925464</v>
      </c>
      <c r="EO135" s="60">
        <f ca="1">AVERAGE(OFFSET($EN$3,0,0,'Données projet'!$E$15+1,1))-AVERAGE(OFFSET($H$3,0,0,'Données projet'!$E$15+1,1))</f>
        <v>496.33873798282525</v>
      </c>
      <c r="EP135" s="60">
        <f t="shared" si="154"/>
        <v>280.25465074992246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3.4106051316484809E-13</v>
      </c>
      <c r="FF135" s="18">
        <f>FE135*VLOOKUP('Données projet'!$B$16,Paramètres!$A$1:$I$89,3,0)*VLOOKUP('Données projet'!$B$16,Paramètres!$A$1:$I$89,5,0)</f>
        <v>2.7666828827932479E-13</v>
      </c>
      <c r="FG135" s="14">
        <f t="shared" si="155"/>
        <v>3.6920483163466686E-12</v>
      </c>
      <c r="FH135" s="22">
        <f t="shared" si="130"/>
        <v>6.9121814197236049E-12</v>
      </c>
      <c r="FI135" s="60">
        <f t="shared" si="131"/>
        <v>284.2343852737061</v>
      </c>
      <c r="FJ135" s="60">
        <f ca="1">AVERAGE(OFFSET($FI$3,0,0,'Données projet'!$E$16+1,1))-AVERAGE(OFFSET($H$3,0,0,'Données projet'!$E$16+1,1))</f>
        <v>341.66430955115521</v>
      </c>
      <c r="FK135" s="60">
        <f t="shared" si="156"/>
        <v>366.15174925159192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3.4106051316484809E-13</v>
      </c>
      <c r="GA135" s="18">
        <f>FZ135*VLOOKUP('Données projet'!$B$17,Paramètres!$A$1:$I$89,3,0)*VLOOKUP('Données projet'!$B$17,Paramètres!$A$1:$I$89,5,0)</f>
        <v>2.5006556825246659E-13</v>
      </c>
      <c r="GB135" s="14">
        <f t="shared" si="157"/>
        <v>3.3765445850268018E-12</v>
      </c>
      <c r="GC135" s="22">
        <f t="shared" si="133"/>
        <v>6.3163460169613921E-12</v>
      </c>
      <c r="GD135" s="60">
        <f t="shared" si="134"/>
        <v>284.23438527370547</v>
      </c>
      <c r="GE135" s="60">
        <f ca="1">AVERAGE(OFFSET($GD$3,0,0,'Données projet'!$E$17+1,1))-AVERAGE(OFFSET($H$3,0,0,'Données projet'!$E$17+1,1))</f>
        <v>314.58662400031631</v>
      </c>
      <c r="GF135" s="60">
        <f t="shared" si="158"/>
        <v>336.99073123405981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4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280.97939999999937</v>
      </c>
      <c r="P136" s="14">
        <f t="shared" si="141"/>
        <v>67.173942175199301</v>
      </c>
      <c r="Q136" s="22">
        <f t="shared" si="108"/>
        <v>606.36707095513759</v>
      </c>
      <c r="R136" s="60">
        <f t="shared" si="109"/>
        <v>890.75930263547093</v>
      </c>
      <c r="S136" s="60">
        <f ca="1">AVERAGE(OFFSET($R$3,0,0,'Données projet'!$E$9+1,1))-AVERAGE(OFFSET($H$3,0,0,'Données projet'!$E$9+1,1))</f>
        <v>516.30971934066179</v>
      </c>
      <c r="T136" s="60">
        <f t="shared" si="142"/>
        <v>290.84286505723571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-5.1159076974727213E-13</v>
      </c>
      <c r="AJ136" s="14">
        <f>AI136*VLOOKUP('Données projet'!$B$10,Paramètres!$A$1:$I$89,3,0)*VLOOKUP('Données projet'!$B$10,Paramètres!$A$1:$I$89,5,0)</f>
        <v>-5.3471467253984886E-13</v>
      </c>
      <c r="AK136" s="14" t="e">
        <f t="shared" si="143"/>
        <v>#NUM!</v>
      </c>
      <c r="AL136" s="22" t="e">
        <f t="shared" si="112"/>
        <v>#NUM!</v>
      </c>
      <c r="AM136" s="60" t="e">
        <f t="shared" si="113"/>
        <v>#NUM!</v>
      </c>
      <c r="AN136" s="60">
        <f ca="1">AVERAGE(OFFSET($AM$3,0,0,'Données projet'!$E$10+1,1))-AVERAGE(OFFSET($H$3,0,0,'Données projet'!$E$10+1,1))</f>
        <v>529.00505223594837</v>
      </c>
      <c r="AO136" s="60">
        <f t="shared" si="144"/>
        <v>321.23004033257985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2.9795046430081134E-13</v>
      </c>
      <c r="BF136" s="14">
        <f t="shared" si="145"/>
        <v>3.9419014464513778E-12</v>
      </c>
      <c r="BG136" s="22">
        <f t="shared" si="115"/>
        <v>7.384408744560063E-12</v>
      </c>
      <c r="BH136" s="60">
        <f t="shared" si="116"/>
        <v>284.39223168034079</v>
      </c>
      <c r="BI136" s="60">
        <f ca="1">AVERAGE(OFFSET($BH$3,0,0,'Données projet'!$E$11+1,1))-AVERAGE(OFFSET($H$3,0,0,'Données projet'!$E$11+1,1))</f>
        <v>363.28611056308665</v>
      </c>
      <c r="BJ136" s="60">
        <f t="shared" si="146"/>
        <v>389.43647559455974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277.09999999999934</v>
      </c>
      <c r="BZ136" s="14">
        <f>BY136*VLOOKUP('Données projet'!$B$12,Paramètres!$A$1:$I$89,3,0)*VLOOKUP('Données projet'!$B$12,Paramètres!$A$1:$I$89,5,0)</f>
        <v>298.27043999999927</v>
      </c>
      <c r="CA136" s="14">
        <f t="shared" si="147"/>
        <v>70.813759345855843</v>
      </c>
      <c r="CB136" s="22">
        <f t="shared" si="118"/>
        <v>642.8216471940309</v>
      </c>
      <c r="CC136" s="60">
        <f t="shared" si="119"/>
        <v>927.21387887436435</v>
      </c>
      <c r="CD136" s="60">
        <f ca="1">AVERAGE(OFFSET($CC$3,0,0,'Données projet'!$E$12+1,1))-AVERAGE(OFFSET($H$3,0,0,'Données projet'!$E$12+1,1))</f>
        <v>542.90832990875208</v>
      </c>
      <c r="CE136" s="60">
        <f t="shared" si="148"/>
        <v>304.94365539329362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-6.2527760746888816E-13</v>
      </c>
      <c r="CU136" s="18">
        <f>CT136*VLOOKUP('Données projet'!$B$13,Paramètres!$A$1:$I$89,3,0)*VLOOKUP('Données projet'!$B$13,Paramètres!$A$1:$I$89,5,0)</f>
        <v>-2.9262992029543964E-13</v>
      </c>
      <c r="CV136" s="14" t="e">
        <f t="shared" si="149"/>
        <v>#NUM!</v>
      </c>
      <c r="CW136" s="22" t="e">
        <f t="shared" si="121"/>
        <v>#NUM!</v>
      </c>
      <c r="CX136" s="60" t="e">
        <f t="shared" si="122"/>
        <v>#NUM!</v>
      </c>
      <c r="CY136" s="60">
        <f ca="1">AVERAGE(OFFSET($CX$3,0,0,'Données projet'!$E$13+1,1))-AVERAGE(OFFSET($H$3,0,0,'Données projet'!$E$13+1,1))</f>
        <v>277.77877239988635</v>
      </c>
      <c r="CZ136" s="60">
        <f t="shared" si="150"/>
        <v>164.65640238394164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9.7543306765146564E-14</v>
      </c>
      <c r="DQ136" s="14">
        <f t="shared" si="151"/>
        <v>1.4696264278629426E-12</v>
      </c>
      <c r="DR136" s="22">
        <f t="shared" si="124"/>
        <v>2.7294872878105889E-12</v>
      </c>
      <c r="DS136" s="60">
        <f t="shared" si="125"/>
        <v>284.39223168033612</v>
      </c>
      <c r="DT136" s="60">
        <f ca="1">AVERAGE(OFFSET($DS$3,0,0,'Données projet'!$E$14+1,1))-AVERAGE(OFFSET($H$3,0,0,'Données projet'!$E$14+1,1))</f>
        <v>354.30160274624632</v>
      </c>
      <c r="DU136" s="60">
        <f t="shared" si="152"/>
        <v>218.8005329382452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2.7</v>
      </c>
      <c r="EJ136" s="13">
        <f>IF('Données projet'!$A$192&gt;35,EJ135+EI136-ER135,IF(A136&lt;'Données projet'!$A$192,$EG$205^A136,IF(A136='Données projet'!$A$192,'Données projet'!$B$192,EJ135+EI136-ER135)))</f>
        <v>277.09999999999934</v>
      </c>
      <c r="EK136" s="18">
        <f>EJ136*VLOOKUP('Données projet'!$B$15,Paramètres!$A$1:$I$89,3,0)*VLOOKUP('Données projet'!$B$15,Paramètres!$A$1:$I$89,5,0)</f>
        <v>268.01111999999938</v>
      </c>
      <c r="EL136" s="14">
        <f t="shared" si="153"/>
        <v>64.426997301716739</v>
      </c>
      <c r="EM136" s="22">
        <f t="shared" si="127"/>
        <v>578.99638763382234</v>
      </c>
      <c r="EN136" s="60">
        <f t="shared" si="128"/>
        <v>863.38861931415568</v>
      </c>
      <c r="EO136" s="60">
        <f ca="1">AVERAGE(OFFSET($EN$3,0,0,'Données projet'!$E$15+1,1))-AVERAGE(OFFSET($H$3,0,0,'Données projet'!$E$15+1,1))</f>
        <v>496.33873798282525</v>
      </c>
      <c r="EP136" s="60">
        <f t="shared" si="154"/>
        <v>280.25465074992246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3.4106051316484809E-13</v>
      </c>
      <c r="FF136" s="18">
        <f>FE136*VLOOKUP('Données projet'!$B$16,Paramètres!$A$1:$I$89,3,0)*VLOOKUP('Données projet'!$B$16,Paramètres!$A$1:$I$89,5,0)</f>
        <v>2.7666828827932479E-13</v>
      </c>
      <c r="FG136" s="14">
        <f t="shared" si="155"/>
        <v>3.6920483163466686E-12</v>
      </c>
      <c r="FH136" s="22">
        <f t="shared" si="130"/>
        <v>6.9121814197236049E-12</v>
      </c>
      <c r="FI136" s="60">
        <f t="shared" si="131"/>
        <v>284.39223168034033</v>
      </c>
      <c r="FJ136" s="60">
        <f ca="1">AVERAGE(OFFSET($FI$3,0,0,'Données projet'!$E$16+1,1))-AVERAGE(OFFSET($H$3,0,0,'Données projet'!$E$16+1,1))</f>
        <v>341.66430955115521</v>
      </c>
      <c r="FK136" s="60">
        <f t="shared" si="156"/>
        <v>366.15174925159192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3.4106051316484809E-13</v>
      </c>
      <c r="GA136" s="18">
        <f>FZ136*VLOOKUP('Données projet'!$B$17,Paramètres!$A$1:$I$89,3,0)*VLOOKUP('Données projet'!$B$17,Paramètres!$A$1:$I$89,5,0)</f>
        <v>2.5006556825246659E-13</v>
      </c>
      <c r="GB136" s="14">
        <f t="shared" si="157"/>
        <v>3.3765445850268018E-12</v>
      </c>
      <c r="GC136" s="22">
        <f t="shared" si="133"/>
        <v>6.3163460169613921E-12</v>
      </c>
      <c r="GD136" s="60">
        <f t="shared" si="134"/>
        <v>284.39223168033971</v>
      </c>
      <c r="GE136" s="60">
        <f ca="1">AVERAGE(OFFSET($GD$3,0,0,'Données projet'!$E$17+1,1))-AVERAGE(OFFSET($H$3,0,0,'Données projet'!$E$17+1,1))</f>
        <v>314.58662400031631</v>
      </c>
      <c r="GF136" s="60">
        <f t="shared" si="158"/>
        <v>336.99073123405981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4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283.71719999999937</v>
      </c>
      <c r="P137" s="14">
        <f t="shared" si="141"/>
        <v>67.751956122170526</v>
      </c>
      <c r="Q137" s="22">
        <f t="shared" si="108"/>
        <v>612.14211357944589</v>
      </c>
      <c r="R137" s="60">
        <f t="shared" si="109"/>
        <v>896.68945338415017</v>
      </c>
      <c r="S137" s="60">
        <f ca="1">AVERAGE(OFFSET($R$3,0,0,'Données projet'!$E$9+1,1))-AVERAGE(OFFSET($H$3,0,0,'Données projet'!$E$9+1,1))</f>
        <v>516.30971934066179</v>
      </c>
      <c r="T137" s="60">
        <f t="shared" si="142"/>
        <v>290.84286505723571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-5.1159076974727213E-13</v>
      </c>
      <c r="AJ137" s="14">
        <f>AI137*VLOOKUP('Données projet'!$B$10,Paramètres!$A$1:$I$89,3,0)*VLOOKUP('Données projet'!$B$10,Paramètres!$A$1:$I$89,5,0)</f>
        <v>-5.3471467253984886E-13</v>
      </c>
      <c r="AK137" s="14" t="e">
        <f t="shared" si="143"/>
        <v>#NUM!</v>
      </c>
      <c r="AL137" s="22" t="e">
        <f t="shared" si="112"/>
        <v>#NUM!</v>
      </c>
      <c r="AM137" s="60" t="e">
        <f t="shared" si="113"/>
        <v>#NUM!</v>
      </c>
      <c r="AN137" s="60">
        <f ca="1">AVERAGE(OFFSET($AM$3,0,0,'Données projet'!$E$10+1,1))-AVERAGE(OFFSET($H$3,0,0,'Données projet'!$E$10+1,1))</f>
        <v>529.00505223594837</v>
      </c>
      <c r="AO137" s="60">
        <f t="shared" si="144"/>
        <v>321.23004033257985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2.9795046430081134E-13</v>
      </c>
      <c r="BF137" s="14">
        <f t="shared" si="145"/>
        <v>3.9419014464513778E-12</v>
      </c>
      <c r="BG137" s="22">
        <f t="shared" si="115"/>
        <v>7.384408744560063E-12</v>
      </c>
      <c r="BH137" s="60">
        <f t="shared" si="116"/>
        <v>284.54733980471167</v>
      </c>
      <c r="BI137" s="60">
        <f ca="1">AVERAGE(OFFSET($BH$3,0,0,'Données projet'!$E$11+1,1))-AVERAGE(OFFSET($H$3,0,0,'Données projet'!$E$11+1,1))</f>
        <v>363.28611056308665</v>
      </c>
      <c r="BJ137" s="60">
        <f t="shared" si="146"/>
        <v>389.43647559455974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279.79999999999933</v>
      </c>
      <c r="BZ137" s="14">
        <f>BY137*VLOOKUP('Données projet'!$B$12,Paramètres!$A$1:$I$89,3,0)*VLOOKUP('Données projet'!$B$12,Paramètres!$A$1:$I$89,5,0)</f>
        <v>301.17671999999925</v>
      </c>
      <c r="CA137" s="14">
        <f t="shared" si="147"/>
        <v>71.423092953709514</v>
      </c>
      <c r="CB137" s="22">
        <f t="shared" si="118"/>
        <v>648.94467422770936</v>
      </c>
      <c r="CC137" s="60">
        <f t="shared" si="119"/>
        <v>933.49201403241364</v>
      </c>
      <c r="CD137" s="60">
        <f ca="1">AVERAGE(OFFSET($CC$3,0,0,'Données projet'!$E$12+1,1))-AVERAGE(OFFSET($H$3,0,0,'Données projet'!$E$12+1,1))</f>
        <v>542.90832990875208</v>
      </c>
      <c r="CE137" s="60">
        <f t="shared" si="148"/>
        <v>304.94365539329362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-6.2527760746888816E-13</v>
      </c>
      <c r="CU137" s="18">
        <f>CT137*VLOOKUP('Données projet'!$B$13,Paramètres!$A$1:$I$89,3,0)*VLOOKUP('Données projet'!$B$13,Paramètres!$A$1:$I$89,5,0)</f>
        <v>-2.9262992029543964E-13</v>
      </c>
      <c r="CV137" s="14" t="e">
        <f t="shared" si="149"/>
        <v>#NUM!</v>
      </c>
      <c r="CW137" s="22" t="e">
        <f t="shared" si="121"/>
        <v>#NUM!</v>
      </c>
      <c r="CX137" s="60" t="e">
        <f t="shared" si="122"/>
        <v>#NUM!</v>
      </c>
      <c r="CY137" s="60">
        <f ca="1">AVERAGE(OFFSET($CX$3,0,0,'Données projet'!$E$13+1,1))-AVERAGE(OFFSET($H$3,0,0,'Données projet'!$E$13+1,1))</f>
        <v>277.77877239988635</v>
      </c>
      <c r="CZ137" s="60">
        <f t="shared" si="150"/>
        <v>164.65640238394164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9.7543306765146564E-14</v>
      </c>
      <c r="DQ137" s="14">
        <f t="shared" si="151"/>
        <v>1.4696264278629426E-12</v>
      </c>
      <c r="DR137" s="22">
        <f t="shared" si="124"/>
        <v>2.7294872878105889E-12</v>
      </c>
      <c r="DS137" s="60">
        <f t="shared" si="125"/>
        <v>284.54733980470701</v>
      </c>
      <c r="DT137" s="60">
        <f ca="1">AVERAGE(OFFSET($DS$3,0,0,'Données projet'!$E$14+1,1))-AVERAGE(OFFSET($H$3,0,0,'Données projet'!$E$14+1,1))</f>
        <v>354.30160274624632</v>
      </c>
      <c r="DU137" s="60">
        <f t="shared" si="152"/>
        <v>218.8005329382452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2.7</v>
      </c>
      <c r="EJ137" s="13">
        <f>IF('Données projet'!$A$192&gt;35,EJ136+EI137-ER136,IF(A137&lt;'Données projet'!$A$192,$EG$205^A137,IF(A137='Données projet'!$A$192,'Données projet'!$B$192,EJ136+EI137-ER136)))</f>
        <v>279.79999999999933</v>
      </c>
      <c r="EK137" s="18">
        <f>EJ137*VLOOKUP('Données projet'!$B$15,Paramètres!$A$1:$I$89,3,0)*VLOOKUP('Données projet'!$B$15,Paramètres!$A$1:$I$89,5,0)</f>
        <v>270.62255999999934</v>
      </c>
      <c r="EL137" s="14">
        <f t="shared" si="153"/>
        <v>64.981374516987898</v>
      </c>
      <c r="EM137" s="22">
        <f t="shared" si="127"/>
        <v>584.51018595041944</v>
      </c>
      <c r="EN137" s="60">
        <f t="shared" si="128"/>
        <v>869.05752575512372</v>
      </c>
      <c r="EO137" s="60">
        <f ca="1">AVERAGE(OFFSET($EN$3,0,0,'Données projet'!$E$15+1,1))-AVERAGE(OFFSET($H$3,0,0,'Données projet'!$E$15+1,1))</f>
        <v>496.33873798282525</v>
      </c>
      <c r="EP137" s="60">
        <f t="shared" si="154"/>
        <v>280.25465074992246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3.4106051316484809E-13</v>
      </c>
      <c r="FF137" s="18">
        <f>FE137*VLOOKUP('Données projet'!$B$16,Paramètres!$A$1:$I$89,3,0)*VLOOKUP('Données projet'!$B$16,Paramètres!$A$1:$I$89,5,0)</f>
        <v>2.7666828827932479E-13</v>
      </c>
      <c r="FG137" s="14">
        <f t="shared" si="155"/>
        <v>3.6920483163466686E-12</v>
      </c>
      <c r="FH137" s="22">
        <f t="shared" si="130"/>
        <v>6.9121814197236049E-12</v>
      </c>
      <c r="FI137" s="60">
        <f t="shared" si="131"/>
        <v>284.54733980471121</v>
      </c>
      <c r="FJ137" s="60">
        <f ca="1">AVERAGE(OFFSET($FI$3,0,0,'Données projet'!$E$16+1,1))-AVERAGE(OFFSET($H$3,0,0,'Données projet'!$E$16+1,1))</f>
        <v>341.66430955115521</v>
      </c>
      <c r="FK137" s="60">
        <f t="shared" si="156"/>
        <v>366.15174925159192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3.4106051316484809E-13</v>
      </c>
      <c r="GA137" s="18">
        <f>FZ137*VLOOKUP('Données projet'!$B$17,Paramètres!$A$1:$I$89,3,0)*VLOOKUP('Données projet'!$B$17,Paramètres!$A$1:$I$89,5,0)</f>
        <v>2.5006556825246659E-13</v>
      </c>
      <c r="GB137" s="14">
        <f t="shared" si="157"/>
        <v>3.3765445850268018E-12</v>
      </c>
      <c r="GC137" s="22">
        <f t="shared" si="133"/>
        <v>6.3163460169613921E-12</v>
      </c>
      <c r="GD137" s="60">
        <f t="shared" si="134"/>
        <v>284.54733980471059</v>
      </c>
      <c r="GE137" s="60">
        <f ca="1">AVERAGE(OFFSET($GD$3,0,0,'Données projet'!$E$17+1,1))-AVERAGE(OFFSET($H$3,0,0,'Données projet'!$E$17+1,1))</f>
        <v>314.58662400031631</v>
      </c>
      <c r="GF137" s="60">
        <f t="shared" si="158"/>
        <v>336.99073123405981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4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286.45499999999936</v>
      </c>
      <c r="P138" s="14">
        <f t="shared" si="141"/>
        <v>68.329321179865531</v>
      </c>
      <c r="Q138" s="22">
        <f t="shared" si="108"/>
        <v>617.91602605493142</v>
      </c>
      <c r="R138" s="60">
        <f t="shared" si="109"/>
        <v>902.61578320481863</v>
      </c>
      <c r="S138" s="60">
        <f ca="1">AVERAGE(OFFSET($R$3,0,0,'Données projet'!$E$9+1,1))-AVERAGE(OFFSET($H$3,0,0,'Données projet'!$E$9+1,1))</f>
        <v>516.30971934066179</v>
      </c>
      <c r="T138" s="60">
        <f t="shared" si="142"/>
        <v>290.84286505723571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-5.1159076974727213E-13</v>
      </c>
      <c r="AJ138" s="14">
        <f>AI138*VLOOKUP('Données projet'!$B$10,Paramètres!$A$1:$I$89,3,0)*VLOOKUP('Données projet'!$B$10,Paramètres!$A$1:$I$89,5,0)</f>
        <v>-5.3471467253984886E-13</v>
      </c>
      <c r="AK138" s="14" t="e">
        <f t="shared" si="143"/>
        <v>#NUM!</v>
      </c>
      <c r="AL138" s="22" t="e">
        <f t="shared" si="112"/>
        <v>#NUM!</v>
      </c>
      <c r="AM138" s="60" t="e">
        <f t="shared" si="113"/>
        <v>#NUM!</v>
      </c>
      <c r="AN138" s="60">
        <f ca="1">AVERAGE(OFFSET($AM$3,0,0,'Données projet'!$E$10+1,1))-AVERAGE(OFFSET($H$3,0,0,'Données projet'!$E$10+1,1))</f>
        <v>529.00505223594837</v>
      </c>
      <c r="AO138" s="60">
        <f t="shared" si="144"/>
        <v>321.23004033257985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2.9795046430081134E-13</v>
      </c>
      <c r="BF138" s="14">
        <f t="shared" si="145"/>
        <v>3.9419014464513778E-12</v>
      </c>
      <c r="BG138" s="22">
        <f t="shared" si="115"/>
        <v>7.384408744560063E-12</v>
      </c>
      <c r="BH138" s="60">
        <f t="shared" si="116"/>
        <v>284.69975714989454</v>
      </c>
      <c r="BI138" s="60">
        <f ca="1">AVERAGE(OFFSET($BH$3,0,0,'Données projet'!$E$11+1,1))-AVERAGE(OFFSET($H$3,0,0,'Données projet'!$E$11+1,1))</f>
        <v>363.28611056308665</v>
      </c>
      <c r="BJ138" s="60">
        <f t="shared" si="146"/>
        <v>389.43647559455974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282.49999999999932</v>
      </c>
      <c r="BZ138" s="14">
        <f>BY138*VLOOKUP('Données projet'!$B$12,Paramètres!$A$1:$I$89,3,0)*VLOOKUP('Données projet'!$B$12,Paramètres!$A$1:$I$89,5,0)</f>
        <v>304.08299999999929</v>
      </c>
      <c r="CA138" s="14">
        <f t="shared" si="147"/>
        <v>72.031742512249494</v>
      </c>
      <c r="CB138" s="22">
        <f t="shared" si="118"/>
        <v>655.06650987549995</v>
      </c>
      <c r="CC138" s="60">
        <f t="shared" si="119"/>
        <v>939.76626702538715</v>
      </c>
      <c r="CD138" s="60">
        <f ca="1">AVERAGE(OFFSET($CC$3,0,0,'Données projet'!$E$12+1,1))-AVERAGE(OFFSET($H$3,0,0,'Données projet'!$E$12+1,1))</f>
        <v>542.90832990875208</v>
      </c>
      <c r="CE138" s="60">
        <f t="shared" si="148"/>
        <v>304.94365539329362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-6.2527760746888816E-13</v>
      </c>
      <c r="CU138" s="18">
        <f>CT138*VLOOKUP('Données projet'!$B$13,Paramètres!$A$1:$I$89,3,0)*VLOOKUP('Données projet'!$B$13,Paramètres!$A$1:$I$89,5,0)</f>
        <v>-2.9262992029543964E-13</v>
      </c>
      <c r="CV138" s="14" t="e">
        <f t="shared" si="149"/>
        <v>#NUM!</v>
      </c>
      <c r="CW138" s="22" t="e">
        <f t="shared" si="121"/>
        <v>#NUM!</v>
      </c>
      <c r="CX138" s="60" t="e">
        <f t="shared" si="122"/>
        <v>#NUM!</v>
      </c>
      <c r="CY138" s="60">
        <f ca="1">AVERAGE(OFFSET($CX$3,0,0,'Données projet'!$E$13+1,1))-AVERAGE(OFFSET($H$3,0,0,'Données projet'!$E$13+1,1))</f>
        <v>277.77877239988635</v>
      </c>
      <c r="CZ138" s="60">
        <f t="shared" si="150"/>
        <v>164.65640238394164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9.7543306765146564E-14</v>
      </c>
      <c r="DQ138" s="14">
        <f t="shared" si="151"/>
        <v>1.4696264278629426E-12</v>
      </c>
      <c r="DR138" s="22">
        <f t="shared" si="124"/>
        <v>2.7294872878105889E-12</v>
      </c>
      <c r="DS138" s="60">
        <f t="shared" si="125"/>
        <v>284.69975714988988</v>
      </c>
      <c r="DT138" s="60">
        <f ca="1">AVERAGE(OFFSET($DS$3,0,0,'Données projet'!$E$14+1,1))-AVERAGE(OFFSET($H$3,0,0,'Données projet'!$E$14+1,1))</f>
        <v>354.30160274624632</v>
      </c>
      <c r="DU138" s="60">
        <f t="shared" si="152"/>
        <v>218.8005329382452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2.7</v>
      </c>
      <c r="EJ138" s="13">
        <f>IF('Données projet'!$A$192&gt;35,EJ137+EI138-ER137,IF(A138&lt;'Données projet'!$A$192,$EG$205^A138,IF(A138='Données projet'!$A$192,'Données projet'!$B$192,EJ137+EI138-ER137)))</f>
        <v>282.49999999999932</v>
      </c>
      <c r="EK138" s="18">
        <f>EJ138*VLOOKUP('Données projet'!$B$15,Paramètres!$A$1:$I$89,3,0)*VLOOKUP('Données projet'!$B$15,Paramètres!$A$1:$I$89,5,0)</f>
        <v>273.23399999999936</v>
      </c>
      <c r="EL138" s="14">
        <f t="shared" si="153"/>
        <v>65.535129378020301</v>
      </c>
      <c r="EM138" s="22">
        <f t="shared" si="127"/>
        <v>590.0229003333842</v>
      </c>
      <c r="EN138" s="60">
        <f t="shared" si="128"/>
        <v>874.7226574832714</v>
      </c>
      <c r="EO138" s="60">
        <f ca="1">AVERAGE(OFFSET($EN$3,0,0,'Données projet'!$E$15+1,1))-AVERAGE(OFFSET($H$3,0,0,'Données projet'!$E$15+1,1))</f>
        <v>496.33873798282525</v>
      </c>
      <c r="EP138" s="60">
        <f t="shared" si="154"/>
        <v>280.25465074992246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3.4106051316484809E-13</v>
      </c>
      <c r="FF138" s="18">
        <f>FE138*VLOOKUP('Données projet'!$B$16,Paramètres!$A$1:$I$89,3,0)*VLOOKUP('Données projet'!$B$16,Paramètres!$A$1:$I$89,5,0)</f>
        <v>2.7666828827932479E-13</v>
      </c>
      <c r="FG138" s="14">
        <f t="shared" si="155"/>
        <v>3.6920483163466686E-12</v>
      </c>
      <c r="FH138" s="22">
        <f t="shared" si="130"/>
        <v>6.9121814197236049E-12</v>
      </c>
      <c r="FI138" s="60">
        <f t="shared" si="131"/>
        <v>284.69975714989408</v>
      </c>
      <c r="FJ138" s="60">
        <f ca="1">AVERAGE(OFFSET($FI$3,0,0,'Données projet'!$E$16+1,1))-AVERAGE(OFFSET($H$3,0,0,'Données projet'!$E$16+1,1))</f>
        <v>341.66430955115521</v>
      </c>
      <c r="FK138" s="60">
        <f t="shared" si="156"/>
        <v>366.15174925159192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3.4106051316484809E-13</v>
      </c>
      <c r="GA138" s="18">
        <f>FZ138*VLOOKUP('Données projet'!$B$17,Paramètres!$A$1:$I$89,3,0)*VLOOKUP('Données projet'!$B$17,Paramètres!$A$1:$I$89,5,0)</f>
        <v>2.5006556825246659E-13</v>
      </c>
      <c r="GB138" s="14">
        <f t="shared" si="157"/>
        <v>3.3765445850268018E-12</v>
      </c>
      <c r="GC138" s="22">
        <f t="shared" si="133"/>
        <v>6.3163460169613921E-12</v>
      </c>
      <c r="GD138" s="60">
        <f t="shared" si="134"/>
        <v>284.69975714989346</v>
      </c>
      <c r="GE138" s="60">
        <f ca="1">AVERAGE(OFFSET($GD$3,0,0,'Données projet'!$E$17+1,1))-AVERAGE(OFFSET($H$3,0,0,'Données projet'!$E$17+1,1))</f>
        <v>314.58662400031631</v>
      </c>
      <c r="GF138" s="60">
        <f t="shared" si="158"/>
        <v>336.99073123405981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4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289.19279999999935</v>
      </c>
      <c r="P139" s="14">
        <f t="shared" si="141"/>
        <v>68.906044268306161</v>
      </c>
      <c r="Q139" s="22">
        <f t="shared" si="108"/>
        <v>623.68882043396547</v>
      </c>
      <c r="R139" s="60">
        <f t="shared" si="109"/>
        <v>908.53835082885075</v>
      </c>
      <c r="S139" s="60">
        <f ca="1">AVERAGE(OFFSET($R$3,0,0,'Données projet'!$E$9+1,1))-AVERAGE(OFFSET($H$3,0,0,'Données projet'!$E$9+1,1))</f>
        <v>516.30971934066179</v>
      </c>
      <c r="T139" s="60">
        <f t="shared" si="142"/>
        <v>290.84286505723571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-5.1159076974727213E-13</v>
      </c>
      <c r="AJ139" s="14">
        <f>AI139*VLOOKUP('Données projet'!$B$10,Paramètres!$A$1:$I$89,3,0)*VLOOKUP('Données projet'!$B$10,Paramètres!$A$1:$I$89,5,0)</f>
        <v>-5.3471467253984886E-13</v>
      </c>
      <c r="AK139" s="14" t="e">
        <f t="shared" si="143"/>
        <v>#NUM!</v>
      </c>
      <c r="AL139" s="22" t="e">
        <f t="shared" si="112"/>
        <v>#NUM!</v>
      </c>
      <c r="AM139" s="60" t="e">
        <f t="shared" si="113"/>
        <v>#NUM!</v>
      </c>
      <c r="AN139" s="60">
        <f ca="1">AVERAGE(OFFSET($AM$3,0,0,'Données projet'!$E$10+1,1))-AVERAGE(OFFSET($H$3,0,0,'Données projet'!$E$10+1,1))</f>
        <v>529.00505223594837</v>
      </c>
      <c r="AO139" s="60">
        <f t="shared" si="144"/>
        <v>321.23004033257985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2.9795046430081134E-13</v>
      </c>
      <c r="BF139" s="14">
        <f t="shared" si="145"/>
        <v>3.9419014464513778E-12</v>
      </c>
      <c r="BG139" s="22">
        <f t="shared" si="115"/>
        <v>7.384408744560063E-12</v>
      </c>
      <c r="BH139" s="60">
        <f t="shared" si="116"/>
        <v>284.84953039489261</v>
      </c>
      <c r="BI139" s="60">
        <f ca="1">AVERAGE(OFFSET($BH$3,0,0,'Données projet'!$E$11+1,1))-AVERAGE(OFFSET($H$3,0,0,'Données projet'!$E$11+1,1))</f>
        <v>363.28611056308665</v>
      </c>
      <c r="BJ139" s="60">
        <f t="shared" si="146"/>
        <v>389.43647559455974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285.19999999999931</v>
      </c>
      <c r="BZ139" s="14">
        <f>BY139*VLOOKUP('Données projet'!$B$12,Paramètres!$A$1:$I$89,3,0)*VLOOKUP('Données projet'!$B$12,Paramètres!$A$1:$I$89,5,0)</f>
        <v>306.98927999999921</v>
      </c>
      <c r="CA139" s="14">
        <f t="shared" si="147"/>
        <v>72.639715316458506</v>
      </c>
      <c r="CB139" s="22">
        <f t="shared" si="118"/>
        <v>661.18716684283038</v>
      </c>
      <c r="CC139" s="60">
        <f t="shared" si="119"/>
        <v>946.03669723771554</v>
      </c>
      <c r="CD139" s="60">
        <f ca="1">AVERAGE(OFFSET($CC$3,0,0,'Données projet'!$E$12+1,1))-AVERAGE(OFFSET($H$3,0,0,'Données projet'!$E$12+1,1))</f>
        <v>542.90832990875208</v>
      </c>
      <c r="CE139" s="60">
        <f t="shared" si="148"/>
        <v>304.94365539329362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-6.2527760746888816E-13</v>
      </c>
      <c r="CU139" s="18">
        <f>CT139*VLOOKUP('Données projet'!$B$13,Paramètres!$A$1:$I$89,3,0)*VLOOKUP('Données projet'!$B$13,Paramètres!$A$1:$I$89,5,0)</f>
        <v>-2.9262992029543964E-13</v>
      </c>
      <c r="CV139" s="14" t="e">
        <f t="shared" si="149"/>
        <v>#NUM!</v>
      </c>
      <c r="CW139" s="22" t="e">
        <f t="shared" si="121"/>
        <v>#NUM!</v>
      </c>
      <c r="CX139" s="60" t="e">
        <f t="shared" si="122"/>
        <v>#NUM!</v>
      </c>
      <c r="CY139" s="60">
        <f ca="1">AVERAGE(OFFSET($CX$3,0,0,'Données projet'!$E$13+1,1))-AVERAGE(OFFSET($H$3,0,0,'Données projet'!$E$13+1,1))</f>
        <v>277.77877239988635</v>
      </c>
      <c r="CZ139" s="60">
        <f t="shared" si="150"/>
        <v>164.65640238394164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9.7543306765146564E-14</v>
      </c>
      <c r="DQ139" s="14">
        <f t="shared" si="151"/>
        <v>1.4696264278629426E-12</v>
      </c>
      <c r="DR139" s="22">
        <f t="shared" si="124"/>
        <v>2.7294872878105889E-12</v>
      </c>
      <c r="DS139" s="60">
        <f t="shared" si="125"/>
        <v>284.84953039488795</v>
      </c>
      <c r="DT139" s="60">
        <f ca="1">AVERAGE(OFFSET($DS$3,0,0,'Données projet'!$E$14+1,1))-AVERAGE(OFFSET($H$3,0,0,'Données projet'!$E$14+1,1))</f>
        <v>354.30160274624632</v>
      </c>
      <c r="DU139" s="60">
        <f t="shared" si="152"/>
        <v>218.8005329382452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2.7</v>
      </c>
      <c r="EJ139" s="13">
        <f>IF('Données projet'!$A$192&gt;35,EJ138+EI139-ER138,IF(A139&lt;'Données projet'!$A$192,$EG$205^A139,IF(A139='Données projet'!$A$192,'Données projet'!$B$192,EJ138+EI139-ER138)))</f>
        <v>285.19999999999931</v>
      </c>
      <c r="EK139" s="18">
        <f>EJ139*VLOOKUP('Données projet'!$B$15,Paramètres!$A$1:$I$89,3,0)*VLOOKUP('Données projet'!$B$15,Paramètres!$A$1:$I$89,5,0)</f>
        <v>275.84543999999931</v>
      </c>
      <c r="EL139" s="14">
        <f t="shared" si="153"/>
        <v>66.088268521855113</v>
      </c>
      <c r="EM139" s="22">
        <f t="shared" si="127"/>
        <v>595.53454234222977</v>
      </c>
      <c r="EN139" s="60">
        <f t="shared" si="128"/>
        <v>880.38407273711505</v>
      </c>
      <c r="EO139" s="60">
        <f ca="1">AVERAGE(OFFSET($EN$3,0,0,'Données projet'!$E$15+1,1))-AVERAGE(OFFSET($H$3,0,0,'Données projet'!$E$15+1,1))</f>
        <v>496.33873798282525</v>
      </c>
      <c r="EP139" s="60">
        <f t="shared" si="154"/>
        <v>280.25465074992246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3.4106051316484809E-13</v>
      </c>
      <c r="FF139" s="18">
        <f>FE139*VLOOKUP('Données projet'!$B$16,Paramètres!$A$1:$I$89,3,0)*VLOOKUP('Données projet'!$B$16,Paramètres!$A$1:$I$89,5,0)</f>
        <v>2.7666828827932479E-13</v>
      </c>
      <c r="FG139" s="14">
        <f t="shared" si="155"/>
        <v>3.6920483163466686E-12</v>
      </c>
      <c r="FH139" s="22">
        <f t="shared" si="130"/>
        <v>6.9121814197236049E-12</v>
      </c>
      <c r="FI139" s="60">
        <f t="shared" si="131"/>
        <v>284.84953039489216</v>
      </c>
      <c r="FJ139" s="60">
        <f ca="1">AVERAGE(OFFSET($FI$3,0,0,'Données projet'!$E$16+1,1))-AVERAGE(OFFSET($H$3,0,0,'Données projet'!$E$16+1,1))</f>
        <v>341.66430955115521</v>
      </c>
      <c r="FK139" s="60">
        <f t="shared" si="156"/>
        <v>366.15174925159192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3.4106051316484809E-13</v>
      </c>
      <c r="GA139" s="18">
        <f>FZ139*VLOOKUP('Données projet'!$B$17,Paramètres!$A$1:$I$89,3,0)*VLOOKUP('Données projet'!$B$17,Paramètres!$A$1:$I$89,5,0)</f>
        <v>2.5006556825246659E-13</v>
      </c>
      <c r="GB139" s="14">
        <f t="shared" si="157"/>
        <v>3.3765445850268018E-12</v>
      </c>
      <c r="GC139" s="22">
        <f t="shared" si="133"/>
        <v>6.3163460169613921E-12</v>
      </c>
      <c r="GD139" s="60">
        <f t="shared" si="134"/>
        <v>284.84953039489153</v>
      </c>
      <c r="GE139" s="60">
        <f ca="1">AVERAGE(OFFSET($GD$3,0,0,'Données projet'!$E$17+1,1))-AVERAGE(OFFSET($H$3,0,0,'Données projet'!$E$17+1,1))</f>
        <v>314.58662400031631</v>
      </c>
      <c r="GF139" s="60">
        <f t="shared" si="158"/>
        <v>336.99073123405981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4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291.93059999999929</v>
      </c>
      <c r="P140" s="14">
        <f t="shared" si="141"/>
        <v>69.482132168934584</v>
      </c>
      <c r="Q140" s="22">
        <f t="shared" si="108"/>
        <v>629.4605085275598</v>
      </c>
      <c r="R140" s="60">
        <f t="shared" si="109"/>
        <v>914.45721393648523</v>
      </c>
      <c r="S140" s="60">
        <f ca="1">AVERAGE(OFFSET($R$3,0,0,'Données projet'!$E$9+1,1))-AVERAGE(OFFSET($H$3,0,0,'Données projet'!$E$9+1,1))</f>
        <v>516.30971934066179</v>
      </c>
      <c r="T140" s="60">
        <f t="shared" si="142"/>
        <v>290.84286505723571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-5.1159076974727213E-13</v>
      </c>
      <c r="AJ140" s="14">
        <f>AI140*VLOOKUP('Données projet'!$B$10,Paramètres!$A$1:$I$89,3,0)*VLOOKUP('Données projet'!$B$10,Paramètres!$A$1:$I$89,5,0)</f>
        <v>-5.3471467253984886E-13</v>
      </c>
      <c r="AK140" s="14" t="e">
        <f t="shared" si="143"/>
        <v>#NUM!</v>
      </c>
      <c r="AL140" s="22" t="e">
        <f t="shared" si="112"/>
        <v>#NUM!</v>
      </c>
      <c r="AM140" s="60" t="e">
        <f t="shared" si="113"/>
        <v>#NUM!</v>
      </c>
      <c r="AN140" s="60">
        <f ca="1">AVERAGE(OFFSET($AM$3,0,0,'Données projet'!$E$10+1,1))-AVERAGE(OFFSET($H$3,0,0,'Données projet'!$E$10+1,1))</f>
        <v>529.00505223594837</v>
      </c>
      <c r="AO140" s="60">
        <f t="shared" si="144"/>
        <v>321.23004033257985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2.9795046430081134E-13</v>
      </c>
      <c r="BF140" s="14">
        <f t="shared" si="145"/>
        <v>3.9419014464513778E-12</v>
      </c>
      <c r="BG140" s="22">
        <f t="shared" si="115"/>
        <v>7.384408744560063E-12</v>
      </c>
      <c r="BH140" s="60">
        <f t="shared" si="116"/>
        <v>284.99670540893277</v>
      </c>
      <c r="BI140" s="60">
        <f ca="1">AVERAGE(OFFSET($BH$3,0,0,'Données projet'!$E$11+1,1))-AVERAGE(OFFSET($H$3,0,0,'Données projet'!$E$11+1,1))</f>
        <v>363.28611056308665</v>
      </c>
      <c r="BJ140" s="60">
        <f t="shared" si="146"/>
        <v>389.43647559455974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287.8999999999993</v>
      </c>
      <c r="BZ140" s="14">
        <f>BY140*VLOOKUP('Données projet'!$B$12,Paramètres!$A$1:$I$89,3,0)*VLOOKUP('Données projet'!$B$12,Paramètres!$A$1:$I$89,5,0)</f>
        <v>309.89555999999925</v>
      </c>
      <c r="CA140" s="14">
        <f t="shared" si="147"/>
        <v>73.247018515231034</v>
      </c>
      <c r="CB140" s="22">
        <f t="shared" si="118"/>
        <v>667.30665758069279</v>
      </c>
      <c r="CC140" s="60">
        <f t="shared" si="119"/>
        <v>952.30336298961811</v>
      </c>
      <c r="CD140" s="60">
        <f ca="1">AVERAGE(OFFSET($CC$3,0,0,'Données projet'!$E$12+1,1))-AVERAGE(OFFSET($H$3,0,0,'Données projet'!$E$12+1,1))</f>
        <v>542.90832990875208</v>
      </c>
      <c r="CE140" s="60">
        <f t="shared" si="148"/>
        <v>304.94365539329362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-6.2527760746888816E-13</v>
      </c>
      <c r="CU140" s="18">
        <f>CT140*VLOOKUP('Données projet'!$B$13,Paramètres!$A$1:$I$89,3,0)*VLOOKUP('Données projet'!$B$13,Paramètres!$A$1:$I$89,5,0)</f>
        <v>-2.9262992029543964E-13</v>
      </c>
      <c r="CV140" s="14" t="e">
        <f t="shared" si="149"/>
        <v>#NUM!</v>
      </c>
      <c r="CW140" s="22" t="e">
        <f t="shared" si="121"/>
        <v>#NUM!</v>
      </c>
      <c r="CX140" s="60" t="e">
        <f t="shared" si="122"/>
        <v>#NUM!</v>
      </c>
      <c r="CY140" s="60">
        <f ca="1">AVERAGE(OFFSET($CX$3,0,0,'Données projet'!$E$13+1,1))-AVERAGE(OFFSET($H$3,0,0,'Données projet'!$E$13+1,1))</f>
        <v>277.77877239988635</v>
      </c>
      <c r="CZ140" s="60">
        <f t="shared" si="150"/>
        <v>164.65640238394164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9.7543306765146564E-14</v>
      </c>
      <c r="DQ140" s="14">
        <f t="shared" si="151"/>
        <v>1.4696264278629426E-12</v>
      </c>
      <c r="DR140" s="22">
        <f t="shared" si="124"/>
        <v>2.7294872878105889E-12</v>
      </c>
      <c r="DS140" s="60">
        <f t="shared" si="125"/>
        <v>284.99670540892811</v>
      </c>
      <c r="DT140" s="60">
        <f ca="1">AVERAGE(OFFSET($DS$3,0,0,'Données projet'!$E$14+1,1))-AVERAGE(OFFSET($H$3,0,0,'Données projet'!$E$14+1,1))</f>
        <v>354.30160274624632</v>
      </c>
      <c r="DU140" s="60">
        <f t="shared" si="152"/>
        <v>218.8005329382452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2.7</v>
      </c>
      <c r="EJ140" s="13">
        <f>IF('Données projet'!$A$192&gt;35,EJ139+EI140-ER139,IF(A140&lt;'Données projet'!$A$192,$EG$205^A140,IF(A140='Données projet'!$A$192,'Données projet'!$B$192,EJ139+EI140-ER139)))</f>
        <v>287.8999999999993</v>
      </c>
      <c r="EK140" s="18">
        <f>EJ140*VLOOKUP('Données projet'!$B$15,Paramètres!$A$1:$I$89,3,0)*VLOOKUP('Données projet'!$B$15,Paramètres!$A$1:$I$89,5,0)</f>
        <v>278.45687999999933</v>
      </c>
      <c r="EL140" s="14">
        <f t="shared" si="153"/>
        <v>66.640798452620999</v>
      </c>
      <c r="EM140" s="22">
        <f t="shared" si="127"/>
        <v>601.04512330498039</v>
      </c>
      <c r="EN140" s="60">
        <f t="shared" si="128"/>
        <v>886.04182871390572</v>
      </c>
      <c r="EO140" s="60">
        <f ca="1">AVERAGE(OFFSET($EN$3,0,0,'Données projet'!$E$15+1,1))-AVERAGE(OFFSET($H$3,0,0,'Données projet'!$E$15+1,1))</f>
        <v>496.33873798282525</v>
      </c>
      <c r="EP140" s="60">
        <f t="shared" si="154"/>
        <v>280.25465074992246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3.4106051316484809E-13</v>
      </c>
      <c r="FF140" s="18">
        <f>FE140*VLOOKUP('Données projet'!$B$16,Paramètres!$A$1:$I$89,3,0)*VLOOKUP('Données projet'!$B$16,Paramètres!$A$1:$I$89,5,0)</f>
        <v>2.7666828827932479E-13</v>
      </c>
      <c r="FG140" s="14">
        <f t="shared" si="155"/>
        <v>3.6920483163466686E-12</v>
      </c>
      <c r="FH140" s="22">
        <f t="shared" si="130"/>
        <v>6.9121814197236049E-12</v>
      </c>
      <c r="FI140" s="60">
        <f t="shared" si="131"/>
        <v>284.99670540893231</v>
      </c>
      <c r="FJ140" s="60">
        <f ca="1">AVERAGE(OFFSET($FI$3,0,0,'Données projet'!$E$16+1,1))-AVERAGE(OFFSET($H$3,0,0,'Données projet'!$E$16+1,1))</f>
        <v>341.66430955115521</v>
      </c>
      <c r="FK140" s="60">
        <f t="shared" si="156"/>
        <v>366.15174925159192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3.4106051316484809E-13</v>
      </c>
      <c r="GA140" s="18">
        <f>FZ140*VLOOKUP('Données projet'!$B$17,Paramètres!$A$1:$I$89,3,0)*VLOOKUP('Données projet'!$B$17,Paramètres!$A$1:$I$89,5,0)</f>
        <v>2.5006556825246659E-13</v>
      </c>
      <c r="GB140" s="14">
        <f t="shared" si="157"/>
        <v>3.3765445850268018E-12</v>
      </c>
      <c r="GC140" s="22">
        <f t="shared" si="133"/>
        <v>6.3163460169613921E-12</v>
      </c>
      <c r="GD140" s="60">
        <f t="shared" si="134"/>
        <v>284.99670540893169</v>
      </c>
      <c r="GE140" s="60">
        <f ca="1">AVERAGE(OFFSET($GD$3,0,0,'Données projet'!$E$17+1,1))-AVERAGE(OFFSET($H$3,0,0,'Données projet'!$E$17+1,1))</f>
        <v>314.58662400031631</v>
      </c>
      <c r="GF140" s="60">
        <f t="shared" si="158"/>
        <v>336.99073123405981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4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294.66839999999928</v>
      </c>
      <c r="P141" s="14">
        <f t="shared" si="141"/>
        <v>70.057591528661433</v>
      </c>
      <c r="Q141" s="22">
        <f t="shared" si="108"/>
        <v>635.23110191241733</v>
      </c>
      <c r="R141" s="60">
        <f t="shared" si="109"/>
        <v>920.37242917792332</v>
      </c>
      <c r="S141" s="60">
        <f ca="1">AVERAGE(OFFSET($R$3,0,0,'Données projet'!$E$9+1,1))-AVERAGE(OFFSET($H$3,0,0,'Données projet'!$E$9+1,1))</f>
        <v>516.30971934066179</v>
      </c>
      <c r="T141" s="60">
        <f t="shared" si="142"/>
        <v>290.84286505723571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-5.1159076974727213E-13</v>
      </c>
      <c r="AJ141" s="14">
        <f>AI141*VLOOKUP('Données projet'!$B$10,Paramètres!$A$1:$I$89,3,0)*VLOOKUP('Données projet'!$B$10,Paramètres!$A$1:$I$89,5,0)</f>
        <v>-5.3471467253984886E-13</v>
      </c>
      <c r="AK141" s="14" t="e">
        <f t="shared" si="143"/>
        <v>#NUM!</v>
      </c>
      <c r="AL141" s="22" t="e">
        <f t="shared" si="112"/>
        <v>#NUM!</v>
      </c>
      <c r="AM141" s="60" t="e">
        <f t="shared" si="113"/>
        <v>#NUM!</v>
      </c>
      <c r="AN141" s="60">
        <f ca="1">AVERAGE(OFFSET($AM$3,0,0,'Données projet'!$E$10+1,1))-AVERAGE(OFFSET($H$3,0,0,'Données projet'!$E$10+1,1))</f>
        <v>529.00505223594837</v>
      </c>
      <c r="AO141" s="60">
        <f t="shared" si="144"/>
        <v>321.23004033257985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2.9795046430081134E-13</v>
      </c>
      <c r="BF141" s="14">
        <f t="shared" si="145"/>
        <v>3.9419014464513778E-12</v>
      </c>
      <c r="BG141" s="22">
        <f t="shared" si="115"/>
        <v>7.384408744560063E-12</v>
      </c>
      <c r="BH141" s="60">
        <f t="shared" si="116"/>
        <v>285.14132726551333</v>
      </c>
      <c r="BI141" s="60">
        <f ca="1">AVERAGE(OFFSET($BH$3,0,0,'Données projet'!$E$11+1,1))-AVERAGE(OFFSET($H$3,0,0,'Données projet'!$E$11+1,1))</f>
        <v>363.28611056308665</v>
      </c>
      <c r="BJ141" s="60">
        <f t="shared" si="146"/>
        <v>389.43647559455974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290.59999999999928</v>
      </c>
      <c r="BZ141" s="14">
        <f>BY141*VLOOKUP('Données projet'!$B$12,Paramètres!$A$1:$I$89,3,0)*VLOOKUP('Données projet'!$B$12,Paramètres!$A$1:$I$89,5,0)</f>
        <v>312.80183999999923</v>
      </c>
      <c r="CA141" s="14">
        <f t="shared" si="147"/>
        <v>73.853659115640255</v>
      </c>
      <c r="CB141" s="22">
        <f t="shared" si="118"/>
        <v>673.42499429307202</v>
      </c>
      <c r="CC141" s="60">
        <f t="shared" si="119"/>
        <v>958.56632155857801</v>
      </c>
      <c r="CD141" s="60">
        <f ca="1">AVERAGE(OFFSET($CC$3,0,0,'Données projet'!$E$12+1,1))-AVERAGE(OFFSET($H$3,0,0,'Données projet'!$E$12+1,1))</f>
        <v>542.90832990875208</v>
      </c>
      <c r="CE141" s="60">
        <f t="shared" si="148"/>
        <v>304.94365539329362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-6.2527760746888816E-13</v>
      </c>
      <c r="CU141" s="18">
        <f>CT141*VLOOKUP('Données projet'!$B$13,Paramètres!$A$1:$I$89,3,0)*VLOOKUP('Données projet'!$B$13,Paramètres!$A$1:$I$89,5,0)</f>
        <v>-2.9262992029543964E-13</v>
      </c>
      <c r="CV141" s="14" t="e">
        <f t="shared" si="149"/>
        <v>#NUM!</v>
      </c>
      <c r="CW141" s="22" t="e">
        <f t="shared" si="121"/>
        <v>#NUM!</v>
      </c>
      <c r="CX141" s="60" t="e">
        <f t="shared" si="122"/>
        <v>#NUM!</v>
      </c>
      <c r="CY141" s="60">
        <f ca="1">AVERAGE(OFFSET($CX$3,0,0,'Données projet'!$E$13+1,1))-AVERAGE(OFFSET($H$3,0,0,'Données projet'!$E$13+1,1))</f>
        <v>277.77877239988635</v>
      </c>
      <c r="CZ141" s="60">
        <f t="shared" si="150"/>
        <v>164.65640238394164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9.7543306765146564E-14</v>
      </c>
      <c r="DQ141" s="14">
        <f t="shared" si="151"/>
        <v>1.4696264278629426E-12</v>
      </c>
      <c r="DR141" s="22">
        <f t="shared" si="124"/>
        <v>2.7294872878105889E-12</v>
      </c>
      <c r="DS141" s="60">
        <f t="shared" si="125"/>
        <v>285.14132726550866</v>
      </c>
      <c r="DT141" s="60">
        <f ca="1">AVERAGE(OFFSET($DS$3,0,0,'Données projet'!$E$14+1,1))-AVERAGE(OFFSET($H$3,0,0,'Données projet'!$E$14+1,1))</f>
        <v>354.30160274624632</v>
      </c>
      <c r="DU141" s="60">
        <f t="shared" si="152"/>
        <v>218.8005329382452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2.7</v>
      </c>
      <c r="EJ141" s="13">
        <f>IF('Données projet'!$A$192&gt;35,EJ140+EI141-ER140,IF(A141&lt;'Données projet'!$A$192,$EG$205^A141,IF(A141='Données projet'!$A$192,'Données projet'!$B$192,EJ140+EI141-ER140)))</f>
        <v>290.59999999999928</v>
      </c>
      <c r="EK141" s="18">
        <f>EJ141*VLOOKUP('Données projet'!$B$15,Paramètres!$A$1:$I$89,3,0)*VLOOKUP('Données projet'!$B$15,Paramètres!$A$1:$I$89,5,0)</f>
        <v>281.06831999999929</v>
      </c>
      <c r="EL141" s="14">
        <f t="shared" si="153"/>
        <v>67.192725545416536</v>
      </c>
      <c r="EM141" s="22">
        <f t="shared" si="127"/>
        <v>606.55465432493247</v>
      </c>
      <c r="EN141" s="60">
        <f t="shared" si="128"/>
        <v>891.69598159043835</v>
      </c>
      <c r="EO141" s="60">
        <f ca="1">AVERAGE(OFFSET($EN$3,0,0,'Données projet'!$E$15+1,1))-AVERAGE(OFFSET($H$3,0,0,'Données projet'!$E$15+1,1))</f>
        <v>496.33873798282525</v>
      </c>
      <c r="EP141" s="60">
        <f t="shared" si="154"/>
        <v>280.25465074992246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3.4106051316484809E-13</v>
      </c>
      <c r="FF141" s="18">
        <f>FE141*VLOOKUP('Données projet'!$B$16,Paramètres!$A$1:$I$89,3,0)*VLOOKUP('Données projet'!$B$16,Paramètres!$A$1:$I$89,5,0)</f>
        <v>2.7666828827932479E-13</v>
      </c>
      <c r="FG141" s="14">
        <f t="shared" si="155"/>
        <v>3.6920483163466686E-12</v>
      </c>
      <c r="FH141" s="22">
        <f t="shared" si="130"/>
        <v>6.9121814197236049E-12</v>
      </c>
      <c r="FI141" s="60">
        <f t="shared" si="131"/>
        <v>285.14132726551287</v>
      </c>
      <c r="FJ141" s="60">
        <f ca="1">AVERAGE(OFFSET($FI$3,0,0,'Données projet'!$E$16+1,1))-AVERAGE(OFFSET($H$3,0,0,'Données projet'!$E$16+1,1))</f>
        <v>341.66430955115521</v>
      </c>
      <c r="FK141" s="60">
        <f t="shared" si="156"/>
        <v>366.15174925159192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3.4106051316484809E-13</v>
      </c>
      <c r="GA141" s="18">
        <f>FZ141*VLOOKUP('Données projet'!$B$17,Paramètres!$A$1:$I$89,3,0)*VLOOKUP('Données projet'!$B$17,Paramètres!$A$1:$I$89,5,0)</f>
        <v>2.5006556825246659E-13</v>
      </c>
      <c r="GB141" s="14">
        <f t="shared" si="157"/>
        <v>3.3765445850268018E-12</v>
      </c>
      <c r="GC141" s="22">
        <f t="shared" si="133"/>
        <v>6.3163460169613921E-12</v>
      </c>
      <c r="GD141" s="60">
        <f t="shared" si="134"/>
        <v>285.14132726551225</v>
      </c>
      <c r="GE141" s="60">
        <f ca="1">AVERAGE(OFFSET($GD$3,0,0,'Données projet'!$E$17+1,1))-AVERAGE(OFFSET($H$3,0,0,'Données projet'!$E$17+1,1))</f>
        <v>314.58662400031631</v>
      </c>
      <c r="GF141" s="60">
        <f t="shared" si="158"/>
        <v>336.99073123405981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4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297.40619999999927</v>
      </c>
      <c r="P142" s="14">
        <f t="shared" si="141"/>
        <v>70.632428863759543</v>
      </c>
      <c r="Q142" s="22">
        <f t="shared" si="108"/>
        <v>641.0006119377133</v>
      </c>
      <c r="R142" s="60">
        <f t="shared" si="109"/>
        <v>926.28405219391425</v>
      </c>
      <c r="S142" s="60">
        <f ca="1">AVERAGE(OFFSET($R$3,0,0,'Données projet'!$E$9+1,1))-AVERAGE(OFFSET($H$3,0,0,'Données projet'!$E$9+1,1))</f>
        <v>516.30971934066179</v>
      </c>
      <c r="T142" s="60">
        <f t="shared" si="142"/>
        <v>290.84286505723571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-5.1159076974727213E-13</v>
      </c>
      <c r="AJ142" s="14">
        <f>AI142*VLOOKUP('Données projet'!$B$10,Paramètres!$A$1:$I$89,3,0)*VLOOKUP('Données projet'!$B$10,Paramètres!$A$1:$I$89,5,0)</f>
        <v>-5.3471467253984886E-13</v>
      </c>
      <c r="AK142" s="14" t="e">
        <f t="shared" si="143"/>
        <v>#NUM!</v>
      </c>
      <c r="AL142" s="22" t="e">
        <f t="shared" si="112"/>
        <v>#NUM!</v>
      </c>
      <c r="AM142" s="60" t="e">
        <f t="shared" si="113"/>
        <v>#NUM!</v>
      </c>
      <c r="AN142" s="60">
        <f ca="1">AVERAGE(OFFSET($AM$3,0,0,'Données projet'!$E$10+1,1))-AVERAGE(OFFSET($H$3,0,0,'Données projet'!$E$10+1,1))</f>
        <v>529.00505223594837</v>
      </c>
      <c r="AO142" s="60">
        <f t="shared" si="144"/>
        <v>321.23004033257985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2.9795046430081134E-13</v>
      </c>
      <c r="BF142" s="14">
        <f t="shared" si="145"/>
        <v>3.9419014464513778E-12</v>
      </c>
      <c r="BG142" s="22">
        <f t="shared" si="115"/>
        <v>7.384408744560063E-12</v>
      </c>
      <c r="BH142" s="60">
        <f t="shared" si="116"/>
        <v>285.28344025620828</v>
      </c>
      <c r="BI142" s="60">
        <f ca="1">AVERAGE(OFFSET($BH$3,0,0,'Données projet'!$E$11+1,1))-AVERAGE(OFFSET($H$3,0,0,'Données projet'!$E$11+1,1))</f>
        <v>363.28611056308665</v>
      </c>
      <c r="BJ142" s="60">
        <f t="shared" si="146"/>
        <v>389.43647559455974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293.29999999999927</v>
      </c>
      <c r="BZ142" s="14">
        <f>BY142*VLOOKUP('Données projet'!$B$12,Paramètres!$A$1:$I$89,3,0)*VLOOKUP('Données projet'!$B$12,Paramètres!$A$1:$I$89,5,0)</f>
        <v>315.70811999999916</v>
      </c>
      <c r="CA142" s="14">
        <f t="shared" si="147"/>
        <v>74.459643987042966</v>
      </c>
      <c r="CB142" s="22">
        <f t="shared" si="118"/>
        <v>679.54218894409837</v>
      </c>
      <c r="CC142" s="60">
        <f t="shared" si="119"/>
        <v>964.82562920029932</v>
      </c>
      <c r="CD142" s="60">
        <f ca="1">AVERAGE(OFFSET($CC$3,0,0,'Données projet'!$E$12+1,1))-AVERAGE(OFFSET($H$3,0,0,'Données projet'!$E$12+1,1))</f>
        <v>542.90832990875208</v>
      </c>
      <c r="CE142" s="60">
        <f t="shared" si="148"/>
        <v>304.94365539329362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-6.2527760746888816E-13</v>
      </c>
      <c r="CU142" s="18">
        <f>CT142*VLOOKUP('Données projet'!$B$13,Paramètres!$A$1:$I$89,3,0)*VLOOKUP('Données projet'!$B$13,Paramètres!$A$1:$I$89,5,0)</f>
        <v>-2.9262992029543964E-13</v>
      </c>
      <c r="CV142" s="14" t="e">
        <f t="shared" si="149"/>
        <v>#NUM!</v>
      </c>
      <c r="CW142" s="22" t="e">
        <f t="shared" si="121"/>
        <v>#NUM!</v>
      </c>
      <c r="CX142" s="60" t="e">
        <f t="shared" si="122"/>
        <v>#NUM!</v>
      </c>
      <c r="CY142" s="60">
        <f ca="1">AVERAGE(OFFSET($CX$3,0,0,'Données projet'!$E$13+1,1))-AVERAGE(OFFSET($H$3,0,0,'Données projet'!$E$13+1,1))</f>
        <v>277.77877239988635</v>
      </c>
      <c r="CZ142" s="60">
        <f t="shared" si="150"/>
        <v>164.65640238394164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9.7543306765146564E-14</v>
      </c>
      <c r="DQ142" s="14">
        <f t="shared" si="151"/>
        <v>1.4696264278629426E-12</v>
      </c>
      <c r="DR142" s="22">
        <f t="shared" si="124"/>
        <v>2.7294872878105889E-12</v>
      </c>
      <c r="DS142" s="60">
        <f t="shared" si="125"/>
        <v>285.28344025620362</v>
      </c>
      <c r="DT142" s="60">
        <f ca="1">AVERAGE(OFFSET($DS$3,0,0,'Données projet'!$E$14+1,1))-AVERAGE(OFFSET($H$3,0,0,'Données projet'!$E$14+1,1))</f>
        <v>354.30160274624632</v>
      </c>
      <c r="DU142" s="60">
        <f t="shared" si="152"/>
        <v>218.8005329382452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2.7</v>
      </c>
      <c r="EJ142" s="13">
        <f>IF('Données projet'!$A$192&gt;35,EJ141+EI142-ER141,IF(A142&lt;'Données projet'!$A$192,$EG$205^A142,IF(A142='Données projet'!$A$192,'Données projet'!$B$192,EJ141+EI142-ER141)))</f>
        <v>293.29999999999927</v>
      </c>
      <c r="EK142" s="18">
        <f>EJ142*VLOOKUP('Données projet'!$B$15,Paramètres!$A$1:$I$89,3,0)*VLOOKUP('Données projet'!$B$15,Paramètres!$A$1:$I$89,5,0)</f>
        <v>283.67975999999931</v>
      </c>
      <c r="EL142" s="14">
        <f t="shared" si="153"/>
        <v>67.74405605004435</v>
      </c>
      <c r="EM142" s="22">
        <f t="shared" si="127"/>
        <v>612.06314628715938</v>
      </c>
      <c r="EN142" s="60">
        <f t="shared" si="128"/>
        <v>897.34658654336022</v>
      </c>
      <c r="EO142" s="60">
        <f ca="1">AVERAGE(OFFSET($EN$3,0,0,'Données projet'!$E$15+1,1))-AVERAGE(OFFSET($H$3,0,0,'Données projet'!$E$15+1,1))</f>
        <v>496.33873798282525</v>
      </c>
      <c r="EP142" s="60">
        <f t="shared" si="154"/>
        <v>280.25465074992246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3.4106051316484809E-13</v>
      </c>
      <c r="FF142" s="18">
        <f>FE142*VLOOKUP('Données projet'!$B$16,Paramètres!$A$1:$I$89,3,0)*VLOOKUP('Données projet'!$B$16,Paramètres!$A$1:$I$89,5,0)</f>
        <v>2.7666828827932479E-13</v>
      </c>
      <c r="FG142" s="14">
        <f t="shared" si="155"/>
        <v>3.6920483163466686E-12</v>
      </c>
      <c r="FH142" s="22">
        <f t="shared" si="130"/>
        <v>6.9121814197236049E-12</v>
      </c>
      <c r="FI142" s="60">
        <f t="shared" si="131"/>
        <v>285.28344025620783</v>
      </c>
      <c r="FJ142" s="60">
        <f ca="1">AVERAGE(OFFSET($FI$3,0,0,'Données projet'!$E$16+1,1))-AVERAGE(OFFSET($H$3,0,0,'Données projet'!$E$16+1,1))</f>
        <v>341.66430955115521</v>
      </c>
      <c r="FK142" s="60">
        <f t="shared" si="156"/>
        <v>366.15174925159192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3.4106051316484809E-13</v>
      </c>
      <c r="GA142" s="18">
        <f>FZ142*VLOOKUP('Données projet'!$B$17,Paramètres!$A$1:$I$89,3,0)*VLOOKUP('Données projet'!$B$17,Paramètres!$A$1:$I$89,5,0)</f>
        <v>2.5006556825246659E-13</v>
      </c>
      <c r="GB142" s="14">
        <f t="shared" si="157"/>
        <v>3.3765445850268018E-12</v>
      </c>
      <c r="GC142" s="22">
        <f t="shared" si="133"/>
        <v>6.3163460169613921E-12</v>
      </c>
      <c r="GD142" s="60">
        <f t="shared" si="134"/>
        <v>285.2834402562072</v>
      </c>
      <c r="GE142" s="60">
        <f ca="1">AVERAGE(OFFSET($GD$3,0,0,'Données projet'!$E$17+1,1))-AVERAGE(OFFSET($H$3,0,0,'Données projet'!$E$17+1,1))</f>
        <v>314.58662400031631</v>
      </c>
      <c r="GF142" s="60">
        <f t="shared" si="158"/>
        <v>336.99073123405981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4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300.14399999999927</v>
      </c>
      <c r="P143" s="14">
        <f t="shared" si="141"/>
        <v>71.206650563609728</v>
      </c>
      <c r="Q143" s="22">
        <f t="shared" si="108"/>
        <v>646.76904973161891</v>
      </c>
      <c r="R143" s="60">
        <f t="shared" si="109"/>
        <v>932.19213763584321</v>
      </c>
      <c r="S143" s="60">
        <f ca="1">AVERAGE(OFFSET($R$3,0,0,'Données projet'!$E$9+1,1))-AVERAGE(OFFSET($H$3,0,0,'Données projet'!$E$9+1,1))</f>
        <v>516.30971934066179</v>
      </c>
      <c r="T143" s="60">
        <f t="shared" si="142"/>
        <v>290.84286505723571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-5.1159076974727213E-13</v>
      </c>
      <c r="AJ143" s="14">
        <f>AI143*VLOOKUP('Données projet'!$B$10,Paramètres!$A$1:$I$89,3,0)*VLOOKUP('Données projet'!$B$10,Paramètres!$A$1:$I$89,5,0)</f>
        <v>-5.3471467253984886E-13</v>
      </c>
      <c r="AK143" s="14" t="e">
        <f t="shared" si="143"/>
        <v>#NUM!</v>
      </c>
      <c r="AL143" s="22" t="e">
        <f t="shared" si="112"/>
        <v>#NUM!</v>
      </c>
      <c r="AM143" s="60" t="e">
        <f t="shared" si="113"/>
        <v>#NUM!</v>
      </c>
      <c r="AN143" s="60">
        <f ca="1">AVERAGE(OFFSET($AM$3,0,0,'Données projet'!$E$10+1,1))-AVERAGE(OFFSET($H$3,0,0,'Données projet'!$E$10+1,1))</f>
        <v>529.00505223594837</v>
      </c>
      <c r="AO143" s="60">
        <f t="shared" si="144"/>
        <v>321.23004033257985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2.9795046430081134E-13</v>
      </c>
      <c r="BF143" s="14">
        <f t="shared" si="145"/>
        <v>3.9419014464513778E-12</v>
      </c>
      <c r="BG143" s="22">
        <f t="shared" si="115"/>
        <v>7.384408744560063E-12</v>
      </c>
      <c r="BH143" s="60">
        <f t="shared" si="116"/>
        <v>285.42308790423175</v>
      </c>
      <c r="BI143" s="60">
        <f ca="1">AVERAGE(OFFSET($BH$3,0,0,'Données projet'!$E$11+1,1))-AVERAGE(OFFSET($H$3,0,0,'Données projet'!$E$11+1,1))</f>
        <v>363.28611056308665</v>
      </c>
      <c r="BJ143" s="60">
        <f t="shared" si="146"/>
        <v>389.43647559455974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295.99999999999926</v>
      </c>
      <c r="BZ143" s="14">
        <f>BY143*VLOOKUP('Données projet'!$B$12,Paramètres!$A$1:$I$89,3,0)*VLOOKUP('Données projet'!$B$12,Paramètres!$A$1:$I$89,5,0)</f>
        <v>318.61439999999919</v>
      </c>
      <c r="CA143" s="14">
        <f t="shared" si="147"/>
        <v>75.064979865028292</v>
      </c>
      <c r="CB143" s="22">
        <f t="shared" si="118"/>
        <v>685.65825326492302</v>
      </c>
      <c r="CC143" s="60">
        <f t="shared" si="119"/>
        <v>971.08134116914744</v>
      </c>
      <c r="CD143" s="60">
        <f ca="1">AVERAGE(OFFSET($CC$3,0,0,'Données projet'!$E$12+1,1))-AVERAGE(OFFSET($H$3,0,0,'Données projet'!$E$12+1,1))</f>
        <v>542.90832990875208</v>
      </c>
      <c r="CE143" s="60">
        <f t="shared" si="148"/>
        <v>304.94365539329362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-6.2527760746888816E-13</v>
      </c>
      <c r="CU143" s="18">
        <f>CT143*VLOOKUP('Données projet'!$B$13,Paramètres!$A$1:$I$89,3,0)*VLOOKUP('Données projet'!$B$13,Paramètres!$A$1:$I$89,5,0)</f>
        <v>-2.9262992029543964E-13</v>
      </c>
      <c r="CV143" s="14" t="e">
        <f t="shared" si="149"/>
        <v>#NUM!</v>
      </c>
      <c r="CW143" s="22" t="e">
        <f t="shared" si="121"/>
        <v>#NUM!</v>
      </c>
      <c r="CX143" s="60" t="e">
        <f t="shared" si="122"/>
        <v>#NUM!</v>
      </c>
      <c r="CY143" s="60">
        <f ca="1">AVERAGE(OFFSET($CX$3,0,0,'Données projet'!$E$13+1,1))-AVERAGE(OFFSET($H$3,0,0,'Données projet'!$E$13+1,1))</f>
        <v>277.77877239988635</v>
      </c>
      <c r="CZ143" s="60">
        <f t="shared" si="150"/>
        <v>164.65640238394164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9.7543306765146564E-14</v>
      </c>
      <c r="DQ143" s="14">
        <f t="shared" si="151"/>
        <v>1.4696264278629426E-12</v>
      </c>
      <c r="DR143" s="22">
        <f t="shared" si="124"/>
        <v>2.7294872878105889E-12</v>
      </c>
      <c r="DS143" s="60">
        <f t="shared" si="125"/>
        <v>285.42308790422709</v>
      </c>
      <c r="DT143" s="60">
        <f ca="1">AVERAGE(OFFSET($DS$3,0,0,'Données projet'!$E$14+1,1))-AVERAGE(OFFSET($H$3,0,0,'Données projet'!$E$14+1,1))</f>
        <v>354.30160274624632</v>
      </c>
      <c r="DU143" s="60">
        <f t="shared" si="152"/>
        <v>218.8005329382452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>
        <f>VLOOKUP(A143,'Données projet'!$A$191:$I$211,2,0)</f>
        <v>296</v>
      </c>
      <c r="EH143" s="13">
        <f>VLOOKUP(A143,'Données projet'!$A$191:$I$211,9,0)</f>
        <v>2.7</v>
      </c>
      <c r="EI143" s="13">
        <f t="array" ref="EI143">INDEX(EH:EH,MIN(IF(ISNUMBER(EH143:EH339),ROW(EH143:EH339),"")))</f>
        <v>2.7</v>
      </c>
      <c r="EJ143" s="13">
        <f>IF('Données projet'!$A$192&gt;35,EJ142+EI143-ER142,IF(A143&lt;'Données projet'!$A$192,$EG$205^A143,IF(A143='Données projet'!$A$192,'Données projet'!$B$192,EJ142+EI143-ER142)))</f>
        <v>295.99999999999926</v>
      </c>
      <c r="EK143" s="18">
        <f>EJ143*VLOOKUP('Données projet'!$B$15,Paramètres!$A$1:$I$89,3,0)*VLOOKUP('Données projet'!$B$15,Paramètres!$A$1:$I$89,5,0)</f>
        <v>286.29119999999926</v>
      </c>
      <c r="EL143" s="14">
        <f t="shared" si="153"/>
        <v>68.294796094604223</v>
      </c>
      <c r="EM143" s="22">
        <f t="shared" si="127"/>
        <v>617.57060986476779</v>
      </c>
      <c r="EN143" s="60">
        <f t="shared" si="128"/>
        <v>902.99369776899221</v>
      </c>
      <c r="EO143" s="60">
        <f ca="1">AVERAGE(OFFSET($EN$3,0,0,'Données projet'!$E$15+1,1))-AVERAGE(OFFSET($H$3,0,0,'Données projet'!$E$15+1,1))</f>
        <v>496.33873798282525</v>
      </c>
      <c r="EP143" s="60">
        <f t="shared" si="154"/>
        <v>280.25465074992246</v>
      </c>
      <c r="EQ143" s="16">
        <f>IF(ISNA(VLOOKUP(A143,'Données projet'!$A$191:$I$211,3,0)),0,VLOOKUP(A143,'Données projet'!$A$191:$I$211,3,0))</f>
        <v>12</v>
      </c>
      <c r="ER143" s="16">
        <f>IF(ISNA(VLOOKUP(A143,'Données projet'!$A$191:$I$211,4,0)),0,VLOOKUP(A143,'Données projet'!$A$191:$I$211,4,0))</f>
        <v>27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3.4106051316484809E-13</v>
      </c>
      <c r="FF143" s="18">
        <f>FE143*VLOOKUP('Données projet'!$B$16,Paramètres!$A$1:$I$89,3,0)*VLOOKUP('Données projet'!$B$16,Paramètres!$A$1:$I$89,5,0)</f>
        <v>2.7666828827932479E-13</v>
      </c>
      <c r="FG143" s="14">
        <f t="shared" si="155"/>
        <v>3.6920483163466686E-12</v>
      </c>
      <c r="FH143" s="22">
        <f t="shared" si="130"/>
        <v>6.9121814197236049E-12</v>
      </c>
      <c r="FI143" s="60">
        <f t="shared" si="131"/>
        <v>285.42308790423129</v>
      </c>
      <c r="FJ143" s="60">
        <f ca="1">AVERAGE(OFFSET($FI$3,0,0,'Données projet'!$E$16+1,1))-AVERAGE(OFFSET($H$3,0,0,'Données projet'!$E$16+1,1))</f>
        <v>341.66430955115521</v>
      </c>
      <c r="FK143" s="60">
        <f t="shared" si="156"/>
        <v>366.15174925159192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3.4106051316484809E-13</v>
      </c>
      <c r="GA143" s="18">
        <f>FZ143*VLOOKUP('Données projet'!$B$17,Paramètres!$A$1:$I$89,3,0)*VLOOKUP('Données projet'!$B$17,Paramètres!$A$1:$I$89,5,0)</f>
        <v>2.5006556825246659E-13</v>
      </c>
      <c r="GB143" s="14">
        <f t="shared" si="157"/>
        <v>3.3765445850268018E-12</v>
      </c>
      <c r="GC143" s="22">
        <f t="shared" si="133"/>
        <v>6.3163460169613921E-12</v>
      </c>
      <c r="GD143" s="60">
        <f t="shared" si="134"/>
        <v>285.42308790423067</v>
      </c>
      <c r="GE143" s="60">
        <f ca="1">AVERAGE(OFFSET($GD$3,0,0,'Données projet'!$E$17+1,1))-AVERAGE(OFFSET($H$3,0,0,'Données projet'!$E$17+1,1))</f>
        <v>314.58662400031631</v>
      </c>
      <c r="GF143" s="60">
        <f t="shared" si="158"/>
        <v>336.99073123405981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4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275.19959999999924</v>
      </c>
      <c r="P144" s="14">
        <f t="shared" si="141"/>
        <v>65.951527620662489</v>
      </c>
      <c r="Q144" s="22">
        <f t="shared" si="108"/>
        <v>594.17154727265245</v>
      </c>
      <c r="R144" s="60">
        <f t="shared" si="109"/>
        <v>879.73186025041241</v>
      </c>
      <c r="S144" s="60">
        <f ca="1">AVERAGE(OFFSET($R$3,0,0,'Données projet'!$E$9+1,1))-AVERAGE(OFFSET($H$3,0,0,'Données projet'!$E$9+1,1))</f>
        <v>516.30971934066179</v>
      </c>
      <c r="T144" s="60">
        <f t="shared" si="142"/>
        <v>290.84286505723571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-5.1159076974727213E-13</v>
      </c>
      <c r="AJ144" s="14">
        <f>AI144*VLOOKUP('Données projet'!$B$10,Paramètres!$A$1:$I$89,3,0)*VLOOKUP('Données projet'!$B$10,Paramètres!$A$1:$I$89,5,0)</f>
        <v>-5.3471467253984886E-13</v>
      </c>
      <c r="AK144" s="14" t="e">
        <f t="shared" si="143"/>
        <v>#NUM!</v>
      </c>
      <c r="AL144" s="22" t="e">
        <f t="shared" si="112"/>
        <v>#NUM!</v>
      </c>
      <c r="AM144" s="60" t="e">
        <f t="shared" si="113"/>
        <v>#NUM!</v>
      </c>
      <c r="AN144" s="60">
        <f ca="1">AVERAGE(OFFSET($AM$3,0,0,'Données projet'!$E$10+1,1))-AVERAGE(OFFSET($H$3,0,0,'Données projet'!$E$10+1,1))</f>
        <v>529.00505223594837</v>
      </c>
      <c r="AO144" s="60">
        <f t="shared" si="144"/>
        <v>321.23004033257985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2.9795046430081134E-13</v>
      </c>
      <c r="BF144" s="14">
        <f t="shared" si="145"/>
        <v>3.9419014464513778E-12</v>
      </c>
      <c r="BG144" s="22">
        <f t="shared" si="115"/>
        <v>7.384408744560063E-12</v>
      </c>
      <c r="BH144" s="60">
        <f t="shared" si="116"/>
        <v>285.56031297776741</v>
      </c>
      <c r="BI144" s="60">
        <f ca="1">AVERAGE(OFFSET($BH$3,0,0,'Données projet'!$E$11+1,1))-AVERAGE(OFFSET($H$3,0,0,'Données projet'!$E$11+1,1))</f>
        <v>363.28611056308665</v>
      </c>
      <c r="BJ144" s="60">
        <f t="shared" si="146"/>
        <v>389.43647559455974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271.39999999999924</v>
      </c>
      <c r="BZ144" s="14">
        <f>BY144*VLOOKUP('Données projet'!$B$12,Paramètres!$A$1:$I$89,3,0)*VLOOKUP('Données projet'!$B$12,Paramètres!$A$1:$I$89,5,0)</f>
        <v>292.13495999999913</v>
      </c>
      <c r="CA144" s="14">
        <f t="shared" si="147"/>
        <v>69.525108311202104</v>
      </c>
      <c r="CB144" s="22">
        <f t="shared" si="118"/>
        <v>629.89128564200882</v>
      </c>
      <c r="CC144" s="60">
        <f t="shared" si="119"/>
        <v>915.4515986197689</v>
      </c>
      <c r="CD144" s="60">
        <f ca="1">AVERAGE(OFFSET($CC$3,0,0,'Données projet'!$E$12+1,1))-AVERAGE(OFFSET($H$3,0,0,'Données projet'!$E$12+1,1))</f>
        <v>542.90832990875208</v>
      </c>
      <c r="CE144" s="60">
        <f t="shared" si="148"/>
        <v>304.94365539329362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-6.2527760746888816E-13</v>
      </c>
      <c r="CU144" s="18">
        <f>CT144*VLOOKUP('Données projet'!$B$13,Paramètres!$A$1:$I$89,3,0)*VLOOKUP('Données projet'!$B$13,Paramètres!$A$1:$I$89,5,0)</f>
        <v>-2.9262992029543964E-13</v>
      </c>
      <c r="CV144" s="14" t="e">
        <f t="shared" si="149"/>
        <v>#NUM!</v>
      </c>
      <c r="CW144" s="22" t="e">
        <f t="shared" si="121"/>
        <v>#NUM!</v>
      </c>
      <c r="CX144" s="60" t="e">
        <f t="shared" si="122"/>
        <v>#NUM!</v>
      </c>
      <c r="CY144" s="60">
        <f ca="1">AVERAGE(OFFSET($CX$3,0,0,'Données projet'!$E$13+1,1))-AVERAGE(OFFSET($H$3,0,0,'Données projet'!$E$13+1,1))</f>
        <v>277.77877239988635</v>
      </c>
      <c r="CZ144" s="60">
        <f t="shared" si="150"/>
        <v>164.65640238394164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9.7543306765146564E-14</v>
      </c>
      <c r="DQ144" s="14">
        <f t="shared" si="151"/>
        <v>1.4696264278629426E-12</v>
      </c>
      <c r="DR144" s="22">
        <f t="shared" si="124"/>
        <v>2.7294872878105889E-12</v>
      </c>
      <c r="DS144" s="60">
        <f t="shared" si="125"/>
        <v>285.56031297776275</v>
      </c>
      <c r="DT144" s="60">
        <f ca="1">AVERAGE(OFFSET($DS$3,0,0,'Données projet'!$E$14+1,1))-AVERAGE(OFFSET($H$3,0,0,'Données projet'!$E$14+1,1))</f>
        <v>354.30160274624632</v>
      </c>
      <c r="DU144" s="60">
        <f t="shared" si="152"/>
        <v>218.8005329382452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2.4</v>
      </c>
      <c r="EJ144" s="13">
        <f>IF('Données projet'!$A$192&gt;35,EJ143+EI144-ER143,IF(A144&lt;'Données projet'!$A$192,$EG$205^A144,IF(A144='Données projet'!$A$192,'Données projet'!$B$192,EJ143+EI144-ER143)))</f>
        <v>271.39999999999924</v>
      </c>
      <c r="EK144" s="18">
        <f>EJ144*VLOOKUP('Données projet'!$B$15,Paramètres!$A$1:$I$89,3,0)*VLOOKUP('Données projet'!$B$15,Paramètres!$A$1:$I$89,5,0)</f>
        <v>262.49807999999928</v>
      </c>
      <c r="EL144" s="14">
        <f t="shared" si="153"/>
        <v>63.254570961137979</v>
      </c>
      <c r="EM144" s="22">
        <f t="shared" si="127"/>
        <v>567.35253375731406</v>
      </c>
      <c r="EN144" s="60">
        <f t="shared" si="128"/>
        <v>852.91284673507403</v>
      </c>
      <c r="EO144" s="60">
        <f ca="1">AVERAGE(OFFSET($EN$3,0,0,'Données projet'!$E$15+1,1))-AVERAGE(OFFSET($H$3,0,0,'Données projet'!$E$15+1,1))</f>
        <v>496.33873798282525</v>
      </c>
      <c r="EP144" s="60">
        <f t="shared" si="154"/>
        <v>280.25465074992246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3.4106051316484809E-13</v>
      </c>
      <c r="FF144" s="18">
        <f>FE144*VLOOKUP('Données projet'!$B$16,Paramètres!$A$1:$I$89,3,0)*VLOOKUP('Données projet'!$B$16,Paramètres!$A$1:$I$89,5,0)</f>
        <v>2.7666828827932479E-13</v>
      </c>
      <c r="FG144" s="14">
        <f t="shared" si="155"/>
        <v>3.6920483163466686E-12</v>
      </c>
      <c r="FH144" s="22">
        <f t="shared" si="130"/>
        <v>6.9121814197236049E-12</v>
      </c>
      <c r="FI144" s="60">
        <f t="shared" si="131"/>
        <v>285.56031297776696</v>
      </c>
      <c r="FJ144" s="60">
        <f ca="1">AVERAGE(OFFSET($FI$3,0,0,'Données projet'!$E$16+1,1))-AVERAGE(OFFSET($H$3,0,0,'Données projet'!$E$16+1,1))</f>
        <v>341.66430955115521</v>
      </c>
      <c r="FK144" s="60">
        <f t="shared" si="156"/>
        <v>366.15174925159192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3.4106051316484809E-13</v>
      </c>
      <c r="GA144" s="18">
        <f>FZ144*VLOOKUP('Données projet'!$B$17,Paramètres!$A$1:$I$89,3,0)*VLOOKUP('Données projet'!$B$17,Paramètres!$A$1:$I$89,5,0)</f>
        <v>2.5006556825246659E-13</v>
      </c>
      <c r="GB144" s="14">
        <f t="shared" si="157"/>
        <v>3.3765445850268018E-12</v>
      </c>
      <c r="GC144" s="22">
        <f t="shared" si="133"/>
        <v>6.3163460169613921E-12</v>
      </c>
      <c r="GD144" s="60">
        <f t="shared" si="134"/>
        <v>285.56031297776633</v>
      </c>
      <c r="GE144" s="60">
        <f ca="1">AVERAGE(OFFSET($GD$3,0,0,'Données projet'!$E$17+1,1))-AVERAGE(OFFSET($H$3,0,0,'Données projet'!$E$17+1,1))</f>
        <v>314.58662400031631</v>
      </c>
      <c r="GF144" s="60">
        <f t="shared" si="158"/>
        <v>336.99073123405981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4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277.63319999999919</v>
      </c>
      <c r="P145" s="14">
        <f t="shared" si="141"/>
        <v>66.466589162975524</v>
      </c>
      <c r="Q145" s="22">
        <f t="shared" si="108"/>
        <v>599.30713279218094</v>
      </c>
      <c r="R145" s="60">
        <f t="shared" si="109"/>
        <v>885.00229029524007</v>
      </c>
      <c r="S145" s="60">
        <f ca="1">AVERAGE(OFFSET($R$3,0,0,'Données projet'!$E$9+1,1))-AVERAGE(OFFSET($H$3,0,0,'Données projet'!$E$9+1,1))</f>
        <v>516.30971934066179</v>
      </c>
      <c r="T145" s="60">
        <f t="shared" si="142"/>
        <v>290.84286505723571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-5.1159076974727213E-13</v>
      </c>
      <c r="AJ145" s="14">
        <f>AI145*VLOOKUP('Données projet'!$B$10,Paramètres!$A$1:$I$89,3,0)*VLOOKUP('Données projet'!$B$10,Paramètres!$A$1:$I$89,5,0)</f>
        <v>-5.3471467253984886E-13</v>
      </c>
      <c r="AK145" s="14" t="e">
        <f t="shared" si="143"/>
        <v>#NUM!</v>
      </c>
      <c r="AL145" s="22" t="e">
        <f t="shared" si="112"/>
        <v>#NUM!</v>
      </c>
      <c r="AM145" s="60" t="e">
        <f t="shared" si="113"/>
        <v>#NUM!</v>
      </c>
      <c r="AN145" s="60">
        <f ca="1">AVERAGE(OFFSET($AM$3,0,0,'Données projet'!$E$10+1,1))-AVERAGE(OFFSET($H$3,0,0,'Données projet'!$E$10+1,1))</f>
        <v>529.00505223594837</v>
      </c>
      <c r="AO145" s="60">
        <f t="shared" si="144"/>
        <v>321.23004033257985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2.9795046430081134E-13</v>
      </c>
      <c r="BF145" s="14">
        <f t="shared" si="145"/>
        <v>3.9419014464513778E-12</v>
      </c>
      <c r="BG145" s="22">
        <f t="shared" si="115"/>
        <v>7.384408744560063E-12</v>
      </c>
      <c r="BH145" s="60">
        <f t="shared" si="116"/>
        <v>285.69515750306647</v>
      </c>
      <c r="BI145" s="60">
        <f ca="1">AVERAGE(OFFSET($BH$3,0,0,'Données projet'!$E$11+1,1))-AVERAGE(OFFSET($H$3,0,0,'Données projet'!$E$11+1,1))</f>
        <v>363.28611056308665</v>
      </c>
      <c r="BJ145" s="60">
        <f t="shared" si="146"/>
        <v>389.43647559455974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273.79999999999922</v>
      </c>
      <c r="BZ145" s="14">
        <f>BY145*VLOOKUP('Données projet'!$B$12,Paramètres!$A$1:$I$89,3,0)*VLOOKUP('Données projet'!$B$12,Paramètres!$A$1:$I$89,5,0)</f>
        <v>294.71831999999915</v>
      </c>
      <c r="CA145" s="14">
        <f t="shared" si="147"/>
        <v>70.068078441055917</v>
      </c>
      <c r="CB145" s="22">
        <f t="shared" si="118"/>
        <v>635.33631061817096</v>
      </c>
      <c r="CC145" s="60">
        <f t="shared" si="119"/>
        <v>921.03146812123009</v>
      </c>
      <c r="CD145" s="60">
        <f ca="1">AVERAGE(OFFSET($CC$3,0,0,'Données projet'!$E$12+1,1))-AVERAGE(OFFSET($H$3,0,0,'Données projet'!$E$12+1,1))</f>
        <v>542.90832990875208</v>
      </c>
      <c r="CE145" s="60">
        <f t="shared" si="148"/>
        <v>304.94365539329362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-6.2527760746888816E-13</v>
      </c>
      <c r="CU145" s="18">
        <f>CT145*VLOOKUP('Données projet'!$B$13,Paramètres!$A$1:$I$89,3,0)*VLOOKUP('Données projet'!$B$13,Paramètres!$A$1:$I$89,5,0)</f>
        <v>-2.9262992029543964E-13</v>
      </c>
      <c r="CV145" s="14" t="e">
        <f t="shared" si="149"/>
        <v>#NUM!</v>
      </c>
      <c r="CW145" s="22" t="e">
        <f t="shared" si="121"/>
        <v>#NUM!</v>
      </c>
      <c r="CX145" s="60" t="e">
        <f t="shared" si="122"/>
        <v>#NUM!</v>
      </c>
      <c r="CY145" s="60">
        <f ca="1">AVERAGE(OFFSET($CX$3,0,0,'Données projet'!$E$13+1,1))-AVERAGE(OFFSET($H$3,0,0,'Données projet'!$E$13+1,1))</f>
        <v>277.77877239988635</v>
      </c>
      <c r="CZ145" s="60">
        <f t="shared" si="150"/>
        <v>164.65640238394164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9.7543306765146564E-14</v>
      </c>
      <c r="DQ145" s="14">
        <f t="shared" si="151"/>
        <v>1.4696264278629426E-12</v>
      </c>
      <c r="DR145" s="22">
        <f t="shared" si="124"/>
        <v>2.7294872878105889E-12</v>
      </c>
      <c r="DS145" s="60">
        <f t="shared" si="125"/>
        <v>285.69515750306181</v>
      </c>
      <c r="DT145" s="60">
        <f ca="1">AVERAGE(OFFSET($DS$3,0,0,'Données projet'!$E$14+1,1))-AVERAGE(OFFSET($H$3,0,0,'Données projet'!$E$14+1,1))</f>
        <v>354.30160274624632</v>
      </c>
      <c r="DU145" s="60">
        <f t="shared" si="152"/>
        <v>218.8005329382452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2.4</v>
      </c>
      <c r="EJ145" s="13">
        <f>IF('Données projet'!$A$192&gt;35,EJ144+EI145-ER144,IF(A145&lt;'Données projet'!$A$192,$EG$205^A145,IF(A145='Données projet'!$A$192,'Données projet'!$B$192,EJ144+EI145-ER144)))</f>
        <v>273.79999999999922</v>
      </c>
      <c r="EK145" s="18">
        <f>EJ145*VLOOKUP('Données projet'!$B$15,Paramètres!$A$1:$I$89,3,0)*VLOOKUP('Données projet'!$B$15,Paramètres!$A$1:$I$89,5,0)</f>
        <v>264.81935999999928</v>
      </c>
      <c r="EL145" s="14">
        <f t="shared" si="153"/>
        <v>63.748570085236892</v>
      </c>
      <c r="EM145" s="22">
        <f t="shared" si="127"/>
        <v>572.25581156511964</v>
      </c>
      <c r="EN145" s="60">
        <f t="shared" si="128"/>
        <v>857.95096906817867</v>
      </c>
      <c r="EO145" s="60">
        <f ca="1">AVERAGE(OFFSET($EN$3,0,0,'Données projet'!$E$15+1,1))-AVERAGE(OFFSET($H$3,0,0,'Données projet'!$E$15+1,1))</f>
        <v>496.33873798282525</v>
      </c>
      <c r="EP145" s="60">
        <f t="shared" si="154"/>
        <v>280.25465074992246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3.4106051316484809E-13</v>
      </c>
      <c r="FF145" s="18">
        <f>FE145*VLOOKUP('Données projet'!$B$16,Paramètres!$A$1:$I$89,3,0)*VLOOKUP('Données projet'!$B$16,Paramètres!$A$1:$I$89,5,0)</f>
        <v>2.7666828827932479E-13</v>
      </c>
      <c r="FG145" s="14">
        <f t="shared" si="155"/>
        <v>3.6920483163466686E-12</v>
      </c>
      <c r="FH145" s="22">
        <f t="shared" si="130"/>
        <v>6.9121814197236049E-12</v>
      </c>
      <c r="FI145" s="60">
        <f t="shared" si="131"/>
        <v>285.69515750306601</v>
      </c>
      <c r="FJ145" s="60">
        <f ca="1">AVERAGE(OFFSET($FI$3,0,0,'Données projet'!$E$16+1,1))-AVERAGE(OFFSET($H$3,0,0,'Données projet'!$E$16+1,1))</f>
        <v>341.66430955115521</v>
      </c>
      <c r="FK145" s="60">
        <f t="shared" si="156"/>
        <v>366.15174925159192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3.4106051316484809E-13</v>
      </c>
      <c r="GA145" s="18">
        <f>FZ145*VLOOKUP('Données projet'!$B$17,Paramètres!$A$1:$I$89,3,0)*VLOOKUP('Données projet'!$B$17,Paramètres!$A$1:$I$89,5,0)</f>
        <v>2.5006556825246659E-13</v>
      </c>
      <c r="GB145" s="14">
        <f t="shared" si="157"/>
        <v>3.3765445850268018E-12</v>
      </c>
      <c r="GC145" s="22">
        <f t="shared" si="133"/>
        <v>6.3163460169613921E-12</v>
      </c>
      <c r="GD145" s="60">
        <f t="shared" si="134"/>
        <v>285.69515750306539</v>
      </c>
      <c r="GE145" s="60">
        <f ca="1">AVERAGE(OFFSET($GD$3,0,0,'Données projet'!$E$17+1,1))-AVERAGE(OFFSET($H$3,0,0,'Données projet'!$E$17+1,1))</f>
        <v>314.58662400031631</v>
      </c>
      <c r="GF145" s="60">
        <f t="shared" si="158"/>
        <v>336.99073123405981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4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280.0667999999992</v>
      </c>
      <c r="P146" s="14">
        <f t="shared" si="141"/>
        <v>66.981125445388756</v>
      </c>
      <c r="Q146" s="22">
        <f t="shared" si="108"/>
        <v>604.44180348405064</v>
      </c>
      <c r="R146" s="60">
        <f t="shared" si="109"/>
        <v>890.26946626136214</v>
      </c>
      <c r="S146" s="60">
        <f ca="1">AVERAGE(OFFSET($R$3,0,0,'Données projet'!$E$9+1,1))-AVERAGE(OFFSET($H$3,0,0,'Données projet'!$E$9+1,1))</f>
        <v>516.30971934066179</v>
      </c>
      <c r="T146" s="60">
        <f t="shared" si="142"/>
        <v>290.84286505723571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-5.1159076974727213E-13</v>
      </c>
      <c r="AJ146" s="14">
        <f>AI146*VLOOKUP('Données projet'!$B$10,Paramètres!$A$1:$I$89,3,0)*VLOOKUP('Données projet'!$B$10,Paramètres!$A$1:$I$89,5,0)</f>
        <v>-5.3471467253984886E-13</v>
      </c>
      <c r="AK146" s="14" t="e">
        <f t="shared" si="143"/>
        <v>#NUM!</v>
      </c>
      <c r="AL146" s="22" t="e">
        <f t="shared" si="112"/>
        <v>#NUM!</v>
      </c>
      <c r="AM146" s="60" t="e">
        <f t="shared" si="113"/>
        <v>#NUM!</v>
      </c>
      <c r="AN146" s="60">
        <f ca="1">AVERAGE(OFFSET($AM$3,0,0,'Données projet'!$E$10+1,1))-AVERAGE(OFFSET($H$3,0,0,'Données projet'!$E$10+1,1))</f>
        <v>529.00505223594837</v>
      </c>
      <c r="AO146" s="60">
        <f t="shared" si="144"/>
        <v>321.23004033257985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2.9795046430081134E-13</v>
      </c>
      <c r="BF146" s="14">
        <f t="shared" si="145"/>
        <v>3.9419014464513778E-12</v>
      </c>
      <c r="BG146" s="22">
        <f t="shared" si="115"/>
        <v>7.384408744560063E-12</v>
      </c>
      <c r="BH146" s="60">
        <f t="shared" si="116"/>
        <v>285.82766277731884</v>
      </c>
      <c r="BI146" s="60">
        <f ca="1">AVERAGE(OFFSET($BH$3,0,0,'Données projet'!$E$11+1,1))-AVERAGE(OFFSET($H$3,0,0,'Données projet'!$E$11+1,1))</f>
        <v>363.28611056308665</v>
      </c>
      <c r="BJ146" s="60">
        <f t="shared" si="146"/>
        <v>389.43647559455974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276.19999999999919</v>
      </c>
      <c r="BZ146" s="14">
        <f>BY146*VLOOKUP('Données projet'!$B$12,Paramètres!$A$1:$I$89,3,0)*VLOOKUP('Données projet'!$B$12,Paramètres!$A$1:$I$89,5,0)</f>
        <v>297.30167999999912</v>
      </c>
      <c r="CA146" s="14">
        <f t="shared" si="147"/>
        <v>70.610494849824818</v>
      </c>
      <c r="CB146" s="22">
        <f t="shared" si="118"/>
        <v>640.78037119677663</v>
      </c>
      <c r="CC146" s="60">
        <f t="shared" si="119"/>
        <v>926.60803397408813</v>
      </c>
      <c r="CD146" s="60">
        <f ca="1">AVERAGE(OFFSET($CC$3,0,0,'Données projet'!$E$12+1,1))-AVERAGE(OFFSET($H$3,0,0,'Données projet'!$E$12+1,1))</f>
        <v>542.90832990875208</v>
      </c>
      <c r="CE146" s="60">
        <f t="shared" si="148"/>
        <v>304.94365539329362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-6.2527760746888816E-13</v>
      </c>
      <c r="CU146" s="18">
        <f>CT146*VLOOKUP('Données projet'!$B$13,Paramètres!$A$1:$I$89,3,0)*VLOOKUP('Données projet'!$B$13,Paramètres!$A$1:$I$89,5,0)</f>
        <v>-2.9262992029543964E-13</v>
      </c>
      <c r="CV146" s="14" t="e">
        <f t="shared" si="149"/>
        <v>#NUM!</v>
      </c>
      <c r="CW146" s="22" t="e">
        <f t="shared" si="121"/>
        <v>#NUM!</v>
      </c>
      <c r="CX146" s="60" t="e">
        <f t="shared" si="122"/>
        <v>#NUM!</v>
      </c>
      <c r="CY146" s="60">
        <f ca="1">AVERAGE(OFFSET($CX$3,0,0,'Données projet'!$E$13+1,1))-AVERAGE(OFFSET($H$3,0,0,'Données projet'!$E$13+1,1))</f>
        <v>277.77877239988635</v>
      </c>
      <c r="CZ146" s="60">
        <f t="shared" si="150"/>
        <v>164.65640238394164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9.7543306765146564E-14</v>
      </c>
      <c r="DQ146" s="14">
        <f t="shared" si="151"/>
        <v>1.4696264278629426E-12</v>
      </c>
      <c r="DR146" s="22">
        <f t="shared" si="124"/>
        <v>2.7294872878105889E-12</v>
      </c>
      <c r="DS146" s="60">
        <f t="shared" si="125"/>
        <v>285.82766277731417</v>
      </c>
      <c r="DT146" s="60">
        <f ca="1">AVERAGE(OFFSET($DS$3,0,0,'Données projet'!$E$14+1,1))-AVERAGE(OFFSET($H$3,0,0,'Données projet'!$E$14+1,1))</f>
        <v>354.30160274624632</v>
      </c>
      <c r="DU146" s="60">
        <f t="shared" si="152"/>
        <v>218.8005329382452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2.4</v>
      </c>
      <c r="EJ146" s="13">
        <f>IF('Données projet'!$A$192&gt;35,EJ145+EI146-ER145,IF(A146&lt;'Données projet'!$A$192,$EG$205^A146,IF(A146='Données projet'!$A$192,'Données projet'!$B$192,EJ145+EI146-ER145)))</f>
        <v>276.19999999999919</v>
      </c>
      <c r="EK146" s="18">
        <f>EJ146*VLOOKUP('Données projet'!$B$15,Paramètres!$A$1:$I$89,3,0)*VLOOKUP('Données projet'!$B$15,Paramètres!$A$1:$I$89,5,0)</f>
        <v>267.14063999999922</v>
      </c>
      <c r="EL146" s="14">
        <f t="shared" si="153"/>
        <v>64.242065428895785</v>
      </c>
      <c r="EM146" s="22">
        <f t="shared" si="127"/>
        <v>577.15821195532533</v>
      </c>
      <c r="EN146" s="60">
        <f t="shared" si="128"/>
        <v>862.98587473263683</v>
      </c>
      <c r="EO146" s="60">
        <f ca="1">AVERAGE(OFFSET($EN$3,0,0,'Données projet'!$E$15+1,1))-AVERAGE(OFFSET($H$3,0,0,'Données projet'!$E$15+1,1))</f>
        <v>496.33873798282525</v>
      </c>
      <c r="EP146" s="60">
        <f t="shared" si="154"/>
        <v>280.25465074992246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3.4106051316484809E-13</v>
      </c>
      <c r="FF146" s="18">
        <f>FE146*VLOOKUP('Données projet'!$B$16,Paramètres!$A$1:$I$89,3,0)*VLOOKUP('Données projet'!$B$16,Paramètres!$A$1:$I$89,5,0)</f>
        <v>2.7666828827932479E-13</v>
      </c>
      <c r="FG146" s="14">
        <f t="shared" si="155"/>
        <v>3.6920483163466686E-12</v>
      </c>
      <c r="FH146" s="22">
        <f t="shared" si="130"/>
        <v>6.9121814197236049E-12</v>
      </c>
      <c r="FI146" s="60">
        <f t="shared" si="131"/>
        <v>285.82766277731838</v>
      </c>
      <c r="FJ146" s="60">
        <f ca="1">AVERAGE(OFFSET($FI$3,0,0,'Données projet'!$E$16+1,1))-AVERAGE(OFFSET($H$3,0,0,'Données projet'!$E$16+1,1))</f>
        <v>341.66430955115521</v>
      </c>
      <c r="FK146" s="60">
        <f t="shared" si="156"/>
        <v>366.15174925159192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3.4106051316484809E-13</v>
      </c>
      <c r="GA146" s="18">
        <f>FZ146*VLOOKUP('Données projet'!$B$17,Paramètres!$A$1:$I$89,3,0)*VLOOKUP('Données projet'!$B$17,Paramètres!$A$1:$I$89,5,0)</f>
        <v>2.5006556825246659E-13</v>
      </c>
      <c r="GB146" s="14">
        <f t="shared" si="157"/>
        <v>3.3765445850268018E-12</v>
      </c>
      <c r="GC146" s="22">
        <f t="shared" si="133"/>
        <v>6.3163460169613921E-12</v>
      </c>
      <c r="GD146" s="60">
        <f t="shared" si="134"/>
        <v>285.82766277731776</v>
      </c>
      <c r="GE146" s="60">
        <f ca="1">AVERAGE(OFFSET($GD$3,0,0,'Données projet'!$E$17+1,1))-AVERAGE(OFFSET($H$3,0,0,'Données projet'!$E$17+1,1))</f>
        <v>314.58662400031631</v>
      </c>
      <c r="GF146" s="60">
        <f t="shared" si="158"/>
        <v>336.99073123405981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4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282.50039999999916</v>
      </c>
      <c r="P147" s="14">
        <f t="shared" si="141"/>
        <v>67.495141560894254</v>
      </c>
      <c r="Q147" s="22">
        <f t="shared" si="108"/>
        <v>609.57556821855599</v>
      </c>
      <c r="R147" s="60">
        <f t="shared" si="109"/>
        <v>895.53343759984887</v>
      </c>
      <c r="S147" s="60">
        <f ca="1">AVERAGE(OFFSET($R$3,0,0,'Données projet'!$E$9+1,1))-AVERAGE(OFFSET($H$3,0,0,'Données projet'!$E$9+1,1))</f>
        <v>516.30971934066179</v>
      </c>
      <c r="T147" s="60">
        <f t="shared" si="142"/>
        <v>290.84286505723571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-5.1159076974727213E-13</v>
      </c>
      <c r="AJ147" s="14">
        <f>AI147*VLOOKUP('Données projet'!$B$10,Paramètres!$A$1:$I$89,3,0)*VLOOKUP('Données projet'!$B$10,Paramètres!$A$1:$I$89,5,0)</f>
        <v>-5.3471467253984886E-13</v>
      </c>
      <c r="AK147" s="14" t="e">
        <f t="shared" si="143"/>
        <v>#NUM!</v>
      </c>
      <c r="AL147" s="22" t="e">
        <f t="shared" si="112"/>
        <v>#NUM!</v>
      </c>
      <c r="AM147" s="60" t="e">
        <f t="shared" si="113"/>
        <v>#NUM!</v>
      </c>
      <c r="AN147" s="60">
        <f ca="1">AVERAGE(OFFSET($AM$3,0,0,'Données projet'!$E$10+1,1))-AVERAGE(OFFSET($H$3,0,0,'Données projet'!$E$10+1,1))</f>
        <v>529.00505223594837</v>
      </c>
      <c r="AO147" s="60">
        <f t="shared" si="144"/>
        <v>321.23004033257985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2.9795046430081134E-13</v>
      </c>
      <c r="BF147" s="14">
        <f t="shared" si="145"/>
        <v>3.9419014464513778E-12</v>
      </c>
      <c r="BG147" s="22">
        <f t="shared" si="115"/>
        <v>7.384408744560063E-12</v>
      </c>
      <c r="BH147" s="60">
        <f t="shared" si="116"/>
        <v>285.95786938130027</v>
      </c>
      <c r="BI147" s="60">
        <f ca="1">AVERAGE(OFFSET($BH$3,0,0,'Données projet'!$E$11+1,1))-AVERAGE(OFFSET($H$3,0,0,'Données projet'!$E$11+1,1))</f>
        <v>363.28611056308665</v>
      </c>
      <c r="BJ147" s="60">
        <f t="shared" si="146"/>
        <v>389.43647559455974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278.59999999999917</v>
      </c>
      <c r="BZ147" s="14">
        <f>BY147*VLOOKUP('Données projet'!$B$12,Paramètres!$A$1:$I$89,3,0)*VLOOKUP('Données projet'!$B$12,Paramètres!$A$1:$I$89,5,0)</f>
        <v>299.88503999999909</v>
      </c>
      <c r="CA147" s="14">
        <f t="shared" si="147"/>
        <v>71.152362906464447</v>
      </c>
      <c r="CB147" s="22">
        <f t="shared" si="118"/>
        <v>646.2234767287573</v>
      </c>
      <c r="CC147" s="60">
        <f t="shared" si="119"/>
        <v>932.18134611005019</v>
      </c>
      <c r="CD147" s="60">
        <f ca="1">AVERAGE(OFFSET($CC$3,0,0,'Données projet'!$E$12+1,1))-AVERAGE(OFFSET($H$3,0,0,'Données projet'!$E$12+1,1))</f>
        <v>542.90832990875208</v>
      </c>
      <c r="CE147" s="60">
        <f t="shared" si="148"/>
        <v>304.94365539329362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-6.2527760746888816E-13</v>
      </c>
      <c r="CU147" s="18">
        <f>CT147*VLOOKUP('Données projet'!$B$13,Paramètres!$A$1:$I$89,3,0)*VLOOKUP('Données projet'!$B$13,Paramètres!$A$1:$I$89,5,0)</f>
        <v>-2.9262992029543964E-13</v>
      </c>
      <c r="CV147" s="14" t="e">
        <f t="shared" si="149"/>
        <v>#NUM!</v>
      </c>
      <c r="CW147" s="22" t="e">
        <f t="shared" si="121"/>
        <v>#NUM!</v>
      </c>
      <c r="CX147" s="60" t="e">
        <f t="shared" si="122"/>
        <v>#NUM!</v>
      </c>
      <c r="CY147" s="60">
        <f ca="1">AVERAGE(OFFSET($CX$3,0,0,'Données projet'!$E$13+1,1))-AVERAGE(OFFSET($H$3,0,0,'Données projet'!$E$13+1,1))</f>
        <v>277.77877239988635</v>
      </c>
      <c r="CZ147" s="60">
        <f t="shared" si="150"/>
        <v>164.65640238394164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9.7543306765146564E-14</v>
      </c>
      <c r="DQ147" s="14">
        <f t="shared" si="151"/>
        <v>1.4696264278629426E-12</v>
      </c>
      <c r="DR147" s="22">
        <f t="shared" si="124"/>
        <v>2.7294872878105889E-12</v>
      </c>
      <c r="DS147" s="60">
        <f t="shared" si="125"/>
        <v>285.95786938129561</v>
      </c>
      <c r="DT147" s="60">
        <f ca="1">AVERAGE(OFFSET($DS$3,0,0,'Données projet'!$E$14+1,1))-AVERAGE(OFFSET($H$3,0,0,'Données projet'!$E$14+1,1))</f>
        <v>354.30160274624632</v>
      </c>
      <c r="DU147" s="60">
        <f t="shared" si="152"/>
        <v>218.8005329382452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2.4</v>
      </c>
      <c r="EJ147" s="13">
        <f>IF('Données projet'!$A$192&gt;35,EJ146+EI147-ER146,IF(A147&lt;'Données projet'!$A$192,$EG$205^A147,IF(A147='Données projet'!$A$192,'Données projet'!$B$192,EJ146+EI147-ER146)))</f>
        <v>278.59999999999917</v>
      </c>
      <c r="EK147" s="18">
        <f>EJ147*VLOOKUP('Données projet'!$B$15,Paramètres!$A$1:$I$89,3,0)*VLOOKUP('Données projet'!$B$15,Paramètres!$A$1:$I$89,5,0)</f>
        <v>269.46191999999922</v>
      </c>
      <c r="EL147" s="14">
        <f t="shared" si="153"/>
        <v>64.735061876838927</v>
      </c>
      <c r="EM147" s="22">
        <f t="shared" si="127"/>
        <v>582.05974343549315</v>
      </c>
      <c r="EN147" s="60">
        <f t="shared" si="128"/>
        <v>868.01761281678603</v>
      </c>
      <c r="EO147" s="60">
        <f ca="1">AVERAGE(OFFSET($EN$3,0,0,'Données projet'!$E$15+1,1))-AVERAGE(OFFSET($H$3,0,0,'Données projet'!$E$15+1,1))</f>
        <v>496.33873798282525</v>
      </c>
      <c r="EP147" s="60">
        <f t="shared" si="154"/>
        <v>280.25465074992246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3.4106051316484809E-13</v>
      </c>
      <c r="FF147" s="18">
        <f>FE147*VLOOKUP('Données projet'!$B$16,Paramètres!$A$1:$I$89,3,0)*VLOOKUP('Données projet'!$B$16,Paramètres!$A$1:$I$89,5,0)</f>
        <v>2.7666828827932479E-13</v>
      </c>
      <c r="FG147" s="14">
        <f t="shared" si="155"/>
        <v>3.6920483163466686E-12</v>
      </c>
      <c r="FH147" s="22">
        <f t="shared" si="130"/>
        <v>6.9121814197236049E-12</v>
      </c>
      <c r="FI147" s="60">
        <f t="shared" si="131"/>
        <v>285.95786938129982</v>
      </c>
      <c r="FJ147" s="60">
        <f ca="1">AVERAGE(OFFSET($FI$3,0,0,'Données projet'!$E$16+1,1))-AVERAGE(OFFSET($H$3,0,0,'Données projet'!$E$16+1,1))</f>
        <v>341.66430955115521</v>
      </c>
      <c r="FK147" s="60">
        <f t="shared" si="156"/>
        <v>366.15174925159192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3.4106051316484809E-13</v>
      </c>
      <c r="GA147" s="18">
        <f>FZ147*VLOOKUP('Données projet'!$B$17,Paramètres!$A$1:$I$89,3,0)*VLOOKUP('Données projet'!$B$17,Paramètres!$A$1:$I$89,5,0)</f>
        <v>2.5006556825246659E-13</v>
      </c>
      <c r="GB147" s="14">
        <f t="shared" si="157"/>
        <v>3.3765445850268018E-12</v>
      </c>
      <c r="GC147" s="22">
        <f t="shared" si="133"/>
        <v>6.3163460169613921E-12</v>
      </c>
      <c r="GD147" s="60">
        <f t="shared" si="134"/>
        <v>285.95786938129919</v>
      </c>
      <c r="GE147" s="60">
        <f ca="1">AVERAGE(OFFSET($GD$3,0,0,'Données projet'!$E$17+1,1))-AVERAGE(OFFSET($H$3,0,0,'Données projet'!$E$17+1,1))</f>
        <v>314.58662400031631</v>
      </c>
      <c r="GF147" s="60">
        <f t="shared" si="158"/>
        <v>336.99073123405981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4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284.93399999999917</v>
      </c>
      <c r="P148" s="14">
        <f t="shared" si="141"/>
        <v>68.008642509673109</v>
      </c>
      <c r="Q148" s="22">
        <f t="shared" si="108"/>
        <v>614.7084357043459</v>
      </c>
      <c r="R148" s="60">
        <f t="shared" si="109"/>
        <v>900.79425289613948</v>
      </c>
      <c r="S148" s="60">
        <f ca="1">AVERAGE(OFFSET($R$3,0,0,'Données projet'!$E$9+1,1))-AVERAGE(OFFSET($H$3,0,0,'Données projet'!$E$9+1,1))</f>
        <v>516.30971934066179</v>
      </c>
      <c r="T148" s="60">
        <f t="shared" si="142"/>
        <v>290.84286505723571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-5.1159076974727213E-13</v>
      </c>
      <c r="AJ148" s="14">
        <f>AI148*VLOOKUP('Données projet'!$B$10,Paramètres!$A$1:$I$89,3,0)*VLOOKUP('Données projet'!$B$10,Paramètres!$A$1:$I$89,5,0)</f>
        <v>-5.3471467253984886E-13</v>
      </c>
      <c r="AK148" s="14" t="e">
        <f t="shared" si="143"/>
        <v>#NUM!</v>
      </c>
      <c r="AL148" s="22" t="e">
        <f t="shared" si="112"/>
        <v>#NUM!</v>
      </c>
      <c r="AM148" s="60" t="e">
        <f t="shared" si="113"/>
        <v>#NUM!</v>
      </c>
      <c r="AN148" s="60">
        <f ca="1">AVERAGE(OFFSET($AM$3,0,0,'Données projet'!$E$10+1,1))-AVERAGE(OFFSET($H$3,0,0,'Données projet'!$E$10+1,1))</f>
        <v>529.00505223594837</v>
      </c>
      <c r="AO148" s="60">
        <f t="shared" si="144"/>
        <v>321.23004033257985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2.9795046430081134E-13</v>
      </c>
      <c r="BF148" s="14">
        <f t="shared" si="145"/>
        <v>3.9419014464513778E-12</v>
      </c>
      <c r="BG148" s="22">
        <f t="shared" si="115"/>
        <v>7.384408744560063E-12</v>
      </c>
      <c r="BH148" s="60">
        <f t="shared" si="116"/>
        <v>286.08581719180097</v>
      </c>
      <c r="BI148" s="60">
        <f ca="1">AVERAGE(OFFSET($BH$3,0,0,'Données projet'!$E$11+1,1))-AVERAGE(OFFSET($H$3,0,0,'Données projet'!$E$11+1,1))</f>
        <v>363.28611056308665</v>
      </c>
      <c r="BJ148" s="60">
        <f t="shared" si="146"/>
        <v>389.43647559455974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280.99999999999915</v>
      </c>
      <c r="BZ148" s="14">
        <f>BY148*VLOOKUP('Données projet'!$B$12,Paramètres!$A$1:$I$89,3,0)*VLOOKUP('Données projet'!$B$12,Paramètres!$A$1:$I$89,5,0)</f>
        <v>302.46839999999906</v>
      </c>
      <c r="CA148" s="14">
        <f t="shared" si="147"/>
        <v>71.693687882090543</v>
      </c>
      <c r="CB148" s="22">
        <f t="shared" si="118"/>
        <v>651.66563639463936</v>
      </c>
      <c r="CC148" s="60">
        <f t="shared" si="119"/>
        <v>937.75145358643294</v>
      </c>
      <c r="CD148" s="60">
        <f ca="1">AVERAGE(OFFSET($CC$3,0,0,'Données projet'!$E$12+1,1))-AVERAGE(OFFSET($H$3,0,0,'Données projet'!$E$12+1,1))</f>
        <v>542.90832990875208</v>
      </c>
      <c r="CE148" s="60">
        <f t="shared" si="148"/>
        <v>304.94365539329362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-6.2527760746888816E-13</v>
      </c>
      <c r="CU148" s="18">
        <f>CT148*VLOOKUP('Données projet'!$B$13,Paramètres!$A$1:$I$89,3,0)*VLOOKUP('Données projet'!$B$13,Paramètres!$A$1:$I$89,5,0)</f>
        <v>-2.9262992029543964E-13</v>
      </c>
      <c r="CV148" s="14" t="e">
        <f t="shared" si="149"/>
        <v>#NUM!</v>
      </c>
      <c r="CW148" s="22" t="e">
        <f t="shared" si="121"/>
        <v>#NUM!</v>
      </c>
      <c r="CX148" s="60" t="e">
        <f t="shared" si="122"/>
        <v>#NUM!</v>
      </c>
      <c r="CY148" s="60">
        <f ca="1">AVERAGE(OFFSET($CX$3,0,0,'Données projet'!$E$13+1,1))-AVERAGE(OFFSET($H$3,0,0,'Données projet'!$E$13+1,1))</f>
        <v>277.77877239988635</v>
      </c>
      <c r="CZ148" s="60">
        <f t="shared" si="150"/>
        <v>164.65640238394164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9.7543306765146564E-14</v>
      </c>
      <c r="DQ148" s="14">
        <f t="shared" si="151"/>
        <v>1.4696264278629426E-12</v>
      </c>
      <c r="DR148" s="22">
        <f t="shared" si="124"/>
        <v>2.7294872878105889E-12</v>
      </c>
      <c r="DS148" s="60">
        <f t="shared" si="125"/>
        <v>286.08581719179631</v>
      </c>
      <c r="DT148" s="60">
        <f ca="1">AVERAGE(OFFSET($DS$3,0,0,'Données projet'!$E$14+1,1))-AVERAGE(OFFSET($H$3,0,0,'Données projet'!$E$14+1,1))</f>
        <v>354.30160274624632</v>
      </c>
      <c r="DU148" s="60">
        <f t="shared" si="152"/>
        <v>218.8005329382452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2.4</v>
      </c>
      <c r="EJ148" s="13">
        <f>IF('Données projet'!$A$192&gt;35,EJ147+EI148-ER147,IF(A148&lt;'Données projet'!$A$192,$EG$205^A148,IF(A148='Données projet'!$A$192,'Données projet'!$B$192,EJ147+EI148-ER147)))</f>
        <v>280.99999999999915</v>
      </c>
      <c r="EK148" s="18">
        <f>EJ148*VLOOKUP('Données projet'!$B$15,Paramètres!$A$1:$I$89,3,0)*VLOOKUP('Données projet'!$B$15,Paramètres!$A$1:$I$89,5,0)</f>
        <v>271.78319999999917</v>
      </c>
      <c r="EL148" s="14">
        <f t="shared" si="153"/>
        <v>65.227564224775008</v>
      </c>
      <c r="EM148" s="22">
        <f t="shared" si="127"/>
        <v>586.96041435814834</v>
      </c>
      <c r="EN148" s="60">
        <f t="shared" si="128"/>
        <v>873.04623154994192</v>
      </c>
      <c r="EO148" s="60">
        <f ca="1">AVERAGE(OFFSET($EN$3,0,0,'Données projet'!$E$15+1,1))-AVERAGE(OFFSET($H$3,0,0,'Données projet'!$E$15+1,1))</f>
        <v>496.33873798282525</v>
      </c>
      <c r="EP148" s="60">
        <f t="shared" si="154"/>
        <v>280.25465074992246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3.4106051316484809E-13</v>
      </c>
      <c r="FF148" s="18">
        <f>FE148*VLOOKUP('Données projet'!$B$16,Paramètres!$A$1:$I$89,3,0)*VLOOKUP('Données projet'!$B$16,Paramètres!$A$1:$I$89,5,0)</f>
        <v>2.7666828827932479E-13</v>
      </c>
      <c r="FG148" s="14">
        <f t="shared" si="155"/>
        <v>3.6920483163466686E-12</v>
      </c>
      <c r="FH148" s="22">
        <f t="shared" si="130"/>
        <v>6.9121814197236049E-12</v>
      </c>
      <c r="FI148" s="60">
        <f t="shared" si="131"/>
        <v>286.08581719180052</v>
      </c>
      <c r="FJ148" s="60">
        <f ca="1">AVERAGE(OFFSET($FI$3,0,0,'Données projet'!$E$16+1,1))-AVERAGE(OFFSET($H$3,0,0,'Données projet'!$E$16+1,1))</f>
        <v>341.66430955115521</v>
      </c>
      <c r="FK148" s="60">
        <f t="shared" si="156"/>
        <v>366.15174925159192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3.4106051316484809E-13</v>
      </c>
      <c r="GA148" s="18">
        <f>FZ148*VLOOKUP('Données projet'!$B$17,Paramètres!$A$1:$I$89,3,0)*VLOOKUP('Données projet'!$B$17,Paramètres!$A$1:$I$89,5,0)</f>
        <v>2.5006556825246659E-13</v>
      </c>
      <c r="GB148" s="14">
        <f t="shared" si="157"/>
        <v>3.3765445850268018E-12</v>
      </c>
      <c r="GC148" s="22">
        <f t="shared" si="133"/>
        <v>6.3163460169613921E-12</v>
      </c>
      <c r="GD148" s="60">
        <f t="shared" si="134"/>
        <v>286.08581719179989</v>
      </c>
      <c r="GE148" s="60">
        <f ca="1">AVERAGE(OFFSET($GD$3,0,0,'Données projet'!$E$17+1,1))-AVERAGE(OFFSET($H$3,0,0,'Données projet'!$E$17+1,1))</f>
        <v>314.58662400031631</v>
      </c>
      <c r="GF148" s="60">
        <f t="shared" si="158"/>
        <v>336.99073123405981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4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287.36759999999913</v>
      </c>
      <c r="P149" s="14">
        <f t="shared" si="141"/>
        <v>68.521633201564995</v>
      </c>
      <c r="Q149" s="22">
        <f t="shared" si="108"/>
        <v>619.84041449272411</v>
      </c>
      <c r="R149" s="60">
        <f t="shared" si="109"/>
        <v>906.05195988655476</v>
      </c>
      <c r="S149" s="60">
        <f ca="1">AVERAGE(OFFSET($R$3,0,0,'Données projet'!$E$9+1,1))-AVERAGE(OFFSET($H$3,0,0,'Données projet'!$E$9+1,1))</f>
        <v>516.30971934066179</v>
      </c>
      <c r="T149" s="60">
        <f t="shared" si="142"/>
        <v>290.84286505723571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-5.1159076974727213E-13</v>
      </c>
      <c r="AJ149" s="14">
        <f>AI149*VLOOKUP('Données projet'!$B$10,Paramètres!$A$1:$I$89,3,0)*VLOOKUP('Données projet'!$B$10,Paramètres!$A$1:$I$89,5,0)</f>
        <v>-5.3471467253984886E-13</v>
      </c>
      <c r="AK149" s="14" t="e">
        <f t="shared" si="143"/>
        <v>#NUM!</v>
      </c>
      <c r="AL149" s="22" t="e">
        <f t="shared" si="112"/>
        <v>#NUM!</v>
      </c>
      <c r="AM149" s="60" t="e">
        <f t="shared" si="113"/>
        <v>#NUM!</v>
      </c>
      <c r="AN149" s="60">
        <f ca="1">AVERAGE(OFFSET($AM$3,0,0,'Données projet'!$E$10+1,1))-AVERAGE(OFFSET($H$3,0,0,'Données projet'!$E$10+1,1))</f>
        <v>529.00505223594837</v>
      </c>
      <c r="AO149" s="60">
        <f t="shared" si="144"/>
        <v>321.23004033257985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2.9795046430081134E-13</v>
      </c>
      <c r="BF149" s="14">
        <f t="shared" si="145"/>
        <v>3.9419014464513778E-12</v>
      </c>
      <c r="BG149" s="22">
        <f t="shared" si="115"/>
        <v>7.384408744560063E-12</v>
      </c>
      <c r="BH149" s="60">
        <f t="shared" si="116"/>
        <v>286.21154539383804</v>
      </c>
      <c r="BI149" s="60">
        <f ca="1">AVERAGE(OFFSET($BH$3,0,0,'Données projet'!$E$11+1,1))-AVERAGE(OFFSET($H$3,0,0,'Données projet'!$E$11+1,1))</f>
        <v>363.28611056308665</v>
      </c>
      <c r="BJ149" s="60">
        <f t="shared" si="146"/>
        <v>389.43647559455974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283.39999999999912</v>
      </c>
      <c r="BZ149" s="14">
        <f>BY149*VLOOKUP('Données projet'!$B$12,Paramètres!$A$1:$I$89,3,0)*VLOOKUP('Données projet'!$B$12,Paramètres!$A$1:$I$89,5,0)</f>
        <v>305.05175999999904</v>
      </c>
      <c r="CA149" s="14">
        <f t="shared" si="147"/>
        <v>72.234474952581991</v>
      </c>
      <c r="CB149" s="22">
        <f t="shared" si="118"/>
        <v>657.10685920907861</v>
      </c>
      <c r="CC149" s="60">
        <f t="shared" si="119"/>
        <v>943.31840460290925</v>
      </c>
      <c r="CD149" s="60">
        <f ca="1">AVERAGE(OFFSET($CC$3,0,0,'Données projet'!$E$12+1,1))-AVERAGE(OFFSET($H$3,0,0,'Données projet'!$E$12+1,1))</f>
        <v>542.90832990875208</v>
      </c>
      <c r="CE149" s="60">
        <f t="shared" si="148"/>
        <v>304.94365539329362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-6.2527760746888816E-13</v>
      </c>
      <c r="CU149" s="18">
        <f>CT149*VLOOKUP('Données projet'!$B$13,Paramètres!$A$1:$I$89,3,0)*VLOOKUP('Données projet'!$B$13,Paramètres!$A$1:$I$89,5,0)</f>
        <v>-2.9262992029543964E-13</v>
      </c>
      <c r="CV149" s="14" t="e">
        <f t="shared" si="149"/>
        <v>#NUM!</v>
      </c>
      <c r="CW149" s="22" t="e">
        <f t="shared" si="121"/>
        <v>#NUM!</v>
      </c>
      <c r="CX149" s="60" t="e">
        <f t="shared" si="122"/>
        <v>#NUM!</v>
      </c>
      <c r="CY149" s="60">
        <f ca="1">AVERAGE(OFFSET($CX$3,0,0,'Données projet'!$E$13+1,1))-AVERAGE(OFFSET($H$3,0,0,'Données projet'!$E$13+1,1))</f>
        <v>277.77877239988635</v>
      </c>
      <c r="CZ149" s="60">
        <f t="shared" si="150"/>
        <v>164.65640238394164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9.7543306765146564E-14</v>
      </c>
      <c r="DQ149" s="14">
        <f t="shared" si="151"/>
        <v>1.4696264278629426E-12</v>
      </c>
      <c r="DR149" s="22">
        <f t="shared" si="124"/>
        <v>2.7294872878105889E-12</v>
      </c>
      <c r="DS149" s="60">
        <f t="shared" si="125"/>
        <v>286.21154539383338</v>
      </c>
      <c r="DT149" s="60">
        <f ca="1">AVERAGE(OFFSET($DS$3,0,0,'Données projet'!$E$14+1,1))-AVERAGE(OFFSET($H$3,0,0,'Données projet'!$E$14+1,1))</f>
        <v>354.30160274624632</v>
      </c>
      <c r="DU149" s="60">
        <f t="shared" si="152"/>
        <v>218.8005329382452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2.4</v>
      </c>
      <c r="EJ149" s="13">
        <f>IF('Données projet'!$A$192&gt;35,EJ148+EI149-ER148,IF(A149&lt;'Données projet'!$A$192,$EG$205^A149,IF(A149='Données projet'!$A$192,'Données projet'!$B$192,EJ148+EI149-ER148)))</f>
        <v>283.39999999999912</v>
      </c>
      <c r="EK149" s="18">
        <f>EJ149*VLOOKUP('Données projet'!$B$15,Paramètres!$A$1:$I$89,3,0)*VLOOKUP('Données projet'!$B$15,Paramètres!$A$1:$I$89,5,0)</f>
        <v>274.10447999999917</v>
      </c>
      <c r="EL149" s="14">
        <f t="shared" si="153"/>
        <v>65.719577181765331</v>
      </c>
      <c r="EM149" s="22">
        <f t="shared" si="127"/>
        <v>591.86023292490643</v>
      </c>
      <c r="EN149" s="60">
        <f t="shared" si="128"/>
        <v>878.07177831873707</v>
      </c>
      <c r="EO149" s="60">
        <f ca="1">AVERAGE(OFFSET($EN$3,0,0,'Données projet'!$E$15+1,1))-AVERAGE(OFFSET($H$3,0,0,'Données projet'!$E$15+1,1))</f>
        <v>496.33873798282525</v>
      </c>
      <c r="EP149" s="60">
        <f t="shared" si="154"/>
        <v>280.25465074992246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3.4106051316484809E-13</v>
      </c>
      <c r="FF149" s="18">
        <f>FE149*VLOOKUP('Données projet'!$B$16,Paramètres!$A$1:$I$89,3,0)*VLOOKUP('Données projet'!$B$16,Paramètres!$A$1:$I$89,5,0)</f>
        <v>2.7666828827932479E-13</v>
      </c>
      <c r="FG149" s="14">
        <f t="shared" si="155"/>
        <v>3.6920483163466686E-12</v>
      </c>
      <c r="FH149" s="22">
        <f t="shared" si="130"/>
        <v>6.9121814197236049E-12</v>
      </c>
      <c r="FI149" s="60">
        <f t="shared" si="131"/>
        <v>286.21154539383758</v>
      </c>
      <c r="FJ149" s="60">
        <f ca="1">AVERAGE(OFFSET($FI$3,0,0,'Données projet'!$E$16+1,1))-AVERAGE(OFFSET($H$3,0,0,'Données projet'!$E$16+1,1))</f>
        <v>341.66430955115521</v>
      </c>
      <c r="FK149" s="60">
        <f t="shared" si="156"/>
        <v>366.15174925159192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3.4106051316484809E-13</v>
      </c>
      <c r="GA149" s="18">
        <f>FZ149*VLOOKUP('Données projet'!$B$17,Paramètres!$A$1:$I$89,3,0)*VLOOKUP('Données projet'!$B$17,Paramètres!$A$1:$I$89,5,0)</f>
        <v>2.5006556825246659E-13</v>
      </c>
      <c r="GB149" s="14">
        <f t="shared" si="157"/>
        <v>3.3765445850268018E-12</v>
      </c>
      <c r="GC149" s="22">
        <f t="shared" si="133"/>
        <v>6.3163460169613921E-12</v>
      </c>
      <c r="GD149" s="60">
        <f t="shared" si="134"/>
        <v>286.21154539383696</v>
      </c>
      <c r="GE149" s="60">
        <f ca="1">AVERAGE(OFFSET($GD$3,0,0,'Données projet'!$E$17+1,1))-AVERAGE(OFFSET($H$3,0,0,'Données projet'!$E$17+1,1))</f>
        <v>314.58662400031631</v>
      </c>
      <c r="GF149" s="60">
        <f t="shared" si="158"/>
        <v>336.99073123405981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4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289.80119999999908</v>
      </c>
      <c r="P150" s="14">
        <f t="shared" si="141"/>
        <v>69.034118458450664</v>
      </c>
      <c r="Q150" s="22">
        <f t="shared" si="108"/>
        <v>624.97151298179995</v>
      </c>
      <c r="R150" s="60">
        <f t="shared" si="109"/>
        <v>911.30660547444836</v>
      </c>
      <c r="S150" s="60">
        <f ca="1">AVERAGE(OFFSET($R$3,0,0,'Données projet'!$E$9+1,1))-AVERAGE(OFFSET($H$3,0,0,'Données projet'!$E$9+1,1))</f>
        <v>516.30971934066179</v>
      </c>
      <c r="T150" s="60">
        <f t="shared" si="142"/>
        <v>290.84286505723571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-5.1159076974727213E-13</v>
      </c>
      <c r="AJ150" s="14">
        <f>AI150*VLOOKUP('Données projet'!$B$10,Paramètres!$A$1:$I$89,3,0)*VLOOKUP('Données projet'!$B$10,Paramètres!$A$1:$I$89,5,0)</f>
        <v>-5.3471467253984886E-13</v>
      </c>
      <c r="AK150" s="14" t="e">
        <f t="shared" si="143"/>
        <v>#NUM!</v>
      </c>
      <c r="AL150" s="22" t="e">
        <f t="shared" si="112"/>
        <v>#NUM!</v>
      </c>
      <c r="AM150" s="60" t="e">
        <f t="shared" si="113"/>
        <v>#NUM!</v>
      </c>
      <c r="AN150" s="60">
        <f ca="1">AVERAGE(OFFSET($AM$3,0,0,'Données projet'!$E$10+1,1))-AVERAGE(OFFSET($H$3,0,0,'Données projet'!$E$10+1,1))</f>
        <v>529.00505223594837</v>
      </c>
      <c r="AO150" s="60">
        <f t="shared" si="144"/>
        <v>321.23004033257985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2.9795046430081134E-13</v>
      </c>
      <c r="BF150" s="14">
        <f t="shared" si="145"/>
        <v>3.9419014464513778E-12</v>
      </c>
      <c r="BG150" s="22">
        <f t="shared" si="115"/>
        <v>7.384408744560063E-12</v>
      </c>
      <c r="BH150" s="60">
        <f t="shared" si="116"/>
        <v>286.3350924926558</v>
      </c>
      <c r="BI150" s="60">
        <f ca="1">AVERAGE(OFFSET($BH$3,0,0,'Données projet'!$E$11+1,1))-AVERAGE(OFFSET($H$3,0,0,'Données projet'!$E$11+1,1))</f>
        <v>363.28611056308665</v>
      </c>
      <c r="BJ150" s="60">
        <f t="shared" si="146"/>
        <v>389.43647559455974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285.7999999999991</v>
      </c>
      <c r="BZ150" s="14">
        <f>BY150*VLOOKUP('Données projet'!$B$12,Paramètres!$A$1:$I$89,3,0)*VLOOKUP('Données projet'!$B$12,Paramètres!$A$1:$I$89,5,0)</f>
        <v>307.63511999999901</v>
      </c>
      <c r="CA150" s="14">
        <f t="shared" si="147"/>
        <v>72.774729201093322</v>
      </c>
      <c r="CB150" s="22">
        <f t="shared" si="118"/>
        <v>662.54715402523584</v>
      </c>
      <c r="CC150" s="60">
        <f t="shared" si="119"/>
        <v>948.88224651788425</v>
      </c>
      <c r="CD150" s="60">
        <f ca="1">AVERAGE(OFFSET($CC$3,0,0,'Données projet'!$E$12+1,1))-AVERAGE(OFFSET($H$3,0,0,'Données projet'!$E$12+1,1))</f>
        <v>542.90832990875208</v>
      </c>
      <c r="CE150" s="60">
        <f t="shared" si="148"/>
        <v>304.94365539329362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-6.2527760746888816E-13</v>
      </c>
      <c r="CU150" s="18">
        <f>CT150*VLOOKUP('Données projet'!$B$13,Paramètres!$A$1:$I$89,3,0)*VLOOKUP('Données projet'!$B$13,Paramètres!$A$1:$I$89,5,0)</f>
        <v>-2.9262992029543964E-13</v>
      </c>
      <c r="CV150" s="14" t="e">
        <f t="shared" si="149"/>
        <v>#NUM!</v>
      </c>
      <c r="CW150" s="22" t="e">
        <f t="shared" si="121"/>
        <v>#NUM!</v>
      </c>
      <c r="CX150" s="60" t="e">
        <f t="shared" si="122"/>
        <v>#NUM!</v>
      </c>
      <c r="CY150" s="60">
        <f ca="1">AVERAGE(OFFSET($CX$3,0,0,'Données projet'!$E$13+1,1))-AVERAGE(OFFSET($H$3,0,0,'Données projet'!$E$13+1,1))</f>
        <v>277.77877239988635</v>
      </c>
      <c r="CZ150" s="60">
        <f t="shared" si="150"/>
        <v>164.65640238394164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9.7543306765146564E-14</v>
      </c>
      <c r="DQ150" s="14">
        <f t="shared" si="151"/>
        <v>1.4696264278629426E-12</v>
      </c>
      <c r="DR150" s="22">
        <f t="shared" si="124"/>
        <v>2.7294872878105889E-12</v>
      </c>
      <c r="DS150" s="60">
        <f t="shared" si="125"/>
        <v>286.33509249265114</v>
      </c>
      <c r="DT150" s="60">
        <f ca="1">AVERAGE(OFFSET($DS$3,0,0,'Données projet'!$E$14+1,1))-AVERAGE(OFFSET($H$3,0,0,'Données projet'!$E$14+1,1))</f>
        <v>354.30160274624632</v>
      </c>
      <c r="DU150" s="60">
        <f t="shared" si="152"/>
        <v>218.8005329382452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2.4</v>
      </c>
      <c r="EJ150" s="13">
        <f>IF('Données projet'!$A$192&gt;35,EJ149+EI150-ER149,IF(A150&lt;'Données projet'!$A$192,$EG$205^A150,IF(A150='Données projet'!$A$192,'Données projet'!$B$192,EJ149+EI150-ER149)))</f>
        <v>285.7999999999991</v>
      </c>
      <c r="EK150" s="18">
        <f>EJ150*VLOOKUP('Données projet'!$B$15,Paramètres!$A$1:$I$89,3,0)*VLOOKUP('Données projet'!$B$15,Paramètres!$A$1:$I$89,5,0)</f>
        <v>276.42575999999912</v>
      </c>
      <c r="EL150" s="14">
        <f t="shared" si="153"/>
        <v>66.211105372509707</v>
      </c>
      <c r="EM150" s="22">
        <f t="shared" si="127"/>
        <v>596.75920719045291</v>
      </c>
      <c r="EN150" s="60">
        <f t="shared" si="128"/>
        <v>883.09429968310133</v>
      </c>
      <c r="EO150" s="60">
        <f ca="1">AVERAGE(OFFSET($EN$3,0,0,'Données projet'!$E$15+1,1))-AVERAGE(OFFSET($H$3,0,0,'Données projet'!$E$15+1,1))</f>
        <v>496.33873798282525</v>
      </c>
      <c r="EP150" s="60">
        <f t="shared" si="154"/>
        <v>280.25465074992246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3.4106051316484809E-13</v>
      </c>
      <c r="FF150" s="18">
        <f>FE150*VLOOKUP('Données projet'!$B$16,Paramètres!$A$1:$I$89,3,0)*VLOOKUP('Données projet'!$B$16,Paramètres!$A$1:$I$89,5,0)</f>
        <v>2.7666828827932479E-13</v>
      </c>
      <c r="FG150" s="14">
        <f t="shared" si="155"/>
        <v>3.6920483163466686E-12</v>
      </c>
      <c r="FH150" s="22">
        <f t="shared" si="130"/>
        <v>6.9121814197236049E-12</v>
      </c>
      <c r="FI150" s="60">
        <f t="shared" si="131"/>
        <v>286.33509249265535</v>
      </c>
      <c r="FJ150" s="60">
        <f ca="1">AVERAGE(OFFSET($FI$3,0,0,'Données projet'!$E$16+1,1))-AVERAGE(OFFSET($H$3,0,0,'Données projet'!$E$16+1,1))</f>
        <v>341.66430955115521</v>
      </c>
      <c r="FK150" s="60">
        <f t="shared" si="156"/>
        <v>366.15174925159192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3.4106051316484809E-13</v>
      </c>
      <c r="GA150" s="18">
        <f>FZ150*VLOOKUP('Données projet'!$B$17,Paramètres!$A$1:$I$89,3,0)*VLOOKUP('Données projet'!$B$17,Paramètres!$A$1:$I$89,5,0)</f>
        <v>2.5006556825246659E-13</v>
      </c>
      <c r="GB150" s="14">
        <f t="shared" si="157"/>
        <v>3.3765445850268018E-12</v>
      </c>
      <c r="GC150" s="22">
        <f t="shared" si="133"/>
        <v>6.3163460169613921E-12</v>
      </c>
      <c r="GD150" s="60">
        <f t="shared" si="134"/>
        <v>286.33509249265472</v>
      </c>
      <c r="GE150" s="60">
        <f ca="1">AVERAGE(OFFSET($GD$3,0,0,'Données projet'!$E$17+1,1))-AVERAGE(OFFSET($H$3,0,0,'Données projet'!$E$17+1,1))</f>
        <v>314.58662400031631</v>
      </c>
      <c r="GF150" s="60">
        <f t="shared" si="158"/>
        <v>336.99073123405981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4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292.2347999999991</v>
      </c>
      <c r="P151" s="14">
        <f t="shared" si="141"/>
        <v>69.546103016553573</v>
      </c>
      <c r="Q151" s="22">
        <f t="shared" si="108"/>
        <v>630.10173942049585</v>
      </c>
      <c r="R151" s="60">
        <f t="shared" si="109"/>
        <v>916.55823574600754</v>
      </c>
      <c r="S151" s="60">
        <f ca="1">AVERAGE(OFFSET($R$3,0,0,'Données projet'!$E$9+1,1))-AVERAGE(OFFSET($H$3,0,0,'Données projet'!$E$9+1,1))</f>
        <v>516.30971934066179</v>
      </c>
      <c r="T151" s="60">
        <f t="shared" si="142"/>
        <v>290.84286505723571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-5.1159076974727213E-13</v>
      </c>
      <c r="AJ151" s="14">
        <f>AI151*VLOOKUP('Données projet'!$B$10,Paramètres!$A$1:$I$89,3,0)*VLOOKUP('Données projet'!$B$10,Paramètres!$A$1:$I$89,5,0)</f>
        <v>-5.3471467253984886E-13</v>
      </c>
      <c r="AK151" s="14" t="e">
        <f t="shared" si="143"/>
        <v>#NUM!</v>
      </c>
      <c r="AL151" s="22" t="e">
        <f t="shared" si="112"/>
        <v>#NUM!</v>
      </c>
      <c r="AM151" s="60" t="e">
        <f t="shared" si="113"/>
        <v>#NUM!</v>
      </c>
      <c r="AN151" s="60">
        <f ca="1">AVERAGE(OFFSET($AM$3,0,0,'Données projet'!$E$10+1,1))-AVERAGE(OFFSET($H$3,0,0,'Données projet'!$E$10+1,1))</f>
        <v>529.00505223594837</v>
      </c>
      <c r="AO151" s="60">
        <f t="shared" si="144"/>
        <v>321.23004033257985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2.9795046430081134E-13</v>
      </c>
      <c r="BF151" s="14">
        <f t="shared" si="145"/>
        <v>3.9419014464513778E-12</v>
      </c>
      <c r="BG151" s="22">
        <f t="shared" si="115"/>
        <v>7.384408744560063E-12</v>
      </c>
      <c r="BH151" s="60">
        <f t="shared" si="116"/>
        <v>286.45649632551908</v>
      </c>
      <c r="BI151" s="60">
        <f ca="1">AVERAGE(OFFSET($BH$3,0,0,'Données projet'!$E$11+1,1))-AVERAGE(OFFSET($H$3,0,0,'Données projet'!$E$11+1,1))</f>
        <v>363.28611056308665</v>
      </c>
      <c r="BJ151" s="60">
        <f t="shared" si="146"/>
        <v>389.43647559455974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288.19999999999908</v>
      </c>
      <c r="BZ151" s="14">
        <f>BY151*VLOOKUP('Données projet'!$B$12,Paramètres!$A$1:$I$89,3,0)*VLOOKUP('Données projet'!$B$12,Paramètres!$A$1:$I$89,5,0)</f>
        <v>310.21847999999898</v>
      </c>
      <c r="CA151" s="14">
        <f t="shared" si="147"/>
        <v>73.314455620479777</v>
      </c>
      <c r="CB151" s="22">
        <f t="shared" si="118"/>
        <v>667.98652953900034</v>
      </c>
      <c r="CC151" s="60">
        <f t="shared" si="119"/>
        <v>954.44302586451204</v>
      </c>
      <c r="CD151" s="60">
        <f ca="1">AVERAGE(OFFSET($CC$3,0,0,'Données projet'!$E$12+1,1))-AVERAGE(OFFSET($H$3,0,0,'Données projet'!$E$12+1,1))</f>
        <v>542.90832990875208</v>
      </c>
      <c r="CE151" s="60">
        <f t="shared" si="148"/>
        <v>304.94365539329362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-6.2527760746888816E-13</v>
      </c>
      <c r="CU151" s="18">
        <f>CT151*VLOOKUP('Données projet'!$B$13,Paramètres!$A$1:$I$89,3,0)*VLOOKUP('Données projet'!$B$13,Paramètres!$A$1:$I$89,5,0)</f>
        <v>-2.9262992029543964E-13</v>
      </c>
      <c r="CV151" s="14" t="e">
        <f t="shared" si="149"/>
        <v>#NUM!</v>
      </c>
      <c r="CW151" s="22" t="e">
        <f t="shared" si="121"/>
        <v>#NUM!</v>
      </c>
      <c r="CX151" s="60" t="e">
        <f t="shared" si="122"/>
        <v>#NUM!</v>
      </c>
      <c r="CY151" s="60">
        <f ca="1">AVERAGE(OFFSET($CX$3,0,0,'Données projet'!$E$13+1,1))-AVERAGE(OFFSET($H$3,0,0,'Données projet'!$E$13+1,1))</f>
        <v>277.77877239988635</v>
      </c>
      <c r="CZ151" s="60">
        <f t="shared" si="150"/>
        <v>164.65640238394164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9.7543306765146564E-14</v>
      </c>
      <c r="DQ151" s="14">
        <f t="shared" si="151"/>
        <v>1.4696264278629426E-12</v>
      </c>
      <c r="DR151" s="22">
        <f t="shared" si="124"/>
        <v>2.7294872878105889E-12</v>
      </c>
      <c r="DS151" s="60">
        <f t="shared" si="125"/>
        <v>286.45649632551442</v>
      </c>
      <c r="DT151" s="60">
        <f ca="1">AVERAGE(OFFSET($DS$3,0,0,'Données projet'!$E$14+1,1))-AVERAGE(OFFSET($H$3,0,0,'Données projet'!$E$14+1,1))</f>
        <v>354.30160274624632</v>
      </c>
      <c r="DU151" s="60">
        <f t="shared" si="152"/>
        <v>218.8005329382452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2.4</v>
      </c>
      <c r="EJ151" s="13">
        <f>IF('Données projet'!$A$192&gt;35,EJ150+EI151-ER150,IF(A151&lt;'Données projet'!$A$192,$EG$205^A151,IF(A151='Données projet'!$A$192,'Données projet'!$B$192,EJ150+EI151-ER150)))</f>
        <v>288.19999999999908</v>
      </c>
      <c r="EK151" s="18">
        <f>EJ151*VLOOKUP('Données projet'!$B$15,Paramètres!$A$1:$I$89,3,0)*VLOOKUP('Données projet'!$B$15,Paramètres!$A$1:$I$89,5,0)</f>
        <v>278.74703999999912</v>
      </c>
      <c r="EL151" s="14">
        <f t="shared" si="153"/>
        <v>66.702153339553078</v>
      </c>
      <c r="EM151" s="22">
        <f t="shared" si="127"/>
        <v>601.65734506638671</v>
      </c>
      <c r="EN151" s="60">
        <f t="shared" si="128"/>
        <v>888.1138413918984</v>
      </c>
      <c r="EO151" s="60">
        <f ca="1">AVERAGE(OFFSET($EN$3,0,0,'Données projet'!$E$15+1,1))-AVERAGE(OFFSET($H$3,0,0,'Données projet'!$E$15+1,1))</f>
        <v>496.33873798282525</v>
      </c>
      <c r="EP151" s="60">
        <f t="shared" si="154"/>
        <v>280.25465074992246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3.4106051316484809E-13</v>
      </c>
      <c r="FF151" s="18">
        <f>FE151*VLOOKUP('Données projet'!$B$16,Paramètres!$A$1:$I$89,3,0)*VLOOKUP('Données projet'!$B$16,Paramètres!$A$1:$I$89,5,0)</f>
        <v>2.7666828827932479E-13</v>
      </c>
      <c r="FG151" s="14">
        <f t="shared" si="155"/>
        <v>3.6920483163466686E-12</v>
      </c>
      <c r="FH151" s="22">
        <f t="shared" si="130"/>
        <v>6.9121814197236049E-12</v>
      </c>
      <c r="FI151" s="60">
        <f t="shared" si="131"/>
        <v>286.45649632551863</v>
      </c>
      <c r="FJ151" s="60">
        <f ca="1">AVERAGE(OFFSET($FI$3,0,0,'Données projet'!$E$16+1,1))-AVERAGE(OFFSET($H$3,0,0,'Données projet'!$E$16+1,1))</f>
        <v>341.66430955115521</v>
      </c>
      <c r="FK151" s="60">
        <f t="shared" si="156"/>
        <v>366.15174925159192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3.4106051316484809E-13</v>
      </c>
      <c r="GA151" s="18">
        <f>FZ151*VLOOKUP('Données projet'!$B$17,Paramètres!$A$1:$I$89,3,0)*VLOOKUP('Données projet'!$B$17,Paramètres!$A$1:$I$89,5,0)</f>
        <v>2.5006556825246659E-13</v>
      </c>
      <c r="GB151" s="14">
        <f t="shared" si="157"/>
        <v>3.3765445850268018E-12</v>
      </c>
      <c r="GC151" s="22">
        <f t="shared" si="133"/>
        <v>6.3163460169613921E-12</v>
      </c>
      <c r="GD151" s="60">
        <f t="shared" si="134"/>
        <v>286.456496325518</v>
      </c>
      <c r="GE151" s="60">
        <f ca="1">AVERAGE(OFFSET($GD$3,0,0,'Données projet'!$E$17+1,1))-AVERAGE(OFFSET($H$3,0,0,'Données projet'!$E$17+1,1))</f>
        <v>314.58662400031631</v>
      </c>
      <c r="GF151" s="60">
        <f t="shared" si="158"/>
        <v>336.99073123405981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4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294.66839999999905</v>
      </c>
      <c r="P152" s="14">
        <f t="shared" si="141"/>
        <v>70.057591528661362</v>
      </c>
      <c r="Q152" s="22">
        <f t="shared" si="108"/>
        <v>635.23110191241688</v>
      </c>
      <c r="R152" s="60">
        <f t="shared" si="109"/>
        <v>921.80689598570996</v>
      </c>
      <c r="S152" s="60">
        <f ca="1">AVERAGE(OFFSET($R$3,0,0,'Données projet'!$E$9+1,1))-AVERAGE(OFFSET($H$3,0,0,'Données projet'!$E$9+1,1))</f>
        <v>516.30971934066179</v>
      </c>
      <c r="T152" s="60">
        <f t="shared" si="142"/>
        <v>290.84286505723571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-5.1159076974727213E-13</v>
      </c>
      <c r="AJ152" s="14">
        <f>AI152*VLOOKUP('Données projet'!$B$10,Paramètres!$A$1:$I$89,3,0)*VLOOKUP('Données projet'!$B$10,Paramètres!$A$1:$I$89,5,0)</f>
        <v>-5.3471467253984886E-13</v>
      </c>
      <c r="AK152" s="14" t="e">
        <f t="shared" si="143"/>
        <v>#NUM!</v>
      </c>
      <c r="AL152" s="22" t="e">
        <f t="shared" si="112"/>
        <v>#NUM!</v>
      </c>
      <c r="AM152" s="60" t="e">
        <f t="shared" si="113"/>
        <v>#NUM!</v>
      </c>
      <c r="AN152" s="60">
        <f ca="1">AVERAGE(OFFSET($AM$3,0,0,'Données projet'!$E$10+1,1))-AVERAGE(OFFSET($H$3,0,0,'Données projet'!$E$10+1,1))</f>
        <v>529.00505223594837</v>
      </c>
      <c r="AO152" s="60">
        <f t="shared" si="144"/>
        <v>321.23004033257985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2.9795046430081134E-13</v>
      </c>
      <c r="BF152" s="14">
        <f t="shared" si="145"/>
        <v>3.9419014464513778E-12</v>
      </c>
      <c r="BG152" s="22">
        <f t="shared" si="115"/>
        <v>7.384408744560063E-12</v>
      </c>
      <c r="BH152" s="60">
        <f t="shared" si="116"/>
        <v>286.57579407330047</v>
      </c>
      <c r="BI152" s="60">
        <f ca="1">AVERAGE(OFFSET($BH$3,0,0,'Données projet'!$E$11+1,1))-AVERAGE(OFFSET($H$3,0,0,'Données projet'!$E$11+1,1))</f>
        <v>363.28611056308665</v>
      </c>
      <c r="BJ152" s="60">
        <f t="shared" si="146"/>
        <v>389.43647559455974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290.59999999999906</v>
      </c>
      <c r="BZ152" s="14">
        <f>BY152*VLOOKUP('Données projet'!$B$12,Paramètres!$A$1:$I$89,3,0)*VLOOKUP('Données projet'!$B$12,Paramètres!$A$1:$I$89,5,0)</f>
        <v>312.80183999999895</v>
      </c>
      <c r="CA152" s="14">
        <f t="shared" si="147"/>
        <v>73.853659115640198</v>
      </c>
      <c r="CB152" s="22">
        <f t="shared" si="118"/>
        <v>673.42499429307145</v>
      </c>
      <c r="CC152" s="60">
        <f t="shared" si="119"/>
        <v>960.00078836636453</v>
      </c>
      <c r="CD152" s="60">
        <f ca="1">AVERAGE(OFFSET($CC$3,0,0,'Données projet'!$E$12+1,1))-AVERAGE(OFFSET($H$3,0,0,'Données projet'!$E$12+1,1))</f>
        <v>542.90832990875208</v>
      </c>
      <c r="CE152" s="60">
        <f t="shared" si="148"/>
        <v>304.94365539329362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-6.2527760746888816E-13</v>
      </c>
      <c r="CU152" s="18">
        <f>CT152*VLOOKUP('Données projet'!$B$13,Paramètres!$A$1:$I$89,3,0)*VLOOKUP('Données projet'!$B$13,Paramètres!$A$1:$I$89,5,0)</f>
        <v>-2.9262992029543964E-13</v>
      </c>
      <c r="CV152" s="14" t="e">
        <f t="shared" si="149"/>
        <v>#NUM!</v>
      </c>
      <c r="CW152" s="22" t="e">
        <f t="shared" si="121"/>
        <v>#NUM!</v>
      </c>
      <c r="CX152" s="60" t="e">
        <f t="shared" si="122"/>
        <v>#NUM!</v>
      </c>
      <c r="CY152" s="60">
        <f ca="1">AVERAGE(OFFSET($CX$3,0,0,'Données projet'!$E$13+1,1))-AVERAGE(OFFSET($H$3,0,0,'Données projet'!$E$13+1,1))</f>
        <v>277.77877239988635</v>
      </c>
      <c r="CZ152" s="60">
        <f t="shared" si="150"/>
        <v>164.65640238394164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9.7543306765146564E-14</v>
      </c>
      <c r="DQ152" s="14">
        <f t="shared" si="151"/>
        <v>1.4696264278629426E-12</v>
      </c>
      <c r="DR152" s="22">
        <f t="shared" si="124"/>
        <v>2.7294872878105889E-12</v>
      </c>
      <c r="DS152" s="60">
        <f t="shared" si="125"/>
        <v>286.57579407329581</v>
      </c>
      <c r="DT152" s="60">
        <f ca="1">AVERAGE(OFFSET($DS$3,0,0,'Données projet'!$E$14+1,1))-AVERAGE(OFFSET($H$3,0,0,'Données projet'!$E$14+1,1))</f>
        <v>354.30160274624632</v>
      </c>
      <c r="DU152" s="60">
        <f t="shared" si="152"/>
        <v>218.8005329382452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2.4</v>
      </c>
      <c r="EJ152" s="13">
        <f>IF('Données projet'!$A$192&gt;35,EJ151+EI152-ER151,IF(A152&lt;'Données projet'!$A$192,$EG$205^A152,IF(A152='Données projet'!$A$192,'Données projet'!$B$192,EJ151+EI152-ER151)))</f>
        <v>290.59999999999906</v>
      </c>
      <c r="EK152" s="18">
        <f>EJ152*VLOOKUP('Données projet'!$B$15,Paramètres!$A$1:$I$89,3,0)*VLOOKUP('Données projet'!$B$15,Paramètres!$A$1:$I$89,5,0)</f>
        <v>281.06831999999906</v>
      </c>
      <c r="EL152" s="14">
        <f t="shared" si="153"/>
        <v>67.192725545416479</v>
      </c>
      <c r="EM152" s="22">
        <f t="shared" si="127"/>
        <v>606.55465432493213</v>
      </c>
      <c r="EN152" s="60">
        <f t="shared" si="128"/>
        <v>893.13044839822521</v>
      </c>
      <c r="EO152" s="60">
        <f ca="1">AVERAGE(OFFSET($EN$3,0,0,'Données projet'!$E$15+1,1))-AVERAGE(OFFSET($H$3,0,0,'Données projet'!$E$15+1,1))</f>
        <v>496.33873798282525</v>
      </c>
      <c r="EP152" s="60">
        <f t="shared" si="154"/>
        <v>280.25465074992246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3.4106051316484809E-13</v>
      </c>
      <c r="FF152" s="18">
        <f>FE152*VLOOKUP('Données projet'!$B$16,Paramètres!$A$1:$I$89,3,0)*VLOOKUP('Données projet'!$B$16,Paramètres!$A$1:$I$89,5,0)</f>
        <v>2.7666828827932479E-13</v>
      </c>
      <c r="FG152" s="14">
        <f t="shared" si="155"/>
        <v>3.6920483163466686E-12</v>
      </c>
      <c r="FH152" s="22">
        <f t="shared" si="130"/>
        <v>6.9121814197236049E-12</v>
      </c>
      <c r="FI152" s="60">
        <f t="shared" si="131"/>
        <v>286.57579407330002</v>
      </c>
      <c r="FJ152" s="60">
        <f ca="1">AVERAGE(OFFSET($FI$3,0,0,'Données projet'!$E$16+1,1))-AVERAGE(OFFSET($H$3,0,0,'Données projet'!$E$16+1,1))</f>
        <v>341.66430955115521</v>
      </c>
      <c r="FK152" s="60">
        <f t="shared" si="156"/>
        <v>366.15174925159192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3.4106051316484809E-13</v>
      </c>
      <c r="GA152" s="18">
        <f>FZ152*VLOOKUP('Données projet'!$B$17,Paramètres!$A$1:$I$89,3,0)*VLOOKUP('Données projet'!$B$17,Paramètres!$A$1:$I$89,5,0)</f>
        <v>2.5006556825246659E-13</v>
      </c>
      <c r="GB152" s="14">
        <f t="shared" si="157"/>
        <v>3.3765445850268018E-12</v>
      </c>
      <c r="GC152" s="22">
        <f t="shared" si="133"/>
        <v>6.3163460169613921E-12</v>
      </c>
      <c r="GD152" s="60">
        <f t="shared" si="134"/>
        <v>286.57579407329939</v>
      </c>
      <c r="GE152" s="60">
        <f ca="1">AVERAGE(OFFSET($GD$3,0,0,'Données projet'!$E$17+1,1))-AVERAGE(OFFSET($H$3,0,0,'Données projet'!$E$17+1,1))</f>
        <v>314.58662400031631</v>
      </c>
      <c r="GF152" s="60">
        <f t="shared" si="158"/>
        <v>336.99073123405981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4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297.10199999999907</v>
      </c>
      <c r="P153" s="14">
        <f t="shared" si="141"/>
        <v>70.568588566272624</v>
      </c>
      <c r="Q153" s="22">
        <f t="shared" si="108"/>
        <v>640.3596084195899</v>
      </c>
      <c r="R153" s="60">
        <f t="shared" si="109"/>
        <v>927.0526306914503</v>
      </c>
      <c r="S153" s="60">
        <f ca="1">AVERAGE(OFFSET($R$3,0,0,'Données projet'!$E$9+1,1))-AVERAGE(OFFSET($H$3,0,0,'Données projet'!$E$9+1,1))</f>
        <v>516.30971934066179</v>
      </c>
      <c r="T153" s="60">
        <f t="shared" si="142"/>
        <v>290.84286505723571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-5.1159076974727213E-13</v>
      </c>
      <c r="AJ153" s="14">
        <f>AI153*VLOOKUP('Données projet'!$B$10,Paramètres!$A$1:$I$89,3,0)*VLOOKUP('Données projet'!$B$10,Paramètres!$A$1:$I$89,5,0)</f>
        <v>-5.3471467253984886E-13</v>
      </c>
      <c r="AK153" s="14" t="e">
        <f t="shared" si="143"/>
        <v>#NUM!</v>
      </c>
      <c r="AL153" s="22" t="e">
        <f t="shared" si="112"/>
        <v>#NUM!</v>
      </c>
      <c r="AM153" s="60" t="e">
        <f t="shared" si="113"/>
        <v>#NUM!</v>
      </c>
      <c r="AN153" s="60">
        <f ca="1">AVERAGE(OFFSET($AM$3,0,0,'Données projet'!$E$10+1,1))-AVERAGE(OFFSET($H$3,0,0,'Données projet'!$E$10+1,1))</f>
        <v>529.00505223594837</v>
      </c>
      <c r="AO153" s="60">
        <f t="shared" si="144"/>
        <v>321.23004033257985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2.9795046430081134E-13</v>
      </c>
      <c r="BF153" s="14">
        <f t="shared" si="145"/>
        <v>3.9419014464513778E-12</v>
      </c>
      <c r="BG153" s="22">
        <f t="shared" si="115"/>
        <v>7.384408744560063E-12</v>
      </c>
      <c r="BH153" s="60">
        <f t="shared" si="116"/>
        <v>286.69302227186773</v>
      </c>
      <c r="BI153" s="60">
        <f ca="1">AVERAGE(OFFSET($BH$3,0,0,'Données projet'!$E$11+1,1))-AVERAGE(OFFSET($H$3,0,0,'Données projet'!$E$11+1,1))</f>
        <v>363.28611056308665</v>
      </c>
      <c r="BJ153" s="60">
        <f t="shared" si="146"/>
        <v>389.43647559455974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292.99999999999903</v>
      </c>
      <c r="BZ153" s="14">
        <f>BY153*VLOOKUP('Données projet'!$B$12,Paramètres!$A$1:$I$89,3,0)*VLOOKUP('Données projet'!$B$12,Paramètres!$A$1:$I$89,5,0)</f>
        <v>315.38519999999892</v>
      </c>
      <c r="CA153" s="14">
        <f t="shared" si="147"/>
        <v>74.392344505779604</v>
      </c>
      <c r="CB153" s="22">
        <f t="shared" si="118"/>
        <v>678.86255668089746</v>
      </c>
      <c r="CC153" s="60">
        <f t="shared" si="119"/>
        <v>965.55557895275774</v>
      </c>
      <c r="CD153" s="60">
        <f ca="1">AVERAGE(OFFSET($CC$3,0,0,'Données projet'!$E$12+1,1))-AVERAGE(OFFSET($H$3,0,0,'Données projet'!$E$12+1,1))</f>
        <v>542.90832990875208</v>
      </c>
      <c r="CE153" s="60">
        <f t="shared" si="148"/>
        <v>304.94365539329362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-6.2527760746888816E-13</v>
      </c>
      <c r="CU153" s="18">
        <f>CT153*VLOOKUP('Données projet'!$B$13,Paramètres!$A$1:$I$89,3,0)*VLOOKUP('Données projet'!$B$13,Paramètres!$A$1:$I$89,5,0)</f>
        <v>-2.9262992029543964E-13</v>
      </c>
      <c r="CV153" s="14" t="e">
        <f t="shared" si="149"/>
        <v>#NUM!</v>
      </c>
      <c r="CW153" s="22" t="e">
        <f t="shared" si="121"/>
        <v>#NUM!</v>
      </c>
      <c r="CX153" s="60" t="e">
        <f t="shared" si="122"/>
        <v>#NUM!</v>
      </c>
      <c r="CY153" s="60">
        <f ca="1">AVERAGE(OFFSET($CX$3,0,0,'Données projet'!$E$13+1,1))-AVERAGE(OFFSET($H$3,0,0,'Données projet'!$E$13+1,1))</f>
        <v>277.77877239988635</v>
      </c>
      <c r="CZ153" s="60">
        <f t="shared" si="150"/>
        <v>164.65640238394164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9.7543306765146564E-14</v>
      </c>
      <c r="DQ153" s="14">
        <f t="shared" si="151"/>
        <v>1.4696264278629426E-12</v>
      </c>
      <c r="DR153" s="22">
        <f t="shared" si="124"/>
        <v>2.7294872878105889E-12</v>
      </c>
      <c r="DS153" s="60">
        <f t="shared" si="125"/>
        <v>286.69302227186307</v>
      </c>
      <c r="DT153" s="60">
        <f ca="1">AVERAGE(OFFSET($DS$3,0,0,'Données projet'!$E$14+1,1))-AVERAGE(OFFSET($H$3,0,0,'Données projet'!$E$14+1,1))</f>
        <v>354.30160274624632</v>
      </c>
      <c r="DU153" s="60">
        <f t="shared" si="152"/>
        <v>218.8005329382452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293</v>
      </c>
      <c r="EH153" s="13">
        <f>VLOOKUP(A153,'Données projet'!$A$191:$I$211,9,0)</f>
        <v>2.4</v>
      </c>
      <c r="EI153" s="13">
        <f t="array" ref="EI153">INDEX(EH:EH,MIN(IF(ISNUMBER(EH153:EH349),ROW(EH153:EH349),"")))</f>
        <v>2.4</v>
      </c>
      <c r="EJ153" s="13">
        <f>IF('Données projet'!$A$192&gt;35,EJ152+EI153-ER152,IF(A153&lt;'Données projet'!$A$192,$EG$205^A153,IF(A153='Données projet'!$A$192,'Données projet'!$B$192,EJ152+EI153-ER152)))</f>
        <v>292.99999999999903</v>
      </c>
      <c r="EK153" s="18">
        <f>EJ153*VLOOKUP('Données projet'!$B$15,Paramètres!$A$1:$I$89,3,0)*VLOOKUP('Données projet'!$B$15,Paramètres!$A$1:$I$89,5,0)</f>
        <v>283.38959999999906</v>
      </c>
      <c r="EL153" s="14">
        <f t="shared" si="153"/>
        <v>67.682826374656187</v>
      </c>
      <c r="EM153" s="22">
        <f t="shared" si="127"/>
        <v>611.45114260252456</v>
      </c>
      <c r="EN153" s="60">
        <f t="shared" si="128"/>
        <v>898.14416487438484</v>
      </c>
      <c r="EO153" s="60">
        <f ca="1">AVERAGE(OFFSET($EN$3,0,0,'Données projet'!$E$15+1,1))-AVERAGE(OFFSET($H$3,0,0,'Données projet'!$E$15+1,1))</f>
        <v>496.33873798282525</v>
      </c>
      <c r="EP153" s="60">
        <f t="shared" si="154"/>
        <v>280.25465074992246</v>
      </c>
      <c r="EQ153" s="16">
        <f>IF(ISNA(VLOOKUP(A153,'Données projet'!$A$191:$I$211,3,0)),0,VLOOKUP(A153,'Données projet'!$A$191:$I$211,3,0))</f>
        <v>13</v>
      </c>
      <c r="ER153" s="16">
        <f>IF(ISNA(VLOOKUP(A153,'Données projet'!$A$191:$I$211,4,0)),0,VLOOKUP(A153,'Données projet'!$A$191:$I$211,4,0))</f>
        <v>293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3.4106051316484809E-13</v>
      </c>
      <c r="FF153" s="18">
        <f>FE153*VLOOKUP('Données projet'!$B$16,Paramètres!$A$1:$I$89,3,0)*VLOOKUP('Données projet'!$B$16,Paramètres!$A$1:$I$89,5,0)</f>
        <v>2.7666828827932479E-13</v>
      </c>
      <c r="FG153" s="14">
        <f t="shared" si="155"/>
        <v>3.6920483163466686E-12</v>
      </c>
      <c r="FH153" s="22">
        <f t="shared" si="130"/>
        <v>6.9121814197236049E-12</v>
      </c>
      <c r="FI153" s="60">
        <f t="shared" si="131"/>
        <v>286.69302227186728</v>
      </c>
      <c r="FJ153" s="60">
        <f ca="1">AVERAGE(OFFSET($FI$3,0,0,'Données projet'!$E$16+1,1))-AVERAGE(OFFSET($H$3,0,0,'Données projet'!$E$16+1,1))</f>
        <v>341.66430955115521</v>
      </c>
      <c r="FK153" s="60">
        <f t="shared" si="156"/>
        <v>366.15174925159192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3.4106051316484809E-13</v>
      </c>
      <c r="GA153" s="18">
        <f>FZ153*VLOOKUP('Données projet'!$B$17,Paramètres!$A$1:$I$89,3,0)*VLOOKUP('Données projet'!$B$17,Paramètres!$A$1:$I$89,5,0)</f>
        <v>2.5006556825246659E-13</v>
      </c>
      <c r="GB153" s="14">
        <f t="shared" si="157"/>
        <v>3.3765445850268018E-12</v>
      </c>
      <c r="GC153" s="22">
        <f t="shared" si="133"/>
        <v>6.3163460169613921E-12</v>
      </c>
      <c r="GD153" s="60">
        <f t="shared" si="134"/>
        <v>286.69302227186665</v>
      </c>
      <c r="GE153" s="60">
        <f ca="1">AVERAGE(OFFSET($GD$3,0,0,'Données projet'!$E$17+1,1))-AVERAGE(OFFSET($H$3,0,0,'Données projet'!$E$17+1,1))</f>
        <v>314.58662400031631</v>
      </c>
      <c r="GF153" s="60">
        <f t="shared" si="158"/>
        <v>336.99073123405981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4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-9.7986685432260874E-13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516.30971934066179</v>
      </c>
      <c r="T154" s="60">
        <f t="shared" si="142"/>
        <v>290.84286505723571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-5.1159076974727213E-13</v>
      </c>
      <c r="AJ154" s="14">
        <f>AI154*VLOOKUP('Données projet'!$B$10,Paramètres!$A$1:$I$89,3,0)*VLOOKUP('Données projet'!$B$10,Paramètres!$A$1:$I$89,5,0)</f>
        <v>-5.3471467253984886E-13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529.00505223594837</v>
      </c>
      <c r="AO154" s="60">
        <f t="shared" si="144"/>
        <v>321.23004033257985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2.9795046430081134E-13</v>
      </c>
      <c r="BF154" s="14">
        <f t="shared" ref="BF154:BF203" si="167">EXP(-1.0587+0.8836*LN(BE154)+0.284)</f>
        <v>3.9419014464513778E-12</v>
      </c>
      <c r="BG154" s="22">
        <f t="shared" ref="BG154:BG203" si="168">(BE154+BF154)*0.475*44/12</f>
        <v>7.384408744560063E-12</v>
      </c>
      <c r="BH154" s="60">
        <f t="shared" si="116"/>
        <v>286.80821682327274</v>
      </c>
      <c r="BI154" s="60">
        <f ca="1">AVERAGE(OFFSET($BH$3,0,0,'Données projet'!$E$11+1,1))-AVERAGE(OFFSET($H$3,0,0,'Données projet'!$E$11+1,1))</f>
        <v>363.28611056308665</v>
      </c>
      <c r="BJ154" s="60">
        <f t="shared" si="146"/>
        <v>389.43647559455974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-9.6633812063373625E-13</v>
      </c>
      <c r="BZ154" s="14">
        <f>BY154*VLOOKUP('Données projet'!$B$12,Paramètres!$A$1:$I$89,3,0)*VLOOKUP('Données projet'!$B$12,Paramètres!$A$1:$I$89,5,0)</f>
        <v>-1.0401663530501537E-12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542.90832990875208</v>
      </c>
      <c r="CE154" s="60">
        <f t="shared" si="148"/>
        <v>304.94365539329362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-6.2527760746888816E-13</v>
      </c>
      <c r="CU154" s="18">
        <f>CT154*VLOOKUP('Données projet'!$B$13,Paramètres!$A$1:$I$89,3,0)*VLOOKUP('Données projet'!$B$13,Paramètres!$A$1:$I$89,5,0)</f>
        <v>-2.9262992029543964E-13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277.77877239988635</v>
      </c>
      <c r="CZ154" s="60">
        <f t="shared" si="150"/>
        <v>164.65640238394164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9.7543306765146564E-14</v>
      </c>
      <c r="DQ154" s="14">
        <f t="shared" ref="DQ154:DQ203" si="176">EXP(-1.0587+0.8836*LN(DP154)+0.284)</f>
        <v>1.4696264278629426E-12</v>
      </c>
      <c r="DR154" s="22">
        <f t="shared" ref="DR154:DR203" si="177">(DP154+DQ154)*0.475*44/12</f>
        <v>2.7294872878105889E-12</v>
      </c>
      <c r="DS154" s="60">
        <f t="shared" si="125"/>
        <v>286.80821682326808</v>
      </c>
      <c r="DT154" s="60">
        <f ca="1">AVERAGE(OFFSET($DS$3,0,0,'Données projet'!$E$14+1,1))-AVERAGE(OFFSET($H$3,0,0,'Données projet'!$E$14+1,1))</f>
        <v>354.30160274624632</v>
      </c>
      <c r="DU154" s="60">
        <f t="shared" si="152"/>
        <v>218.8005329382452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-9.6633812063373625E-13</v>
      </c>
      <c r="EK154" s="18">
        <f>EJ154*VLOOKUP('Données projet'!$B$15,Paramètres!$A$1:$I$89,3,0)*VLOOKUP('Données projet'!$B$15,Paramètres!$A$1:$I$89,5,0)</f>
        <v>-9.3464223027694966E-13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496.33873798282525</v>
      </c>
      <c r="EP154" s="60">
        <f t="shared" si="154"/>
        <v>280.25465074992246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3.4106051316484809E-13</v>
      </c>
      <c r="FF154" s="18">
        <f>FE154*VLOOKUP('Données projet'!$B$16,Paramètres!$A$1:$I$89,3,0)*VLOOKUP('Données projet'!$B$16,Paramètres!$A$1:$I$89,5,0)</f>
        <v>2.7666828827932479E-13</v>
      </c>
      <c r="FG154" s="14">
        <f t="shared" ref="FG154:FG203" si="182">EXP(-1.0587+0.8836*LN(FF154)+0.284)</f>
        <v>3.6920483163466686E-12</v>
      </c>
      <c r="FH154" s="22">
        <f t="shared" ref="FH154:FH203" si="183">(FF154+FG154)*0.475*44/12</f>
        <v>6.9121814197236049E-12</v>
      </c>
      <c r="FI154" s="60">
        <f t="shared" si="131"/>
        <v>286.80821682327229</v>
      </c>
      <c r="FJ154" s="60">
        <f ca="1">AVERAGE(OFFSET($FI$3,0,0,'Données projet'!$E$16+1,1))-AVERAGE(OFFSET($H$3,0,0,'Données projet'!$E$16+1,1))</f>
        <v>341.66430955115521</v>
      </c>
      <c r="FK154" s="60">
        <f t="shared" si="156"/>
        <v>366.15174925159192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3.4106051316484809E-13</v>
      </c>
      <c r="GA154" s="18">
        <f>FZ154*VLOOKUP('Données projet'!$B$17,Paramètres!$A$1:$I$89,3,0)*VLOOKUP('Données projet'!$B$17,Paramètres!$A$1:$I$89,5,0)</f>
        <v>2.5006556825246659E-13</v>
      </c>
      <c r="GB154" s="14">
        <f t="shared" ref="GB154:GB203" si="185">EXP(-1.0587+0.8836*LN(GA154)+0.284)</f>
        <v>3.3765445850268018E-12</v>
      </c>
      <c r="GC154" s="22">
        <f t="shared" ref="GC154:GC203" si="186">(GA154+GB154)*0.475*44/12</f>
        <v>6.3163460169613921E-12</v>
      </c>
      <c r="GD154" s="60">
        <f t="shared" si="134"/>
        <v>286.80821682327166</v>
      </c>
      <c r="GE154" s="60">
        <f ca="1">AVERAGE(OFFSET($GD$3,0,0,'Données projet'!$E$17+1,1))-AVERAGE(OFFSET($H$3,0,0,'Données projet'!$E$17+1,1))</f>
        <v>314.58662400031631</v>
      </c>
      <c r="GF154" s="60">
        <f t="shared" si="158"/>
        <v>336.99073123405981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4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-9.7986685432260874E-13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516.30971934066179</v>
      </c>
      <c r="T155" s="60">
        <f t="shared" si="142"/>
        <v>290.84286505723571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-5.1159076974727213E-13</v>
      </c>
      <c r="AJ155" s="14">
        <f>AI155*VLOOKUP('Données projet'!$B$10,Paramètres!$A$1:$I$89,3,0)*VLOOKUP('Données projet'!$B$10,Paramètres!$A$1:$I$89,5,0)</f>
        <v>-5.3471467253984886E-13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529.00505223594837</v>
      </c>
      <c r="AO155" s="60">
        <f t="shared" si="144"/>
        <v>321.23004033257985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2.9795046430081134E-13</v>
      </c>
      <c r="BF155" s="14">
        <f t="shared" si="167"/>
        <v>3.9419014464513778E-12</v>
      </c>
      <c r="BG155" s="22">
        <f t="shared" si="168"/>
        <v>7.384408744560063E-12</v>
      </c>
      <c r="BH155" s="60">
        <f t="shared" si="116"/>
        <v>286.92141300674729</v>
      </c>
      <c r="BI155" s="60">
        <f ca="1">AVERAGE(OFFSET($BH$3,0,0,'Données projet'!$E$11+1,1))-AVERAGE(OFFSET($H$3,0,0,'Données projet'!$E$11+1,1))</f>
        <v>363.28611056308665</v>
      </c>
      <c r="BJ155" s="60">
        <f t="shared" si="146"/>
        <v>389.43647559455974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-9.6633812063373625E-13</v>
      </c>
      <c r="BZ155" s="14">
        <f>BY155*VLOOKUP('Données projet'!$B$12,Paramètres!$A$1:$I$89,3,0)*VLOOKUP('Données projet'!$B$12,Paramètres!$A$1:$I$89,5,0)</f>
        <v>-1.0401663530501537E-12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542.90832990875208</v>
      </c>
      <c r="CE155" s="60">
        <f t="shared" si="148"/>
        <v>304.94365539329362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-6.2527760746888816E-13</v>
      </c>
      <c r="CU155" s="18">
        <f>CT155*VLOOKUP('Données projet'!$B$13,Paramètres!$A$1:$I$89,3,0)*VLOOKUP('Données projet'!$B$13,Paramètres!$A$1:$I$89,5,0)</f>
        <v>-2.9262992029543964E-13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277.77877239988635</v>
      </c>
      <c r="CZ155" s="60">
        <f t="shared" si="150"/>
        <v>164.65640238394164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9.7543306765146564E-14</v>
      </c>
      <c r="DQ155" s="14">
        <f t="shared" si="176"/>
        <v>1.4696264278629426E-12</v>
      </c>
      <c r="DR155" s="22">
        <f t="shared" si="177"/>
        <v>2.7294872878105889E-12</v>
      </c>
      <c r="DS155" s="60">
        <f t="shared" si="125"/>
        <v>286.92141300674263</v>
      </c>
      <c r="DT155" s="60">
        <f ca="1">AVERAGE(OFFSET($DS$3,0,0,'Données projet'!$E$14+1,1))-AVERAGE(OFFSET($H$3,0,0,'Données projet'!$E$14+1,1))</f>
        <v>354.30160274624632</v>
      </c>
      <c r="DU155" s="60">
        <f t="shared" si="152"/>
        <v>218.8005329382452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-9.6633812063373625E-13</v>
      </c>
      <c r="EK155" s="18">
        <f>EJ155*VLOOKUP('Données projet'!$B$15,Paramètres!$A$1:$I$89,3,0)*VLOOKUP('Données projet'!$B$15,Paramètres!$A$1:$I$89,5,0)</f>
        <v>-9.3464223027694966E-13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496.33873798282525</v>
      </c>
      <c r="EP155" s="60">
        <f t="shared" si="154"/>
        <v>280.25465074992246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3.4106051316484809E-13</v>
      </c>
      <c r="FF155" s="18">
        <f>FE155*VLOOKUP('Données projet'!$B$16,Paramètres!$A$1:$I$89,3,0)*VLOOKUP('Données projet'!$B$16,Paramètres!$A$1:$I$89,5,0)</f>
        <v>2.7666828827932479E-13</v>
      </c>
      <c r="FG155" s="14">
        <f t="shared" si="182"/>
        <v>3.6920483163466686E-12</v>
      </c>
      <c r="FH155" s="22">
        <f t="shared" si="183"/>
        <v>6.9121814197236049E-12</v>
      </c>
      <c r="FI155" s="60">
        <f t="shared" si="131"/>
        <v>286.92141300674683</v>
      </c>
      <c r="FJ155" s="60">
        <f ca="1">AVERAGE(OFFSET($FI$3,0,0,'Données projet'!$E$16+1,1))-AVERAGE(OFFSET($H$3,0,0,'Données projet'!$E$16+1,1))</f>
        <v>341.66430955115521</v>
      </c>
      <c r="FK155" s="60">
        <f t="shared" si="156"/>
        <v>366.15174925159192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3.4106051316484809E-13</v>
      </c>
      <c r="GA155" s="18">
        <f>FZ155*VLOOKUP('Données projet'!$B$17,Paramètres!$A$1:$I$89,3,0)*VLOOKUP('Données projet'!$B$17,Paramètres!$A$1:$I$89,5,0)</f>
        <v>2.5006556825246659E-13</v>
      </c>
      <c r="GB155" s="14">
        <f t="shared" si="185"/>
        <v>3.3765445850268018E-12</v>
      </c>
      <c r="GC155" s="22">
        <f t="shared" si="186"/>
        <v>6.3163460169613921E-12</v>
      </c>
      <c r="GD155" s="60">
        <f t="shared" si="134"/>
        <v>286.92141300674621</v>
      </c>
      <c r="GE155" s="60">
        <f ca="1">AVERAGE(OFFSET($GD$3,0,0,'Données projet'!$E$17+1,1))-AVERAGE(OFFSET($H$3,0,0,'Données projet'!$E$17+1,1))</f>
        <v>314.58662400031631</v>
      </c>
      <c r="GF155" s="60">
        <f t="shared" si="158"/>
        <v>336.99073123405981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4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-9.7986685432260874E-13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516.30971934066179</v>
      </c>
      <c r="T156" s="60">
        <f t="shared" si="142"/>
        <v>290.84286505723571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-5.1159076974727213E-13</v>
      </c>
      <c r="AJ156" s="14">
        <f>AI156*VLOOKUP('Données projet'!$B$10,Paramètres!$A$1:$I$89,3,0)*VLOOKUP('Données projet'!$B$10,Paramètres!$A$1:$I$89,5,0)</f>
        <v>-5.3471467253984886E-13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529.00505223594837</v>
      </c>
      <c r="AO156" s="60">
        <f t="shared" si="144"/>
        <v>321.23004033257985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2.9795046430081134E-13</v>
      </c>
      <c r="BF156" s="14">
        <f t="shared" si="167"/>
        <v>3.9419014464513778E-12</v>
      </c>
      <c r="BG156" s="22">
        <f t="shared" si="168"/>
        <v>7.384408744560063E-12</v>
      </c>
      <c r="BH156" s="60">
        <f t="shared" si="116"/>
        <v>287.03264548950739</v>
      </c>
      <c r="BI156" s="60">
        <f ca="1">AVERAGE(OFFSET($BH$3,0,0,'Données projet'!$E$11+1,1))-AVERAGE(OFFSET($H$3,0,0,'Données projet'!$E$11+1,1))</f>
        <v>363.28611056308665</v>
      </c>
      <c r="BJ156" s="60">
        <f t="shared" si="146"/>
        <v>389.43647559455974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-9.6633812063373625E-13</v>
      </c>
      <c r="BZ156" s="14">
        <f>BY156*VLOOKUP('Données projet'!$B$12,Paramètres!$A$1:$I$89,3,0)*VLOOKUP('Données projet'!$B$12,Paramètres!$A$1:$I$89,5,0)</f>
        <v>-1.0401663530501537E-12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542.90832990875208</v>
      </c>
      <c r="CE156" s="60">
        <f t="shared" si="148"/>
        <v>304.94365539329362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-6.2527760746888816E-13</v>
      </c>
      <c r="CU156" s="18">
        <f>CT156*VLOOKUP('Données projet'!$B$13,Paramètres!$A$1:$I$89,3,0)*VLOOKUP('Données projet'!$B$13,Paramètres!$A$1:$I$89,5,0)</f>
        <v>-2.9262992029543964E-13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277.77877239988635</v>
      </c>
      <c r="CZ156" s="60">
        <f t="shared" si="150"/>
        <v>164.65640238394164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9.7543306765146564E-14</v>
      </c>
      <c r="DQ156" s="14">
        <f t="shared" si="176"/>
        <v>1.4696264278629426E-12</v>
      </c>
      <c r="DR156" s="22">
        <f t="shared" si="177"/>
        <v>2.7294872878105889E-12</v>
      </c>
      <c r="DS156" s="60">
        <f t="shared" si="125"/>
        <v>287.03264548950273</v>
      </c>
      <c r="DT156" s="60">
        <f ca="1">AVERAGE(OFFSET($DS$3,0,0,'Données projet'!$E$14+1,1))-AVERAGE(OFFSET($H$3,0,0,'Données projet'!$E$14+1,1))</f>
        <v>354.30160274624632</v>
      </c>
      <c r="DU156" s="60">
        <f t="shared" si="152"/>
        <v>218.8005329382452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-9.6633812063373625E-13</v>
      </c>
      <c r="EK156" s="18">
        <f>EJ156*VLOOKUP('Données projet'!$B$15,Paramètres!$A$1:$I$89,3,0)*VLOOKUP('Données projet'!$B$15,Paramètres!$A$1:$I$89,5,0)</f>
        <v>-9.3464223027694966E-13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496.33873798282525</v>
      </c>
      <c r="EP156" s="60">
        <f t="shared" si="154"/>
        <v>280.25465074992246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3.4106051316484809E-13</v>
      </c>
      <c r="FF156" s="18">
        <f>FE156*VLOOKUP('Données projet'!$B$16,Paramètres!$A$1:$I$89,3,0)*VLOOKUP('Données projet'!$B$16,Paramètres!$A$1:$I$89,5,0)</f>
        <v>2.7666828827932479E-13</v>
      </c>
      <c r="FG156" s="14">
        <f t="shared" si="182"/>
        <v>3.6920483163466686E-12</v>
      </c>
      <c r="FH156" s="22">
        <f t="shared" si="183"/>
        <v>6.9121814197236049E-12</v>
      </c>
      <c r="FI156" s="60">
        <f t="shared" si="131"/>
        <v>287.03264548950693</v>
      </c>
      <c r="FJ156" s="60">
        <f ca="1">AVERAGE(OFFSET($FI$3,0,0,'Données projet'!$E$16+1,1))-AVERAGE(OFFSET($H$3,0,0,'Données projet'!$E$16+1,1))</f>
        <v>341.66430955115521</v>
      </c>
      <c r="FK156" s="60">
        <f t="shared" si="156"/>
        <v>366.15174925159192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3.4106051316484809E-13</v>
      </c>
      <c r="GA156" s="18">
        <f>FZ156*VLOOKUP('Données projet'!$B$17,Paramètres!$A$1:$I$89,3,0)*VLOOKUP('Données projet'!$B$17,Paramètres!$A$1:$I$89,5,0)</f>
        <v>2.5006556825246659E-13</v>
      </c>
      <c r="GB156" s="14">
        <f t="shared" si="185"/>
        <v>3.3765445850268018E-12</v>
      </c>
      <c r="GC156" s="22">
        <f t="shared" si="186"/>
        <v>6.3163460169613921E-12</v>
      </c>
      <c r="GD156" s="60">
        <f t="shared" si="134"/>
        <v>287.03264548950631</v>
      </c>
      <c r="GE156" s="60">
        <f ca="1">AVERAGE(OFFSET($GD$3,0,0,'Données projet'!$E$17+1,1))-AVERAGE(OFFSET($H$3,0,0,'Données projet'!$E$17+1,1))</f>
        <v>314.58662400031631</v>
      </c>
      <c r="GF156" s="60">
        <f t="shared" si="158"/>
        <v>336.99073123405981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4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-9.7986685432260874E-13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516.30971934066179</v>
      </c>
      <c r="T157" s="60">
        <f t="shared" si="142"/>
        <v>290.84286505723571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-5.1159076974727213E-13</v>
      </c>
      <c r="AJ157" s="14">
        <f>AI157*VLOOKUP('Données projet'!$B$10,Paramètres!$A$1:$I$89,3,0)*VLOOKUP('Données projet'!$B$10,Paramètres!$A$1:$I$89,5,0)</f>
        <v>-5.3471467253984886E-13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529.00505223594837</v>
      </c>
      <c r="AO157" s="60">
        <f t="shared" si="144"/>
        <v>321.23004033257985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2.9795046430081134E-13</v>
      </c>
      <c r="BF157" s="14">
        <f t="shared" si="167"/>
        <v>3.9419014464513778E-12</v>
      </c>
      <c r="BG157" s="22">
        <f t="shared" si="168"/>
        <v>7.384408744560063E-12</v>
      </c>
      <c r="BH157" s="60">
        <f t="shared" si="116"/>
        <v>287.14194833737014</v>
      </c>
      <c r="BI157" s="60">
        <f ca="1">AVERAGE(OFFSET($BH$3,0,0,'Données projet'!$E$11+1,1))-AVERAGE(OFFSET($H$3,0,0,'Données projet'!$E$11+1,1))</f>
        <v>363.28611056308665</v>
      </c>
      <c r="BJ157" s="60">
        <f t="shared" si="146"/>
        <v>389.43647559455974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-9.6633812063373625E-13</v>
      </c>
      <c r="BZ157" s="14">
        <f>BY157*VLOOKUP('Données projet'!$B$12,Paramètres!$A$1:$I$89,3,0)*VLOOKUP('Données projet'!$B$12,Paramètres!$A$1:$I$89,5,0)</f>
        <v>-1.0401663530501537E-12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542.90832990875208</v>
      </c>
      <c r="CE157" s="60">
        <f t="shared" si="148"/>
        <v>304.94365539329362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-6.2527760746888816E-13</v>
      </c>
      <c r="CU157" s="18">
        <f>CT157*VLOOKUP('Données projet'!$B$13,Paramètres!$A$1:$I$89,3,0)*VLOOKUP('Données projet'!$B$13,Paramètres!$A$1:$I$89,5,0)</f>
        <v>-2.9262992029543964E-13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277.77877239988635</v>
      </c>
      <c r="CZ157" s="60">
        <f t="shared" si="150"/>
        <v>164.65640238394164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9.7543306765146564E-14</v>
      </c>
      <c r="DQ157" s="14">
        <f t="shared" si="176"/>
        <v>1.4696264278629426E-12</v>
      </c>
      <c r="DR157" s="22">
        <f t="shared" si="177"/>
        <v>2.7294872878105889E-12</v>
      </c>
      <c r="DS157" s="60">
        <f t="shared" si="125"/>
        <v>287.14194833736548</v>
      </c>
      <c r="DT157" s="60">
        <f ca="1">AVERAGE(OFFSET($DS$3,0,0,'Données projet'!$E$14+1,1))-AVERAGE(OFFSET($H$3,0,0,'Données projet'!$E$14+1,1))</f>
        <v>354.30160274624632</v>
      </c>
      <c r="DU157" s="60">
        <f t="shared" si="152"/>
        <v>218.8005329382452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-9.6633812063373625E-13</v>
      </c>
      <c r="EK157" s="18">
        <f>EJ157*VLOOKUP('Données projet'!$B$15,Paramètres!$A$1:$I$89,3,0)*VLOOKUP('Données projet'!$B$15,Paramètres!$A$1:$I$89,5,0)</f>
        <v>-9.3464223027694966E-13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496.33873798282525</v>
      </c>
      <c r="EP157" s="60">
        <f t="shared" si="154"/>
        <v>280.25465074992246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3.4106051316484809E-13</v>
      </c>
      <c r="FF157" s="18">
        <f>FE157*VLOOKUP('Données projet'!$B$16,Paramètres!$A$1:$I$89,3,0)*VLOOKUP('Données projet'!$B$16,Paramètres!$A$1:$I$89,5,0)</f>
        <v>2.7666828827932479E-13</v>
      </c>
      <c r="FG157" s="14">
        <f t="shared" si="182"/>
        <v>3.6920483163466686E-12</v>
      </c>
      <c r="FH157" s="22">
        <f t="shared" si="183"/>
        <v>6.9121814197236049E-12</v>
      </c>
      <c r="FI157" s="60">
        <f t="shared" si="131"/>
        <v>287.14194833736968</v>
      </c>
      <c r="FJ157" s="60">
        <f ca="1">AVERAGE(OFFSET($FI$3,0,0,'Données projet'!$E$16+1,1))-AVERAGE(OFFSET($H$3,0,0,'Données projet'!$E$16+1,1))</f>
        <v>341.66430955115521</v>
      </c>
      <c r="FK157" s="60">
        <f t="shared" si="156"/>
        <v>366.15174925159192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3.4106051316484809E-13</v>
      </c>
      <c r="GA157" s="18">
        <f>FZ157*VLOOKUP('Données projet'!$B$17,Paramètres!$A$1:$I$89,3,0)*VLOOKUP('Données projet'!$B$17,Paramètres!$A$1:$I$89,5,0)</f>
        <v>2.5006556825246659E-13</v>
      </c>
      <c r="GB157" s="14">
        <f t="shared" si="185"/>
        <v>3.3765445850268018E-12</v>
      </c>
      <c r="GC157" s="22">
        <f t="shared" si="186"/>
        <v>6.3163460169613921E-12</v>
      </c>
      <c r="GD157" s="60">
        <f t="shared" si="134"/>
        <v>287.14194833736906</v>
      </c>
      <c r="GE157" s="60">
        <f ca="1">AVERAGE(OFFSET($GD$3,0,0,'Données projet'!$E$17+1,1))-AVERAGE(OFFSET($H$3,0,0,'Données projet'!$E$17+1,1))</f>
        <v>314.58662400031631</v>
      </c>
      <c r="GF157" s="60">
        <f t="shared" si="158"/>
        <v>336.99073123405981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4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-9.7986685432260874E-13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516.30971934066179</v>
      </c>
      <c r="T158" s="60">
        <f t="shared" si="142"/>
        <v>290.84286505723571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-5.1159076974727213E-13</v>
      </c>
      <c r="AJ158" s="14">
        <f>AI158*VLOOKUP('Données projet'!$B$10,Paramètres!$A$1:$I$89,3,0)*VLOOKUP('Données projet'!$B$10,Paramètres!$A$1:$I$89,5,0)</f>
        <v>-5.3471467253984886E-13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529.00505223594837</v>
      </c>
      <c r="AO158" s="60">
        <f t="shared" si="144"/>
        <v>321.23004033257985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2.9795046430081134E-13</v>
      </c>
      <c r="BF158" s="14">
        <f t="shared" si="167"/>
        <v>3.9419014464513778E-12</v>
      </c>
      <c r="BG158" s="22">
        <f t="shared" si="168"/>
        <v>7.384408744560063E-12</v>
      </c>
      <c r="BH158" s="60">
        <f t="shared" si="116"/>
        <v>287.24935502518707</v>
      </c>
      <c r="BI158" s="60">
        <f ca="1">AVERAGE(OFFSET($BH$3,0,0,'Données projet'!$E$11+1,1))-AVERAGE(OFFSET($H$3,0,0,'Données projet'!$E$11+1,1))</f>
        <v>363.28611056308665</v>
      </c>
      <c r="BJ158" s="60">
        <f t="shared" si="146"/>
        <v>389.43647559455974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-9.6633812063373625E-13</v>
      </c>
      <c r="BZ158" s="14">
        <f>BY158*VLOOKUP('Données projet'!$B$12,Paramètres!$A$1:$I$89,3,0)*VLOOKUP('Données projet'!$B$12,Paramètres!$A$1:$I$89,5,0)</f>
        <v>-1.0401663530501537E-12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542.90832990875208</v>
      </c>
      <c r="CE158" s="60">
        <f t="shared" si="148"/>
        <v>304.94365539329362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-6.2527760746888816E-13</v>
      </c>
      <c r="CU158" s="18">
        <f>CT158*VLOOKUP('Données projet'!$B$13,Paramètres!$A$1:$I$89,3,0)*VLOOKUP('Données projet'!$B$13,Paramètres!$A$1:$I$89,5,0)</f>
        <v>-2.9262992029543964E-13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277.77877239988635</v>
      </c>
      <c r="CZ158" s="60">
        <f t="shared" si="150"/>
        <v>164.65640238394164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9.7543306765146564E-14</v>
      </c>
      <c r="DQ158" s="14">
        <f t="shared" si="176"/>
        <v>1.4696264278629426E-12</v>
      </c>
      <c r="DR158" s="22">
        <f t="shared" si="177"/>
        <v>2.7294872878105889E-12</v>
      </c>
      <c r="DS158" s="60">
        <f t="shared" si="125"/>
        <v>287.24935502518241</v>
      </c>
      <c r="DT158" s="60">
        <f ca="1">AVERAGE(OFFSET($DS$3,0,0,'Données projet'!$E$14+1,1))-AVERAGE(OFFSET($H$3,0,0,'Données projet'!$E$14+1,1))</f>
        <v>354.30160274624632</v>
      </c>
      <c r="DU158" s="60">
        <f t="shared" si="152"/>
        <v>218.8005329382452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-9.6633812063373625E-13</v>
      </c>
      <c r="EK158" s="18">
        <f>EJ158*VLOOKUP('Données projet'!$B$15,Paramètres!$A$1:$I$89,3,0)*VLOOKUP('Données projet'!$B$15,Paramètres!$A$1:$I$89,5,0)</f>
        <v>-9.3464223027694966E-13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496.33873798282525</v>
      </c>
      <c r="EP158" s="60">
        <f t="shared" si="154"/>
        <v>280.25465074992246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3.4106051316484809E-13</v>
      </c>
      <c r="FF158" s="18">
        <f>FE158*VLOOKUP('Données projet'!$B$16,Paramètres!$A$1:$I$89,3,0)*VLOOKUP('Données projet'!$B$16,Paramètres!$A$1:$I$89,5,0)</f>
        <v>2.7666828827932479E-13</v>
      </c>
      <c r="FG158" s="14">
        <f t="shared" si="182"/>
        <v>3.6920483163466686E-12</v>
      </c>
      <c r="FH158" s="22">
        <f t="shared" si="183"/>
        <v>6.9121814197236049E-12</v>
      </c>
      <c r="FI158" s="60">
        <f t="shared" si="131"/>
        <v>287.24935502518662</v>
      </c>
      <c r="FJ158" s="60">
        <f ca="1">AVERAGE(OFFSET($FI$3,0,0,'Données projet'!$E$16+1,1))-AVERAGE(OFFSET($H$3,0,0,'Données projet'!$E$16+1,1))</f>
        <v>341.66430955115521</v>
      </c>
      <c r="FK158" s="60">
        <f t="shared" si="156"/>
        <v>366.15174925159192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3.4106051316484809E-13</v>
      </c>
      <c r="GA158" s="18">
        <f>FZ158*VLOOKUP('Données projet'!$B$17,Paramètres!$A$1:$I$89,3,0)*VLOOKUP('Données projet'!$B$17,Paramètres!$A$1:$I$89,5,0)</f>
        <v>2.5006556825246659E-13</v>
      </c>
      <c r="GB158" s="14">
        <f t="shared" si="185"/>
        <v>3.3765445850268018E-12</v>
      </c>
      <c r="GC158" s="22">
        <f t="shared" si="186"/>
        <v>6.3163460169613921E-12</v>
      </c>
      <c r="GD158" s="60">
        <f t="shared" si="134"/>
        <v>287.24935502518599</v>
      </c>
      <c r="GE158" s="60">
        <f ca="1">AVERAGE(OFFSET($GD$3,0,0,'Données projet'!$E$17+1,1))-AVERAGE(OFFSET($H$3,0,0,'Données projet'!$E$17+1,1))</f>
        <v>314.58662400031631</v>
      </c>
      <c r="GF158" s="60">
        <f t="shared" si="158"/>
        <v>336.99073123405981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4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-9.7986685432260874E-13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516.30971934066179</v>
      </c>
      <c r="T159" s="60">
        <f t="shared" si="142"/>
        <v>290.84286505723571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-5.1159076974727213E-13</v>
      </c>
      <c r="AJ159" s="14">
        <f>AI159*VLOOKUP('Données projet'!$B$10,Paramètres!$A$1:$I$89,3,0)*VLOOKUP('Données projet'!$B$10,Paramètres!$A$1:$I$89,5,0)</f>
        <v>-5.3471467253984886E-13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529.00505223594837</v>
      </c>
      <c r="AO159" s="60">
        <f t="shared" si="144"/>
        <v>321.23004033257985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2.9795046430081134E-13</v>
      </c>
      <c r="BF159" s="14">
        <f t="shared" si="167"/>
        <v>3.9419014464513778E-12</v>
      </c>
      <c r="BG159" s="22">
        <f t="shared" si="168"/>
        <v>7.384408744560063E-12</v>
      </c>
      <c r="BH159" s="60">
        <f t="shared" si="116"/>
        <v>287.35489844709571</v>
      </c>
      <c r="BI159" s="60">
        <f ca="1">AVERAGE(OFFSET($BH$3,0,0,'Données projet'!$E$11+1,1))-AVERAGE(OFFSET($H$3,0,0,'Données projet'!$E$11+1,1))</f>
        <v>363.28611056308665</v>
      </c>
      <c r="BJ159" s="60">
        <f t="shared" si="146"/>
        <v>389.43647559455974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-9.6633812063373625E-13</v>
      </c>
      <c r="BZ159" s="14">
        <f>BY159*VLOOKUP('Données projet'!$B$12,Paramètres!$A$1:$I$89,3,0)*VLOOKUP('Données projet'!$B$12,Paramètres!$A$1:$I$89,5,0)</f>
        <v>-1.0401663530501537E-12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542.90832990875208</v>
      </c>
      <c r="CE159" s="60">
        <f t="shared" si="148"/>
        <v>304.94365539329362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-6.2527760746888816E-13</v>
      </c>
      <c r="CU159" s="18">
        <f>CT159*VLOOKUP('Données projet'!$B$13,Paramètres!$A$1:$I$89,3,0)*VLOOKUP('Données projet'!$B$13,Paramètres!$A$1:$I$89,5,0)</f>
        <v>-2.9262992029543964E-13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277.77877239988635</v>
      </c>
      <c r="CZ159" s="60">
        <f t="shared" si="150"/>
        <v>164.65640238394164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9.7543306765146564E-14</v>
      </c>
      <c r="DQ159" s="14">
        <f t="shared" si="176"/>
        <v>1.4696264278629426E-12</v>
      </c>
      <c r="DR159" s="22">
        <f t="shared" si="177"/>
        <v>2.7294872878105889E-12</v>
      </c>
      <c r="DS159" s="60">
        <f t="shared" si="125"/>
        <v>287.35489844709105</v>
      </c>
      <c r="DT159" s="60">
        <f ca="1">AVERAGE(OFFSET($DS$3,0,0,'Données projet'!$E$14+1,1))-AVERAGE(OFFSET($H$3,0,0,'Données projet'!$E$14+1,1))</f>
        <v>354.30160274624632</v>
      </c>
      <c r="DU159" s="60">
        <f t="shared" si="152"/>
        <v>218.8005329382452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-9.6633812063373625E-13</v>
      </c>
      <c r="EK159" s="18">
        <f>EJ159*VLOOKUP('Données projet'!$B$15,Paramètres!$A$1:$I$89,3,0)*VLOOKUP('Données projet'!$B$15,Paramètres!$A$1:$I$89,5,0)</f>
        <v>-9.3464223027694966E-13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496.33873798282525</v>
      </c>
      <c r="EP159" s="60">
        <f t="shared" si="154"/>
        <v>280.25465074992246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3.4106051316484809E-13</v>
      </c>
      <c r="FF159" s="18">
        <f>FE159*VLOOKUP('Données projet'!$B$16,Paramètres!$A$1:$I$89,3,0)*VLOOKUP('Données projet'!$B$16,Paramètres!$A$1:$I$89,5,0)</f>
        <v>2.7666828827932479E-13</v>
      </c>
      <c r="FG159" s="14">
        <f t="shared" si="182"/>
        <v>3.6920483163466686E-12</v>
      </c>
      <c r="FH159" s="22">
        <f t="shared" si="183"/>
        <v>6.9121814197236049E-12</v>
      </c>
      <c r="FI159" s="60">
        <f t="shared" si="131"/>
        <v>287.35489844709525</v>
      </c>
      <c r="FJ159" s="60">
        <f ca="1">AVERAGE(OFFSET($FI$3,0,0,'Données projet'!$E$16+1,1))-AVERAGE(OFFSET($H$3,0,0,'Données projet'!$E$16+1,1))</f>
        <v>341.66430955115521</v>
      </c>
      <c r="FK159" s="60">
        <f t="shared" si="156"/>
        <v>366.15174925159192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3.4106051316484809E-13</v>
      </c>
      <c r="GA159" s="18">
        <f>FZ159*VLOOKUP('Données projet'!$B$17,Paramètres!$A$1:$I$89,3,0)*VLOOKUP('Données projet'!$B$17,Paramètres!$A$1:$I$89,5,0)</f>
        <v>2.5006556825246659E-13</v>
      </c>
      <c r="GB159" s="14">
        <f t="shared" si="185"/>
        <v>3.3765445850268018E-12</v>
      </c>
      <c r="GC159" s="22">
        <f t="shared" si="186"/>
        <v>6.3163460169613921E-12</v>
      </c>
      <c r="GD159" s="60">
        <f t="shared" si="134"/>
        <v>287.35489844709463</v>
      </c>
      <c r="GE159" s="60">
        <f ca="1">AVERAGE(OFFSET($GD$3,0,0,'Données projet'!$E$17+1,1))-AVERAGE(OFFSET($H$3,0,0,'Données projet'!$E$17+1,1))</f>
        <v>314.58662400031631</v>
      </c>
      <c r="GF159" s="60">
        <f t="shared" si="158"/>
        <v>336.99073123405981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4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-9.7986685432260874E-13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516.30971934066179</v>
      </c>
      <c r="T160" s="60">
        <f t="shared" si="142"/>
        <v>290.84286505723571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-5.1159076974727213E-13</v>
      </c>
      <c r="AJ160" s="14">
        <f>AI160*VLOOKUP('Données projet'!$B$10,Paramètres!$A$1:$I$89,3,0)*VLOOKUP('Données projet'!$B$10,Paramètres!$A$1:$I$89,5,0)</f>
        <v>-5.3471467253984886E-13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529.00505223594837</v>
      </c>
      <c r="AO160" s="60">
        <f t="shared" si="144"/>
        <v>321.23004033257985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2.9795046430081134E-13</v>
      </c>
      <c r="BF160" s="14">
        <f t="shared" si="167"/>
        <v>3.9419014464513778E-12</v>
      </c>
      <c r="BG160" s="22">
        <f t="shared" si="168"/>
        <v>7.384408744560063E-12</v>
      </c>
      <c r="BH160" s="60">
        <f t="shared" si="116"/>
        <v>287.45861092659396</v>
      </c>
      <c r="BI160" s="60">
        <f ca="1">AVERAGE(OFFSET($BH$3,0,0,'Données projet'!$E$11+1,1))-AVERAGE(OFFSET($H$3,0,0,'Données projet'!$E$11+1,1))</f>
        <v>363.28611056308665</v>
      </c>
      <c r="BJ160" s="60">
        <f t="shared" si="146"/>
        <v>389.43647559455974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-9.6633812063373625E-13</v>
      </c>
      <c r="BZ160" s="14">
        <f>BY160*VLOOKUP('Données projet'!$B$12,Paramètres!$A$1:$I$89,3,0)*VLOOKUP('Données projet'!$B$12,Paramètres!$A$1:$I$89,5,0)</f>
        <v>-1.0401663530501537E-12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542.90832990875208</v>
      </c>
      <c r="CE160" s="60">
        <f t="shared" si="148"/>
        <v>304.94365539329362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-6.2527760746888816E-13</v>
      </c>
      <c r="CU160" s="18">
        <f>CT160*VLOOKUP('Données projet'!$B$13,Paramètres!$A$1:$I$89,3,0)*VLOOKUP('Données projet'!$B$13,Paramètres!$A$1:$I$89,5,0)</f>
        <v>-2.9262992029543964E-13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277.77877239988635</v>
      </c>
      <c r="CZ160" s="60">
        <f t="shared" si="150"/>
        <v>164.65640238394164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9.7543306765146564E-14</v>
      </c>
      <c r="DQ160" s="14">
        <f t="shared" si="176"/>
        <v>1.4696264278629426E-12</v>
      </c>
      <c r="DR160" s="22">
        <f t="shared" si="177"/>
        <v>2.7294872878105889E-12</v>
      </c>
      <c r="DS160" s="60">
        <f t="shared" si="125"/>
        <v>287.4586109265893</v>
      </c>
      <c r="DT160" s="60">
        <f ca="1">AVERAGE(OFFSET($DS$3,0,0,'Données projet'!$E$14+1,1))-AVERAGE(OFFSET($H$3,0,0,'Données projet'!$E$14+1,1))</f>
        <v>354.30160274624632</v>
      </c>
      <c r="DU160" s="60">
        <f t="shared" si="152"/>
        <v>218.8005329382452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-9.6633812063373625E-13</v>
      </c>
      <c r="EK160" s="18">
        <f>EJ160*VLOOKUP('Données projet'!$B$15,Paramètres!$A$1:$I$89,3,0)*VLOOKUP('Données projet'!$B$15,Paramètres!$A$1:$I$89,5,0)</f>
        <v>-9.3464223027694966E-13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496.33873798282525</v>
      </c>
      <c r="EP160" s="60">
        <f t="shared" si="154"/>
        <v>280.25465074992246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3.4106051316484809E-13</v>
      </c>
      <c r="FF160" s="18">
        <f>FE160*VLOOKUP('Données projet'!$B$16,Paramètres!$A$1:$I$89,3,0)*VLOOKUP('Données projet'!$B$16,Paramètres!$A$1:$I$89,5,0)</f>
        <v>2.7666828827932479E-13</v>
      </c>
      <c r="FG160" s="14">
        <f t="shared" si="182"/>
        <v>3.6920483163466686E-12</v>
      </c>
      <c r="FH160" s="22">
        <f t="shared" si="183"/>
        <v>6.9121814197236049E-12</v>
      </c>
      <c r="FI160" s="60">
        <f t="shared" si="131"/>
        <v>287.45861092659351</v>
      </c>
      <c r="FJ160" s="60">
        <f ca="1">AVERAGE(OFFSET($FI$3,0,0,'Données projet'!$E$16+1,1))-AVERAGE(OFFSET($H$3,0,0,'Données projet'!$E$16+1,1))</f>
        <v>341.66430955115521</v>
      </c>
      <c r="FK160" s="60">
        <f t="shared" si="156"/>
        <v>366.15174925159192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3.4106051316484809E-13</v>
      </c>
      <c r="GA160" s="18">
        <f>FZ160*VLOOKUP('Données projet'!$B$17,Paramètres!$A$1:$I$89,3,0)*VLOOKUP('Données projet'!$B$17,Paramètres!$A$1:$I$89,5,0)</f>
        <v>2.5006556825246659E-13</v>
      </c>
      <c r="GB160" s="14">
        <f t="shared" si="185"/>
        <v>3.3765445850268018E-12</v>
      </c>
      <c r="GC160" s="22">
        <f t="shared" si="186"/>
        <v>6.3163460169613921E-12</v>
      </c>
      <c r="GD160" s="60">
        <f t="shared" si="134"/>
        <v>287.45861092659288</v>
      </c>
      <c r="GE160" s="60">
        <f ca="1">AVERAGE(OFFSET($GD$3,0,0,'Données projet'!$E$17+1,1))-AVERAGE(OFFSET($H$3,0,0,'Données projet'!$E$17+1,1))</f>
        <v>314.58662400031631</v>
      </c>
      <c r="GF160" s="60">
        <f t="shared" si="158"/>
        <v>336.99073123405981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4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-9.7986685432260874E-13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516.30971934066179</v>
      </c>
      <c r="T161" s="60">
        <f t="shared" si="142"/>
        <v>290.84286505723571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-5.1159076974727213E-13</v>
      </c>
      <c r="AJ161" s="14">
        <f>AI161*VLOOKUP('Données projet'!$B$10,Paramètres!$A$1:$I$89,3,0)*VLOOKUP('Données projet'!$B$10,Paramètres!$A$1:$I$89,5,0)</f>
        <v>-5.3471467253984886E-13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529.00505223594837</v>
      </c>
      <c r="AO161" s="60">
        <f t="shared" si="144"/>
        <v>321.23004033257985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2.9795046430081134E-13</v>
      </c>
      <c r="BF161" s="14">
        <f t="shared" si="167"/>
        <v>3.9419014464513778E-12</v>
      </c>
      <c r="BG161" s="22">
        <f t="shared" si="168"/>
        <v>7.384408744560063E-12</v>
      </c>
      <c r="BH161" s="60">
        <f t="shared" si="116"/>
        <v>287.56052422643938</v>
      </c>
      <c r="BI161" s="60">
        <f ca="1">AVERAGE(OFFSET($BH$3,0,0,'Données projet'!$E$11+1,1))-AVERAGE(OFFSET($H$3,0,0,'Données projet'!$E$11+1,1))</f>
        <v>363.28611056308665</v>
      </c>
      <c r="BJ161" s="60">
        <f t="shared" si="146"/>
        <v>389.43647559455974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-9.6633812063373625E-13</v>
      </c>
      <c r="BZ161" s="14">
        <f>BY161*VLOOKUP('Données projet'!$B$12,Paramètres!$A$1:$I$89,3,0)*VLOOKUP('Données projet'!$B$12,Paramètres!$A$1:$I$89,5,0)</f>
        <v>-1.0401663530501537E-12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542.90832990875208</v>
      </c>
      <c r="CE161" s="60">
        <f t="shared" si="148"/>
        <v>304.94365539329362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-6.2527760746888816E-13</v>
      </c>
      <c r="CU161" s="18">
        <f>CT161*VLOOKUP('Données projet'!$B$13,Paramètres!$A$1:$I$89,3,0)*VLOOKUP('Données projet'!$B$13,Paramètres!$A$1:$I$89,5,0)</f>
        <v>-2.9262992029543964E-13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277.77877239988635</v>
      </c>
      <c r="CZ161" s="60">
        <f t="shared" si="150"/>
        <v>164.65640238394164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9.7543306765146564E-14</v>
      </c>
      <c r="DQ161" s="14">
        <f t="shared" si="176"/>
        <v>1.4696264278629426E-12</v>
      </c>
      <c r="DR161" s="22">
        <f t="shared" si="177"/>
        <v>2.7294872878105889E-12</v>
      </c>
      <c r="DS161" s="60">
        <f t="shared" si="125"/>
        <v>287.56052422643472</v>
      </c>
      <c r="DT161" s="60">
        <f ca="1">AVERAGE(OFFSET($DS$3,0,0,'Données projet'!$E$14+1,1))-AVERAGE(OFFSET($H$3,0,0,'Données projet'!$E$14+1,1))</f>
        <v>354.30160274624632</v>
      </c>
      <c r="DU161" s="60">
        <f t="shared" si="152"/>
        <v>218.8005329382452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-9.6633812063373625E-13</v>
      </c>
      <c r="EK161" s="18">
        <f>EJ161*VLOOKUP('Données projet'!$B$15,Paramètres!$A$1:$I$89,3,0)*VLOOKUP('Données projet'!$B$15,Paramètres!$A$1:$I$89,5,0)</f>
        <v>-9.3464223027694966E-13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496.33873798282525</v>
      </c>
      <c r="EP161" s="60">
        <f t="shared" si="154"/>
        <v>280.25465074992246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3.4106051316484809E-13</v>
      </c>
      <c r="FF161" s="18">
        <f>FE161*VLOOKUP('Données projet'!$B$16,Paramètres!$A$1:$I$89,3,0)*VLOOKUP('Données projet'!$B$16,Paramètres!$A$1:$I$89,5,0)</f>
        <v>2.7666828827932479E-13</v>
      </c>
      <c r="FG161" s="14">
        <f t="shared" si="182"/>
        <v>3.6920483163466686E-12</v>
      </c>
      <c r="FH161" s="22">
        <f t="shared" si="183"/>
        <v>6.9121814197236049E-12</v>
      </c>
      <c r="FI161" s="60">
        <f t="shared" si="131"/>
        <v>287.56052422643893</v>
      </c>
      <c r="FJ161" s="60">
        <f ca="1">AVERAGE(OFFSET($FI$3,0,0,'Données projet'!$E$16+1,1))-AVERAGE(OFFSET($H$3,0,0,'Données projet'!$E$16+1,1))</f>
        <v>341.66430955115521</v>
      </c>
      <c r="FK161" s="60">
        <f t="shared" si="156"/>
        <v>366.15174925159192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3.4106051316484809E-13</v>
      </c>
      <c r="GA161" s="18">
        <f>FZ161*VLOOKUP('Données projet'!$B$17,Paramètres!$A$1:$I$89,3,0)*VLOOKUP('Données projet'!$B$17,Paramètres!$A$1:$I$89,5,0)</f>
        <v>2.5006556825246659E-13</v>
      </c>
      <c r="GB161" s="14">
        <f t="shared" si="185"/>
        <v>3.3765445850268018E-12</v>
      </c>
      <c r="GC161" s="22">
        <f t="shared" si="186"/>
        <v>6.3163460169613921E-12</v>
      </c>
      <c r="GD161" s="60">
        <f t="shared" si="134"/>
        <v>287.5605242264383</v>
      </c>
      <c r="GE161" s="60">
        <f ca="1">AVERAGE(OFFSET($GD$3,0,0,'Données projet'!$E$17+1,1))-AVERAGE(OFFSET($H$3,0,0,'Données projet'!$E$17+1,1))</f>
        <v>314.58662400031631</v>
      </c>
      <c r="GF161" s="60">
        <f t="shared" si="158"/>
        <v>336.99073123405981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4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-9.7986685432260874E-13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516.30971934066179</v>
      </c>
      <c r="T162" s="60">
        <f t="shared" si="142"/>
        <v>290.84286505723571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-5.1159076974727213E-13</v>
      </c>
      <c r="AJ162" s="14">
        <f>AI162*VLOOKUP('Données projet'!$B$10,Paramètres!$A$1:$I$89,3,0)*VLOOKUP('Données projet'!$B$10,Paramètres!$A$1:$I$89,5,0)</f>
        <v>-5.3471467253984886E-13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529.00505223594837</v>
      </c>
      <c r="AO162" s="60">
        <f t="shared" si="144"/>
        <v>321.23004033257985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2.9795046430081134E-13</v>
      </c>
      <c r="BF162" s="14">
        <f t="shared" si="167"/>
        <v>3.9419014464513778E-12</v>
      </c>
      <c r="BG162" s="22">
        <f t="shared" si="168"/>
        <v>7.384408744560063E-12</v>
      </c>
      <c r="BH162" s="60">
        <f t="shared" si="116"/>
        <v>287.66066955837636</v>
      </c>
      <c r="BI162" s="60">
        <f ca="1">AVERAGE(OFFSET($BH$3,0,0,'Données projet'!$E$11+1,1))-AVERAGE(OFFSET($H$3,0,0,'Données projet'!$E$11+1,1))</f>
        <v>363.28611056308665</v>
      </c>
      <c r="BJ162" s="60">
        <f t="shared" si="146"/>
        <v>389.43647559455974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-9.6633812063373625E-13</v>
      </c>
      <c r="BZ162" s="14">
        <f>BY162*VLOOKUP('Données projet'!$B$12,Paramètres!$A$1:$I$89,3,0)*VLOOKUP('Données projet'!$B$12,Paramètres!$A$1:$I$89,5,0)</f>
        <v>-1.0401663530501537E-12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542.90832990875208</v>
      </c>
      <c r="CE162" s="60">
        <f t="shared" si="148"/>
        <v>304.94365539329362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-6.2527760746888816E-13</v>
      </c>
      <c r="CU162" s="18">
        <f>CT162*VLOOKUP('Données projet'!$B$13,Paramètres!$A$1:$I$89,3,0)*VLOOKUP('Données projet'!$B$13,Paramètres!$A$1:$I$89,5,0)</f>
        <v>-2.9262992029543964E-13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277.77877239988635</v>
      </c>
      <c r="CZ162" s="60">
        <f t="shared" si="150"/>
        <v>164.65640238394164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9.7543306765146564E-14</v>
      </c>
      <c r="DQ162" s="14">
        <f t="shared" si="176"/>
        <v>1.4696264278629426E-12</v>
      </c>
      <c r="DR162" s="22">
        <f t="shared" si="177"/>
        <v>2.7294872878105889E-12</v>
      </c>
      <c r="DS162" s="60">
        <f t="shared" si="125"/>
        <v>287.66066955837169</v>
      </c>
      <c r="DT162" s="60">
        <f ca="1">AVERAGE(OFFSET($DS$3,0,0,'Données projet'!$E$14+1,1))-AVERAGE(OFFSET($H$3,0,0,'Données projet'!$E$14+1,1))</f>
        <v>354.30160274624632</v>
      </c>
      <c r="DU162" s="60">
        <f t="shared" si="152"/>
        <v>218.8005329382452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-9.6633812063373625E-13</v>
      </c>
      <c r="EK162" s="18">
        <f>EJ162*VLOOKUP('Données projet'!$B$15,Paramètres!$A$1:$I$89,3,0)*VLOOKUP('Données projet'!$B$15,Paramètres!$A$1:$I$89,5,0)</f>
        <v>-9.3464223027694966E-13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496.33873798282525</v>
      </c>
      <c r="EP162" s="60">
        <f t="shared" si="154"/>
        <v>280.25465074992246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3.4106051316484809E-13</v>
      </c>
      <c r="FF162" s="18">
        <f>FE162*VLOOKUP('Données projet'!$B$16,Paramètres!$A$1:$I$89,3,0)*VLOOKUP('Données projet'!$B$16,Paramètres!$A$1:$I$89,5,0)</f>
        <v>2.7666828827932479E-13</v>
      </c>
      <c r="FG162" s="14">
        <f t="shared" si="182"/>
        <v>3.6920483163466686E-12</v>
      </c>
      <c r="FH162" s="22">
        <f t="shared" si="183"/>
        <v>6.9121814197236049E-12</v>
      </c>
      <c r="FI162" s="60">
        <f t="shared" si="131"/>
        <v>287.6606695583759</v>
      </c>
      <c r="FJ162" s="60">
        <f ca="1">AVERAGE(OFFSET($FI$3,0,0,'Données projet'!$E$16+1,1))-AVERAGE(OFFSET($H$3,0,0,'Données projet'!$E$16+1,1))</f>
        <v>341.66430955115521</v>
      </c>
      <c r="FK162" s="60">
        <f t="shared" si="156"/>
        <v>366.15174925159192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3.4106051316484809E-13</v>
      </c>
      <c r="GA162" s="18">
        <f>FZ162*VLOOKUP('Données projet'!$B$17,Paramètres!$A$1:$I$89,3,0)*VLOOKUP('Données projet'!$B$17,Paramètres!$A$1:$I$89,5,0)</f>
        <v>2.5006556825246659E-13</v>
      </c>
      <c r="GB162" s="14">
        <f t="shared" si="185"/>
        <v>3.3765445850268018E-12</v>
      </c>
      <c r="GC162" s="22">
        <f t="shared" si="186"/>
        <v>6.3163460169613921E-12</v>
      </c>
      <c r="GD162" s="60">
        <f t="shared" si="134"/>
        <v>287.66066955837528</v>
      </c>
      <c r="GE162" s="60">
        <f ca="1">AVERAGE(OFFSET($GD$3,0,0,'Données projet'!$E$17+1,1))-AVERAGE(OFFSET($H$3,0,0,'Données projet'!$E$17+1,1))</f>
        <v>314.58662400031631</v>
      </c>
      <c r="GF162" s="60">
        <f t="shared" si="158"/>
        <v>336.99073123405981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4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-9.7986685432260874E-13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516.30971934066179</v>
      </c>
      <c r="T163" s="60">
        <f t="shared" si="142"/>
        <v>290.84286505723571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-5.1159076974727213E-13</v>
      </c>
      <c r="AJ163" s="14">
        <f>AI163*VLOOKUP('Données projet'!$B$10,Paramètres!$A$1:$I$89,3,0)*VLOOKUP('Données projet'!$B$10,Paramètres!$A$1:$I$89,5,0)</f>
        <v>-5.3471467253984886E-13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529.00505223594837</v>
      </c>
      <c r="AO163" s="60">
        <f t="shared" si="144"/>
        <v>321.23004033257985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2.9795046430081134E-13</v>
      </c>
      <c r="BF163" s="14">
        <f t="shared" si="167"/>
        <v>3.9419014464513778E-12</v>
      </c>
      <c r="BG163" s="22">
        <f t="shared" si="168"/>
        <v>7.384408744560063E-12</v>
      </c>
      <c r="BH163" s="60">
        <f t="shared" si="116"/>
        <v>287.75907759269575</v>
      </c>
      <c r="BI163" s="60">
        <f ca="1">AVERAGE(OFFSET($BH$3,0,0,'Données projet'!$E$11+1,1))-AVERAGE(OFFSET($H$3,0,0,'Données projet'!$E$11+1,1))</f>
        <v>363.28611056308665</v>
      </c>
      <c r="BJ163" s="60">
        <f t="shared" si="146"/>
        <v>389.43647559455974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-9.6633812063373625E-13</v>
      </c>
      <c r="BZ163" s="14">
        <f>BY163*VLOOKUP('Données projet'!$B$12,Paramètres!$A$1:$I$89,3,0)*VLOOKUP('Données projet'!$B$12,Paramètres!$A$1:$I$89,5,0)</f>
        <v>-1.0401663530501537E-12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542.90832990875208</v>
      </c>
      <c r="CE163" s="60">
        <f t="shared" si="148"/>
        <v>304.94365539329362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-6.2527760746888816E-13</v>
      </c>
      <c r="CU163" s="18">
        <f>CT163*VLOOKUP('Données projet'!$B$13,Paramètres!$A$1:$I$89,3,0)*VLOOKUP('Données projet'!$B$13,Paramètres!$A$1:$I$89,5,0)</f>
        <v>-2.9262992029543964E-13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277.77877239988635</v>
      </c>
      <c r="CZ163" s="60">
        <f t="shared" si="150"/>
        <v>164.65640238394164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9.7543306765146564E-14</v>
      </c>
      <c r="DQ163" s="14">
        <f t="shared" si="176"/>
        <v>1.4696264278629426E-12</v>
      </c>
      <c r="DR163" s="22">
        <f t="shared" si="177"/>
        <v>2.7294872878105889E-12</v>
      </c>
      <c r="DS163" s="60">
        <f t="shared" si="125"/>
        <v>287.75907759269109</v>
      </c>
      <c r="DT163" s="60">
        <f ca="1">AVERAGE(OFFSET($DS$3,0,0,'Données projet'!$E$14+1,1))-AVERAGE(OFFSET($H$3,0,0,'Données projet'!$E$14+1,1))</f>
        <v>354.30160274624632</v>
      </c>
      <c r="DU163" s="60">
        <f t="shared" si="152"/>
        <v>218.8005329382452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-9.6633812063373625E-13</v>
      </c>
      <c r="EK163" s="18">
        <f>EJ163*VLOOKUP('Données projet'!$B$15,Paramètres!$A$1:$I$89,3,0)*VLOOKUP('Données projet'!$B$15,Paramètres!$A$1:$I$89,5,0)</f>
        <v>-9.3464223027694966E-13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496.33873798282525</v>
      </c>
      <c r="EP163" s="60">
        <f t="shared" si="154"/>
        <v>280.25465074992246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3.4106051316484809E-13</v>
      </c>
      <c r="FF163" s="18">
        <f>FE163*VLOOKUP('Données projet'!$B$16,Paramètres!$A$1:$I$89,3,0)*VLOOKUP('Données projet'!$B$16,Paramètres!$A$1:$I$89,5,0)</f>
        <v>2.7666828827932479E-13</v>
      </c>
      <c r="FG163" s="14">
        <f t="shared" si="182"/>
        <v>3.6920483163466686E-12</v>
      </c>
      <c r="FH163" s="22">
        <f t="shared" si="183"/>
        <v>6.9121814197236049E-12</v>
      </c>
      <c r="FI163" s="60">
        <f t="shared" si="131"/>
        <v>287.75907759269529</v>
      </c>
      <c r="FJ163" s="60">
        <f ca="1">AVERAGE(OFFSET($FI$3,0,0,'Données projet'!$E$16+1,1))-AVERAGE(OFFSET($H$3,0,0,'Données projet'!$E$16+1,1))</f>
        <v>341.66430955115521</v>
      </c>
      <c r="FK163" s="60">
        <f t="shared" si="156"/>
        <v>366.15174925159192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3.4106051316484809E-13</v>
      </c>
      <c r="GA163" s="18">
        <f>FZ163*VLOOKUP('Données projet'!$B$17,Paramètres!$A$1:$I$89,3,0)*VLOOKUP('Données projet'!$B$17,Paramètres!$A$1:$I$89,5,0)</f>
        <v>2.5006556825246659E-13</v>
      </c>
      <c r="GB163" s="14">
        <f t="shared" si="185"/>
        <v>3.3765445850268018E-12</v>
      </c>
      <c r="GC163" s="22">
        <f t="shared" si="186"/>
        <v>6.3163460169613921E-12</v>
      </c>
      <c r="GD163" s="60">
        <f t="shared" si="134"/>
        <v>287.75907759269467</v>
      </c>
      <c r="GE163" s="60">
        <f ca="1">AVERAGE(OFFSET($GD$3,0,0,'Données projet'!$E$17+1,1))-AVERAGE(OFFSET($H$3,0,0,'Données projet'!$E$17+1,1))</f>
        <v>314.58662400031631</v>
      </c>
      <c r="GF163" s="60">
        <f t="shared" si="158"/>
        <v>336.99073123405981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4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-9.7986685432260874E-13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516.30971934066179</v>
      </c>
      <c r="T164" s="60">
        <f t="shared" si="142"/>
        <v>290.84286505723571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-5.1159076974727213E-13</v>
      </c>
      <c r="AJ164" s="14">
        <f>AI164*VLOOKUP('Données projet'!$B$10,Paramètres!$A$1:$I$89,3,0)*VLOOKUP('Données projet'!$B$10,Paramètres!$A$1:$I$89,5,0)</f>
        <v>-5.3471467253984886E-13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529.00505223594837</v>
      </c>
      <c r="AO164" s="60">
        <f t="shared" si="144"/>
        <v>321.23004033257985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2.9795046430081134E-13</v>
      </c>
      <c r="BF164" s="14">
        <f t="shared" si="167"/>
        <v>3.9419014464513778E-12</v>
      </c>
      <c r="BG164" s="22">
        <f t="shared" si="168"/>
        <v>7.384408744560063E-12</v>
      </c>
      <c r="BH164" s="60">
        <f t="shared" si="116"/>
        <v>287.85577846762709</v>
      </c>
      <c r="BI164" s="60">
        <f ca="1">AVERAGE(OFFSET($BH$3,0,0,'Données projet'!$E$11+1,1))-AVERAGE(OFFSET($H$3,0,0,'Données projet'!$E$11+1,1))</f>
        <v>363.28611056308665</v>
      </c>
      <c r="BJ164" s="60">
        <f t="shared" si="146"/>
        <v>389.43647559455974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-9.6633812063373625E-13</v>
      </c>
      <c r="BZ164" s="14">
        <f>BY164*VLOOKUP('Données projet'!$B$12,Paramètres!$A$1:$I$89,3,0)*VLOOKUP('Données projet'!$B$12,Paramètres!$A$1:$I$89,5,0)</f>
        <v>-1.0401663530501537E-12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542.90832990875208</v>
      </c>
      <c r="CE164" s="60">
        <f t="shared" si="148"/>
        <v>304.94365539329362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-6.2527760746888816E-13</v>
      </c>
      <c r="CU164" s="18">
        <f>CT164*VLOOKUP('Données projet'!$B$13,Paramètres!$A$1:$I$89,3,0)*VLOOKUP('Données projet'!$B$13,Paramètres!$A$1:$I$89,5,0)</f>
        <v>-2.9262992029543964E-13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277.77877239988635</v>
      </c>
      <c r="CZ164" s="60">
        <f t="shared" si="150"/>
        <v>164.65640238394164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9.7543306765146564E-14</v>
      </c>
      <c r="DQ164" s="14">
        <f t="shared" si="176"/>
        <v>1.4696264278629426E-12</v>
      </c>
      <c r="DR164" s="22">
        <f t="shared" si="177"/>
        <v>2.7294872878105889E-12</v>
      </c>
      <c r="DS164" s="60">
        <f t="shared" si="125"/>
        <v>287.85577846762243</v>
      </c>
      <c r="DT164" s="60">
        <f ca="1">AVERAGE(OFFSET($DS$3,0,0,'Données projet'!$E$14+1,1))-AVERAGE(OFFSET($H$3,0,0,'Données projet'!$E$14+1,1))</f>
        <v>354.30160274624632</v>
      </c>
      <c r="DU164" s="60">
        <f t="shared" si="152"/>
        <v>218.8005329382452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-9.6633812063373625E-13</v>
      </c>
      <c r="EK164" s="18">
        <f>EJ164*VLOOKUP('Données projet'!$B$15,Paramètres!$A$1:$I$89,3,0)*VLOOKUP('Données projet'!$B$15,Paramètres!$A$1:$I$89,5,0)</f>
        <v>-9.3464223027694966E-13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496.33873798282525</v>
      </c>
      <c r="EP164" s="60">
        <f t="shared" si="154"/>
        <v>280.25465074992246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3.4106051316484809E-13</v>
      </c>
      <c r="FF164" s="18">
        <f>FE164*VLOOKUP('Données projet'!$B$16,Paramètres!$A$1:$I$89,3,0)*VLOOKUP('Données projet'!$B$16,Paramètres!$A$1:$I$89,5,0)</f>
        <v>2.7666828827932479E-13</v>
      </c>
      <c r="FG164" s="14">
        <f t="shared" si="182"/>
        <v>3.6920483163466686E-12</v>
      </c>
      <c r="FH164" s="22">
        <f t="shared" si="183"/>
        <v>6.9121814197236049E-12</v>
      </c>
      <c r="FI164" s="60">
        <f t="shared" si="131"/>
        <v>287.85577846762664</v>
      </c>
      <c r="FJ164" s="60">
        <f ca="1">AVERAGE(OFFSET($FI$3,0,0,'Données projet'!$E$16+1,1))-AVERAGE(OFFSET($H$3,0,0,'Données projet'!$E$16+1,1))</f>
        <v>341.66430955115521</v>
      </c>
      <c r="FK164" s="60">
        <f t="shared" si="156"/>
        <v>366.15174925159192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3.4106051316484809E-13</v>
      </c>
      <c r="GA164" s="18">
        <f>FZ164*VLOOKUP('Données projet'!$B$17,Paramètres!$A$1:$I$89,3,0)*VLOOKUP('Données projet'!$B$17,Paramètres!$A$1:$I$89,5,0)</f>
        <v>2.5006556825246659E-13</v>
      </c>
      <c r="GB164" s="14">
        <f t="shared" si="185"/>
        <v>3.3765445850268018E-12</v>
      </c>
      <c r="GC164" s="22">
        <f t="shared" si="186"/>
        <v>6.3163460169613921E-12</v>
      </c>
      <c r="GD164" s="60">
        <f t="shared" si="134"/>
        <v>287.85577846762601</v>
      </c>
      <c r="GE164" s="60">
        <f ca="1">AVERAGE(OFFSET($GD$3,0,0,'Données projet'!$E$17+1,1))-AVERAGE(OFFSET($H$3,0,0,'Données projet'!$E$17+1,1))</f>
        <v>314.58662400031631</v>
      </c>
      <c r="GF164" s="60">
        <f t="shared" si="158"/>
        <v>336.99073123405981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4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-9.7986685432260874E-13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516.30971934066179</v>
      </c>
      <c r="T165" s="60">
        <f t="shared" si="142"/>
        <v>290.84286505723571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-5.1159076974727213E-13</v>
      </c>
      <c r="AJ165" s="14">
        <f>AI165*VLOOKUP('Données projet'!$B$10,Paramètres!$A$1:$I$89,3,0)*VLOOKUP('Données projet'!$B$10,Paramètres!$A$1:$I$89,5,0)</f>
        <v>-5.3471467253984886E-13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529.00505223594837</v>
      </c>
      <c r="AO165" s="60">
        <f t="shared" si="144"/>
        <v>321.23004033257985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2.9795046430081134E-13</v>
      </c>
      <c r="BF165" s="14">
        <f t="shared" si="167"/>
        <v>3.9419014464513778E-12</v>
      </c>
      <c r="BG165" s="22">
        <f t="shared" si="168"/>
        <v>7.384408744560063E-12</v>
      </c>
      <c r="BH165" s="60">
        <f t="shared" si="116"/>
        <v>287.9508017985691</v>
      </c>
      <c r="BI165" s="60">
        <f ca="1">AVERAGE(OFFSET($BH$3,0,0,'Données projet'!$E$11+1,1))-AVERAGE(OFFSET($H$3,0,0,'Données projet'!$E$11+1,1))</f>
        <v>363.28611056308665</v>
      </c>
      <c r="BJ165" s="60">
        <f t="shared" si="146"/>
        <v>389.43647559455974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-9.6633812063373625E-13</v>
      </c>
      <c r="BZ165" s="14">
        <f>BY165*VLOOKUP('Données projet'!$B$12,Paramètres!$A$1:$I$89,3,0)*VLOOKUP('Données projet'!$B$12,Paramètres!$A$1:$I$89,5,0)</f>
        <v>-1.0401663530501537E-12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542.90832990875208</v>
      </c>
      <c r="CE165" s="60">
        <f t="shared" si="148"/>
        <v>304.94365539329362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-6.2527760746888816E-13</v>
      </c>
      <c r="CU165" s="18">
        <f>CT165*VLOOKUP('Données projet'!$B$13,Paramètres!$A$1:$I$89,3,0)*VLOOKUP('Données projet'!$B$13,Paramètres!$A$1:$I$89,5,0)</f>
        <v>-2.9262992029543964E-13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277.77877239988635</v>
      </c>
      <c r="CZ165" s="60">
        <f t="shared" si="150"/>
        <v>164.65640238394164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9.7543306765146564E-14</v>
      </c>
      <c r="DQ165" s="14">
        <f t="shared" si="176"/>
        <v>1.4696264278629426E-12</v>
      </c>
      <c r="DR165" s="22">
        <f t="shared" si="177"/>
        <v>2.7294872878105889E-12</v>
      </c>
      <c r="DS165" s="60">
        <f t="shared" si="125"/>
        <v>287.95080179856444</v>
      </c>
      <c r="DT165" s="60">
        <f ca="1">AVERAGE(OFFSET($DS$3,0,0,'Données projet'!$E$14+1,1))-AVERAGE(OFFSET($H$3,0,0,'Données projet'!$E$14+1,1))</f>
        <v>354.30160274624632</v>
      </c>
      <c r="DU165" s="60">
        <f t="shared" si="152"/>
        <v>218.8005329382452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-9.6633812063373625E-13</v>
      </c>
      <c r="EK165" s="18">
        <f>EJ165*VLOOKUP('Données projet'!$B$15,Paramètres!$A$1:$I$89,3,0)*VLOOKUP('Données projet'!$B$15,Paramètres!$A$1:$I$89,5,0)</f>
        <v>-9.3464223027694966E-13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496.33873798282525</v>
      </c>
      <c r="EP165" s="60">
        <f t="shared" si="154"/>
        <v>280.25465074992246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3.4106051316484809E-13</v>
      </c>
      <c r="FF165" s="18">
        <f>FE165*VLOOKUP('Données projet'!$B$16,Paramètres!$A$1:$I$89,3,0)*VLOOKUP('Données projet'!$B$16,Paramètres!$A$1:$I$89,5,0)</f>
        <v>2.7666828827932479E-13</v>
      </c>
      <c r="FG165" s="14">
        <f t="shared" si="182"/>
        <v>3.6920483163466686E-12</v>
      </c>
      <c r="FH165" s="22">
        <f t="shared" si="183"/>
        <v>6.9121814197236049E-12</v>
      </c>
      <c r="FI165" s="60">
        <f t="shared" si="131"/>
        <v>287.95080179856865</v>
      </c>
      <c r="FJ165" s="60">
        <f ca="1">AVERAGE(OFFSET($FI$3,0,0,'Données projet'!$E$16+1,1))-AVERAGE(OFFSET($H$3,0,0,'Données projet'!$E$16+1,1))</f>
        <v>341.66430955115521</v>
      </c>
      <c r="FK165" s="60">
        <f t="shared" si="156"/>
        <v>366.15174925159192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3.4106051316484809E-13</v>
      </c>
      <c r="GA165" s="18">
        <f>FZ165*VLOOKUP('Données projet'!$B$17,Paramètres!$A$1:$I$89,3,0)*VLOOKUP('Données projet'!$B$17,Paramètres!$A$1:$I$89,5,0)</f>
        <v>2.5006556825246659E-13</v>
      </c>
      <c r="GB165" s="14">
        <f t="shared" si="185"/>
        <v>3.3765445850268018E-12</v>
      </c>
      <c r="GC165" s="22">
        <f t="shared" si="186"/>
        <v>6.3163460169613921E-12</v>
      </c>
      <c r="GD165" s="60">
        <f t="shared" si="134"/>
        <v>287.95080179856802</v>
      </c>
      <c r="GE165" s="60">
        <f ca="1">AVERAGE(OFFSET($GD$3,0,0,'Données projet'!$E$17+1,1))-AVERAGE(OFFSET($H$3,0,0,'Données projet'!$E$17+1,1))</f>
        <v>314.58662400031631</v>
      </c>
      <c r="GF165" s="60">
        <f t="shared" si="158"/>
        <v>336.99073123405981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4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-9.7986685432260874E-13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516.30971934066179</v>
      </c>
      <c r="T166" s="60">
        <f t="shared" si="142"/>
        <v>290.84286505723571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-5.1159076974727213E-13</v>
      </c>
      <c r="AJ166" s="14">
        <f>AI166*VLOOKUP('Données projet'!$B$10,Paramètres!$A$1:$I$89,3,0)*VLOOKUP('Données projet'!$B$10,Paramètres!$A$1:$I$89,5,0)</f>
        <v>-5.3471467253984886E-13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529.00505223594837</v>
      </c>
      <c r="AO166" s="60">
        <f t="shared" si="144"/>
        <v>321.23004033257985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2.9795046430081134E-13</v>
      </c>
      <c r="BF166" s="14">
        <f t="shared" si="167"/>
        <v>3.9419014464513778E-12</v>
      </c>
      <c r="BG166" s="22">
        <f t="shared" si="168"/>
        <v>7.384408744560063E-12</v>
      </c>
      <c r="BH166" s="60">
        <f t="shared" si="116"/>
        <v>288.04417668715962</v>
      </c>
      <c r="BI166" s="60">
        <f ca="1">AVERAGE(OFFSET($BH$3,0,0,'Données projet'!$E$11+1,1))-AVERAGE(OFFSET($H$3,0,0,'Données projet'!$E$11+1,1))</f>
        <v>363.28611056308665</v>
      </c>
      <c r="BJ166" s="60">
        <f t="shared" si="146"/>
        <v>389.43647559455974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-9.6633812063373625E-13</v>
      </c>
      <c r="BZ166" s="14">
        <f>BY166*VLOOKUP('Données projet'!$B$12,Paramètres!$A$1:$I$89,3,0)*VLOOKUP('Données projet'!$B$12,Paramètres!$A$1:$I$89,5,0)</f>
        <v>-1.0401663530501537E-12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542.90832990875208</v>
      </c>
      <c r="CE166" s="60">
        <f t="shared" si="148"/>
        <v>304.94365539329362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-6.2527760746888816E-13</v>
      </c>
      <c r="CU166" s="18">
        <f>CT166*VLOOKUP('Données projet'!$B$13,Paramètres!$A$1:$I$89,3,0)*VLOOKUP('Données projet'!$B$13,Paramètres!$A$1:$I$89,5,0)</f>
        <v>-2.9262992029543964E-13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277.77877239988635</v>
      </c>
      <c r="CZ166" s="60">
        <f t="shared" si="150"/>
        <v>164.65640238394164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9.7543306765146564E-14</v>
      </c>
      <c r="DQ166" s="14">
        <f t="shared" si="176"/>
        <v>1.4696264278629426E-12</v>
      </c>
      <c r="DR166" s="22">
        <f t="shared" si="177"/>
        <v>2.7294872878105889E-12</v>
      </c>
      <c r="DS166" s="60">
        <f t="shared" si="125"/>
        <v>288.04417668715496</v>
      </c>
      <c r="DT166" s="60">
        <f ca="1">AVERAGE(OFFSET($DS$3,0,0,'Données projet'!$E$14+1,1))-AVERAGE(OFFSET($H$3,0,0,'Données projet'!$E$14+1,1))</f>
        <v>354.30160274624632</v>
      </c>
      <c r="DU166" s="60">
        <f t="shared" si="152"/>
        <v>218.8005329382452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-9.6633812063373625E-13</v>
      </c>
      <c r="EK166" s="18">
        <f>EJ166*VLOOKUP('Données projet'!$B$15,Paramètres!$A$1:$I$89,3,0)*VLOOKUP('Données projet'!$B$15,Paramètres!$A$1:$I$89,5,0)</f>
        <v>-9.3464223027694966E-13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496.33873798282525</v>
      </c>
      <c r="EP166" s="60">
        <f t="shared" si="154"/>
        <v>280.25465074992246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3.4106051316484809E-13</v>
      </c>
      <c r="FF166" s="18">
        <f>FE166*VLOOKUP('Données projet'!$B$16,Paramètres!$A$1:$I$89,3,0)*VLOOKUP('Données projet'!$B$16,Paramètres!$A$1:$I$89,5,0)</f>
        <v>2.7666828827932479E-13</v>
      </c>
      <c r="FG166" s="14">
        <f t="shared" si="182"/>
        <v>3.6920483163466686E-12</v>
      </c>
      <c r="FH166" s="22">
        <f t="shared" si="183"/>
        <v>6.9121814197236049E-12</v>
      </c>
      <c r="FI166" s="60">
        <f t="shared" si="131"/>
        <v>288.04417668715917</v>
      </c>
      <c r="FJ166" s="60">
        <f ca="1">AVERAGE(OFFSET($FI$3,0,0,'Données projet'!$E$16+1,1))-AVERAGE(OFFSET($H$3,0,0,'Données projet'!$E$16+1,1))</f>
        <v>341.66430955115521</v>
      </c>
      <c r="FK166" s="60">
        <f t="shared" si="156"/>
        <v>366.15174925159192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3.4106051316484809E-13</v>
      </c>
      <c r="GA166" s="18">
        <f>FZ166*VLOOKUP('Données projet'!$B$17,Paramètres!$A$1:$I$89,3,0)*VLOOKUP('Données projet'!$B$17,Paramètres!$A$1:$I$89,5,0)</f>
        <v>2.5006556825246659E-13</v>
      </c>
      <c r="GB166" s="14">
        <f t="shared" si="185"/>
        <v>3.3765445850268018E-12</v>
      </c>
      <c r="GC166" s="22">
        <f t="shared" si="186"/>
        <v>6.3163460169613921E-12</v>
      </c>
      <c r="GD166" s="60">
        <f t="shared" si="134"/>
        <v>288.04417668715854</v>
      </c>
      <c r="GE166" s="60">
        <f ca="1">AVERAGE(OFFSET($GD$3,0,0,'Données projet'!$E$17+1,1))-AVERAGE(OFFSET($H$3,0,0,'Données projet'!$E$17+1,1))</f>
        <v>314.58662400031631</v>
      </c>
      <c r="GF166" s="60">
        <f t="shared" si="158"/>
        <v>336.99073123405981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4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-9.7986685432260874E-13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516.30971934066179</v>
      </c>
      <c r="T167" s="60">
        <f t="shared" si="142"/>
        <v>290.84286505723571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-5.1159076974727213E-13</v>
      </c>
      <c r="AJ167" s="14">
        <f>AI167*VLOOKUP('Données projet'!$B$10,Paramètres!$A$1:$I$89,3,0)*VLOOKUP('Données projet'!$B$10,Paramètres!$A$1:$I$89,5,0)</f>
        <v>-5.3471467253984886E-13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529.00505223594837</v>
      </c>
      <c r="AO167" s="60">
        <f t="shared" si="144"/>
        <v>321.23004033257985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2.9795046430081134E-13</v>
      </c>
      <c r="BF167" s="14">
        <f t="shared" si="167"/>
        <v>3.9419014464513778E-12</v>
      </c>
      <c r="BG167" s="22">
        <f t="shared" si="168"/>
        <v>7.384408744560063E-12</v>
      </c>
      <c r="BH167" s="60">
        <f t="shared" si="116"/>
        <v>288.13593173018808</v>
      </c>
      <c r="BI167" s="60">
        <f ca="1">AVERAGE(OFFSET($BH$3,0,0,'Données projet'!$E$11+1,1))-AVERAGE(OFFSET($H$3,0,0,'Données projet'!$E$11+1,1))</f>
        <v>363.28611056308665</v>
      </c>
      <c r="BJ167" s="60">
        <f t="shared" si="146"/>
        <v>389.43647559455974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-9.6633812063373625E-13</v>
      </c>
      <c r="BZ167" s="14">
        <f>BY167*VLOOKUP('Données projet'!$B$12,Paramètres!$A$1:$I$89,3,0)*VLOOKUP('Données projet'!$B$12,Paramètres!$A$1:$I$89,5,0)</f>
        <v>-1.0401663530501537E-12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542.90832990875208</v>
      </c>
      <c r="CE167" s="60">
        <f t="shared" si="148"/>
        <v>304.94365539329362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-6.2527760746888816E-13</v>
      </c>
      <c r="CU167" s="18">
        <f>CT167*VLOOKUP('Données projet'!$B$13,Paramètres!$A$1:$I$89,3,0)*VLOOKUP('Données projet'!$B$13,Paramètres!$A$1:$I$89,5,0)</f>
        <v>-2.9262992029543964E-13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277.77877239988635</v>
      </c>
      <c r="CZ167" s="60">
        <f t="shared" si="150"/>
        <v>164.65640238394164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9.7543306765146564E-14</v>
      </c>
      <c r="DQ167" s="14">
        <f t="shared" si="176"/>
        <v>1.4696264278629426E-12</v>
      </c>
      <c r="DR167" s="22">
        <f t="shared" si="177"/>
        <v>2.7294872878105889E-12</v>
      </c>
      <c r="DS167" s="60">
        <f t="shared" si="125"/>
        <v>288.13593173018342</v>
      </c>
      <c r="DT167" s="60">
        <f ca="1">AVERAGE(OFFSET($DS$3,0,0,'Données projet'!$E$14+1,1))-AVERAGE(OFFSET($H$3,0,0,'Données projet'!$E$14+1,1))</f>
        <v>354.30160274624632</v>
      </c>
      <c r="DU167" s="60">
        <f t="shared" si="152"/>
        <v>218.8005329382452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-9.6633812063373625E-13</v>
      </c>
      <c r="EK167" s="18">
        <f>EJ167*VLOOKUP('Données projet'!$B$15,Paramètres!$A$1:$I$89,3,0)*VLOOKUP('Données projet'!$B$15,Paramètres!$A$1:$I$89,5,0)</f>
        <v>-9.3464223027694966E-13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496.33873798282525</v>
      </c>
      <c r="EP167" s="60">
        <f t="shared" si="154"/>
        <v>280.25465074992246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3.4106051316484809E-13</v>
      </c>
      <c r="FF167" s="18">
        <f>FE167*VLOOKUP('Données projet'!$B$16,Paramètres!$A$1:$I$89,3,0)*VLOOKUP('Données projet'!$B$16,Paramètres!$A$1:$I$89,5,0)</f>
        <v>2.7666828827932479E-13</v>
      </c>
      <c r="FG167" s="14">
        <f t="shared" si="182"/>
        <v>3.6920483163466686E-12</v>
      </c>
      <c r="FH167" s="22">
        <f t="shared" si="183"/>
        <v>6.9121814197236049E-12</v>
      </c>
      <c r="FI167" s="60">
        <f t="shared" si="131"/>
        <v>288.13593173018762</v>
      </c>
      <c r="FJ167" s="60">
        <f ca="1">AVERAGE(OFFSET($FI$3,0,0,'Données projet'!$E$16+1,1))-AVERAGE(OFFSET($H$3,0,0,'Données projet'!$E$16+1,1))</f>
        <v>341.66430955115521</v>
      </c>
      <c r="FK167" s="60">
        <f t="shared" si="156"/>
        <v>366.15174925159192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3.4106051316484809E-13</v>
      </c>
      <c r="GA167" s="18">
        <f>FZ167*VLOOKUP('Données projet'!$B$17,Paramètres!$A$1:$I$89,3,0)*VLOOKUP('Données projet'!$B$17,Paramètres!$A$1:$I$89,5,0)</f>
        <v>2.5006556825246659E-13</v>
      </c>
      <c r="GB167" s="14">
        <f t="shared" si="185"/>
        <v>3.3765445850268018E-12</v>
      </c>
      <c r="GC167" s="22">
        <f t="shared" si="186"/>
        <v>6.3163460169613921E-12</v>
      </c>
      <c r="GD167" s="60">
        <f t="shared" si="134"/>
        <v>288.135931730187</v>
      </c>
      <c r="GE167" s="60">
        <f ca="1">AVERAGE(OFFSET($GD$3,0,0,'Données projet'!$E$17+1,1))-AVERAGE(OFFSET($H$3,0,0,'Données projet'!$E$17+1,1))</f>
        <v>314.58662400031631</v>
      </c>
      <c r="GF167" s="60">
        <f t="shared" si="158"/>
        <v>336.99073123405981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4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-9.7986685432260874E-13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516.30971934066179</v>
      </c>
      <c r="T168" s="60">
        <f t="shared" si="142"/>
        <v>290.84286505723571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-5.1159076974727213E-13</v>
      </c>
      <c r="AJ168" s="14">
        <f>AI168*VLOOKUP('Données projet'!$B$10,Paramètres!$A$1:$I$89,3,0)*VLOOKUP('Données projet'!$B$10,Paramètres!$A$1:$I$89,5,0)</f>
        <v>-5.3471467253984886E-13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529.00505223594837</v>
      </c>
      <c r="AO168" s="60">
        <f t="shared" si="144"/>
        <v>321.23004033257985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2.9795046430081134E-13</v>
      </c>
      <c r="BF168" s="14">
        <f t="shared" si="167"/>
        <v>3.9419014464513778E-12</v>
      </c>
      <c r="BG168" s="22">
        <f t="shared" si="168"/>
        <v>7.384408744560063E-12</v>
      </c>
      <c r="BH168" s="60">
        <f t="shared" si="116"/>
        <v>288.22609502835354</v>
      </c>
      <c r="BI168" s="60">
        <f ca="1">AVERAGE(OFFSET($BH$3,0,0,'Données projet'!$E$11+1,1))-AVERAGE(OFFSET($H$3,0,0,'Données projet'!$E$11+1,1))</f>
        <v>363.28611056308665</v>
      </c>
      <c r="BJ168" s="60">
        <f t="shared" si="146"/>
        <v>389.43647559455974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-9.6633812063373625E-13</v>
      </c>
      <c r="BZ168" s="14">
        <f>BY168*VLOOKUP('Données projet'!$B$12,Paramètres!$A$1:$I$89,3,0)*VLOOKUP('Données projet'!$B$12,Paramètres!$A$1:$I$89,5,0)</f>
        <v>-1.0401663530501537E-12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542.90832990875208</v>
      </c>
      <c r="CE168" s="60">
        <f t="shared" si="148"/>
        <v>304.94365539329362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-6.2527760746888816E-13</v>
      </c>
      <c r="CU168" s="18">
        <f>CT168*VLOOKUP('Données projet'!$B$13,Paramètres!$A$1:$I$89,3,0)*VLOOKUP('Données projet'!$B$13,Paramètres!$A$1:$I$89,5,0)</f>
        <v>-2.9262992029543964E-13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277.77877239988635</v>
      </c>
      <c r="CZ168" s="60">
        <f t="shared" si="150"/>
        <v>164.65640238394164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9.7543306765146564E-14</v>
      </c>
      <c r="DQ168" s="14">
        <f t="shared" si="176"/>
        <v>1.4696264278629426E-12</v>
      </c>
      <c r="DR168" s="22">
        <f t="shared" si="177"/>
        <v>2.7294872878105889E-12</v>
      </c>
      <c r="DS168" s="60">
        <f t="shared" si="125"/>
        <v>288.22609502834888</v>
      </c>
      <c r="DT168" s="60">
        <f ca="1">AVERAGE(OFFSET($DS$3,0,0,'Données projet'!$E$14+1,1))-AVERAGE(OFFSET($H$3,0,0,'Données projet'!$E$14+1,1))</f>
        <v>354.30160274624632</v>
      </c>
      <c r="DU168" s="60">
        <f t="shared" si="152"/>
        <v>218.8005329382452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-9.6633812063373625E-13</v>
      </c>
      <c r="EK168" s="18">
        <f>EJ168*VLOOKUP('Données projet'!$B$15,Paramètres!$A$1:$I$89,3,0)*VLOOKUP('Données projet'!$B$15,Paramètres!$A$1:$I$89,5,0)</f>
        <v>-9.3464223027694966E-13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496.33873798282525</v>
      </c>
      <c r="EP168" s="60">
        <f t="shared" si="154"/>
        <v>280.25465074992246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3.4106051316484809E-13</v>
      </c>
      <c r="FF168" s="18">
        <f>FE168*VLOOKUP('Données projet'!$B$16,Paramètres!$A$1:$I$89,3,0)*VLOOKUP('Données projet'!$B$16,Paramètres!$A$1:$I$89,5,0)</f>
        <v>2.7666828827932479E-13</v>
      </c>
      <c r="FG168" s="14">
        <f t="shared" si="182"/>
        <v>3.6920483163466686E-12</v>
      </c>
      <c r="FH168" s="22">
        <f t="shared" si="183"/>
        <v>6.9121814197236049E-12</v>
      </c>
      <c r="FI168" s="60">
        <f t="shared" si="131"/>
        <v>288.22609502835309</v>
      </c>
      <c r="FJ168" s="60">
        <f ca="1">AVERAGE(OFFSET($FI$3,0,0,'Données projet'!$E$16+1,1))-AVERAGE(OFFSET($H$3,0,0,'Données projet'!$E$16+1,1))</f>
        <v>341.66430955115521</v>
      </c>
      <c r="FK168" s="60">
        <f t="shared" si="156"/>
        <v>366.15174925159192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3.4106051316484809E-13</v>
      </c>
      <c r="GA168" s="18">
        <f>FZ168*VLOOKUP('Données projet'!$B$17,Paramètres!$A$1:$I$89,3,0)*VLOOKUP('Données projet'!$B$17,Paramètres!$A$1:$I$89,5,0)</f>
        <v>2.5006556825246659E-13</v>
      </c>
      <c r="GB168" s="14">
        <f t="shared" si="185"/>
        <v>3.3765445850268018E-12</v>
      </c>
      <c r="GC168" s="22">
        <f t="shared" si="186"/>
        <v>6.3163460169613921E-12</v>
      </c>
      <c r="GD168" s="60">
        <f t="shared" si="134"/>
        <v>288.22609502835246</v>
      </c>
      <c r="GE168" s="60">
        <f ca="1">AVERAGE(OFFSET($GD$3,0,0,'Données projet'!$E$17+1,1))-AVERAGE(OFFSET($H$3,0,0,'Données projet'!$E$17+1,1))</f>
        <v>314.58662400031631</v>
      </c>
      <c r="GF168" s="60">
        <f t="shared" si="158"/>
        <v>336.99073123405981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4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-9.7986685432260874E-13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516.30971934066179</v>
      </c>
      <c r="T169" s="60">
        <f t="shared" si="142"/>
        <v>290.84286505723571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-5.1159076974727213E-13</v>
      </c>
      <c r="AJ169" s="14">
        <f>AI169*VLOOKUP('Données projet'!$B$10,Paramètres!$A$1:$I$89,3,0)*VLOOKUP('Données projet'!$B$10,Paramètres!$A$1:$I$89,5,0)</f>
        <v>-5.3471467253984886E-13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529.00505223594837</v>
      </c>
      <c r="AO169" s="60">
        <f t="shared" si="144"/>
        <v>321.23004033257985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2.9795046430081134E-13</v>
      </c>
      <c r="BF169" s="14">
        <f t="shared" si="167"/>
        <v>3.9419014464513778E-12</v>
      </c>
      <c r="BG169" s="22">
        <f t="shared" si="168"/>
        <v>7.384408744560063E-12</v>
      </c>
      <c r="BH169" s="60">
        <f t="shared" si="116"/>
        <v>288.31469419487081</v>
      </c>
      <c r="BI169" s="60">
        <f ca="1">AVERAGE(OFFSET($BH$3,0,0,'Données projet'!$E$11+1,1))-AVERAGE(OFFSET($H$3,0,0,'Données projet'!$E$11+1,1))</f>
        <v>363.28611056308665</v>
      </c>
      <c r="BJ169" s="60">
        <f t="shared" si="146"/>
        <v>389.43647559455974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-9.6633812063373625E-13</v>
      </c>
      <c r="BZ169" s="14">
        <f>BY169*VLOOKUP('Données projet'!$B$12,Paramètres!$A$1:$I$89,3,0)*VLOOKUP('Données projet'!$B$12,Paramètres!$A$1:$I$89,5,0)</f>
        <v>-1.0401663530501537E-12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542.90832990875208</v>
      </c>
      <c r="CE169" s="60">
        <f t="shared" si="148"/>
        <v>304.94365539329362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-6.2527760746888816E-13</v>
      </c>
      <c r="CU169" s="18">
        <f>CT169*VLOOKUP('Données projet'!$B$13,Paramètres!$A$1:$I$89,3,0)*VLOOKUP('Données projet'!$B$13,Paramètres!$A$1:$I$89,5,0)</f>
        <v>-2.9262992029543964E-13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277.77877239988635</v>
      </c>
      <c r="CZ169" s="60">
        <f t="shared" si="150"/>
        <v>164.65640238394164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9.7543306765146564E-14</v>
      </c>
      <c r="DQ169" s="14">
        <f t="shared" si="176"/>
        <v>1.4696264278629426E-12</v>
      </c>
      <c r="DR169" s="22">
        <f t="shared" si="177"/>
        <v>2.7294872878105889E-12</v>
      </c>
      <c r="DS169" s="60">
        <f t="shared" si="125"/>
        <v>288.31469419486615</v>
      </c>
      <c r="DT169" s="60">
        <f ca="1">AVERAGE(OFFSET($DS$3,0,0,'Données projet'!$E$14+1,1))-AVERAGE(OFFSET($H$3,0,0,'Données projet'!$E$14+1,1))</f>
        <v>354.30160274624632</v>
      </c>
      <c r="DU169" s="60">
        <f t="shared" si="152"/>
        <v>218.8005329382452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-9.6633812063373625E-13</v>
      </c>
      <c r="EK169" s="18">
        <f>EJ169*VLOOKUP('Données projet'!$B$15,Paramètres!$A$1:$I$89,3,0)*VLOOKUP('Données projet'!$B$15,Paramètres!$A$1:$I$89,5,0)</f>
        <v>-9.3464223027694966E-13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496.33873798282525</v>
      </c>
      <c r="EP169" s="60">
        <f t="shared" si="154"/>
        <v>280.25465074992246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3.4106051316484809E-13</v>
      </c>
      <c r="FF169" s="18">
        <f>FE169*VLOOKUP('Données projet'!$B$16,Paramètres!$A$1:$I$89,3,0)*VLOOKUP('Données projet'!$B$16,Paramètres!$A$1:$I$89,5,0)</f>
        <v>2.7666828827932479E-13</v>
      </c>
      <c r="FG169" s="14">
        <f t="shared" si="182"/>
        <v>3.6920483163466686E-12</v>
      </c>
      <c r="FH169" s="22">
        <f t="shared" si="183"/>
        <v>6.9121814197236049E-12</v>
      </c>
      <c r="FI169" s="60">
        <f t="shared" si="131"/>
        <v>288.31469419487036</v>
      </c>
      <c r="FJ169" s="60">
        <f ca="1">AVERAGE(OFFSET($FI$3,0,0,'Données projet'!$E$16+1,1))-AVERAGE(OFFSET($H$3,0,0,'Données projet'!$E$16+1,1))</f>
        <v>341.66430955115521</v>
      </c>
      <c r="FK169" s="60">
        <f t="shared" si="156"/>
        <v>366.15174925159192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3.4106051316484809E-13</v>
      </c>
      <c r="GA169" s="18">
        <f>FZ169*VLOOKUP('Données projet'!$B$17,Paramètres!$A$1:$I$89,3,0)*VLOOKUP('Données projet'!$B$17,Paramètres!$A$1:$I$89,5,0)</f>
        <v>2.5006556825246659E-13</v>
      </c>
      <c r="GB169" s="14">
        <f t="shared" si="185"/>
        <v>3.3765445850268018E-12</v>
      </c>
      <c r="GC169" s="22">
        <f t="shared" si="186"/>
        <v>6.3163460169613921E-12</v>
      </c>
      <c r="GD169" s="60">
        <f t="shared" si="134"/>
        <v>288.31469419486973</v>
      </c>
      <c r="GE169" s="60">
        <f ca="1">AVERAGE(OFFSET($GD$3,0,0,'Données projet'!$E$17+1,1))-AVERAGE(OFFSET($H$3,0,0,'Données projet'!$E$17+1,1))</f>
        <v>314.58662400031631</v>
      </c>
      <c r="GF169" s="60">
        <f t="shared" si="158"/>
        <v>336.99073123405981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4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-9.7986685432260874E-13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516.30971934066179</v>
      </c>
      <c r="T170" s="60">
        <f t="shared" si="142"/>
        <v>290.84286505723571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-5.1159076974727213E-13</v>
      </c>
      <c r="AJ170" s="14">
        <f>AI170*VLOOKUP('Données projet'!$B$10,Paramètres!$A$1:$I$89,3,0)*VLOOKUP('Données projet'!$B$10,Paramètres!$A$1:$I$89,5,0)</f>
        <v>-5.3471467253984886E-13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529.00505223594837</v>
      </c>
      <c r="AO170" s="60">
        <f t="shared" si="144"/>
        <v>321.23004033257985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2.9795046430081134E-13</v>
      </c>
      <c r="BF170" s="14">
        <f t="shared" si="167"/>
        <v>3.9419014464513778E-12</v>
      </c>
      <c r="BG170" s="22">
        <f t="shared" si="168"/>
        <v>7.384408744560063E-12</v>
      </c>
      <c r="BH170" s="60">
        <f t="shared" si="116"/>
        <v>288.40175636392701</v>
      </c>
      <c r="BI170" s="60">
        <f ca="1">AVERAGE(OFFSET($BH$3,0,0,'Données projet'!$E$11+1,1))-AVERAGE(OFFSET($H$3,0,0,'Données projet'!$E$11+1,1))</f>
        <v>363.28611056308665</v>
      </c>
      <c r="BJ170" s="60">
        <f t="shared" si="146"/>
        <v>389.43647559455974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-9.6633812063373625E-13</v>
      </c>
      <c r="BZ170" s="14">
        <f>BY170*VLOOKUP('Données projet'!$B$12,Paramètres!$A$1:$I$89,3,0)*VLOOKUP('Données projet'!$B$12,Paramètres!$A$1:$I$89,5,0)</f>
        <v>-1.0401663530501537E-12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542.90832990875208</v>
      </c>
      <c r="CE170" s="60">
        <f t="shared" si="148"/>
        <v>304.94365539329362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-6.2527760746888816E-13</v>
      </c>
      <c r="CU170" s="18">
        <f>CT170*VLOOKUP('Données projet'!$B$13,Paramètres!$A$1:$I$89,3,0)*VLOOKUP('Données projet'!$B$13,Paramètres!$A$1:$I$89,5,0)</f>
        <v>-2.9262992029543964E-13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277.77877239988635</v>
      </c>
      <c r="CZ170" s="60">
        <f t="shared" si="150"/>
        <v>164.65640238394164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9.7543306765146564E-14</v>
      </c>
      <c r="DQ170" s="14">
        <f t="shared" si="176"/>
        <v>1.4696264278629426E-12</v>
      </c>
      <c r="DR170" s="22">
        <f t="shared" si="177"/>
        <v>2.7294872878105889E-12</v>
      </c>
      <c r="DS170" s="60">
        <f t="shared" si="125"/>
        <v>288.40175636392235</v>
      </c>
      <c r="DT170" s="60">
        <f ca="1">AVERAGE(OFFSET($DS$3,0,0,'Données projet'!$E$14+1,1))-AVERAGE(OFFSET($H$3,0,0,'Données projet'!$E$14+1,1))</f>
        <v>354.30160274624632</v>
      </c>
      <c r="DU170" s="60">
        <f t="shared" si="152"/>
        <v>218.8005329382452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-9.6633812063373625E-13</v>
      </c>
      <c r="EK170" s="18">
        <f>EJ170*VLOOKUP('Données projet'!$B$15,Paramètres!$A$1:$I$89,3,0)*VLOOKUP('Données projet'!$B$15,Paramètres!$A$1:$I$89,5,0)</f>
        <v>-9.3464223027694966E-13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496.33873798282525</v>
      </c>
      <c r="EP170" s="60">
        <f t="shared" si="154"/>
        <v>280.25465074992246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3.4106051316484809E-13</v>
      </c>
      <c r="FF170" s="18">
        <f>FE170*VLOOKUP('Données projet'!$B$16,Paramètres!$A$1:$I$89,3,0)*VLOOKUP('Données projet'!$B$16,Paramètres!$A$1:$I$89,5,0)</f>
        <v>2.7666828827932479E-13</v>
      </c>
      <c r="FG170" s="14">
        <f t="shared" si="182"/>
        <v>3.6920483163466686E-12</v>
      </c>
      <c r="FH170" s="22">
        <f t="shared" si="183"/>
        <v>6.9121814197236049E-12</v>
      </c>
      <c r="FI170" s="60">
        <f t="shared" si="131"/>
        <v>288.40175636392655</v>
      </c>
      <c r="FJ170" s="60">
        <f ca="1">AVERAGE(OFFSET($FI$3,0,0,'Données projet'!$E$16+1,1))-AVERAGE(OFFSET($H$3,0,0,'Données projet'!$E$16+1,1))</f>
        <v>341.66430955115521</v>
      </c>
      <c r="FK170" s="60">
        <f t="shared" si="156"/>
        <v>366.15174925159192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3.4106051316484809E-13</v>
      </c>
      <c r="GA170" s="18">
        <f>FZ170*VLOOKUP('Données projet'!$B$17,Paramètres!$A$1:$I$89,3,0)*VLOOKUP('Données projet'!$B$17,Paramètres!$A$1:$I$89,5,0)</f>
        <v>2.5006556825246659E-13</v>
      </c>
      <c r="GB170" s="14">
        <f t="shared" si="185"/>
        <v>3.3765445850268018E-12</v>
      </c>
      <c r="GC170" s="22">
        <f t="shared" si="186"/>
        <v>6.3163460169613921E-12</v>
      </c>
      <c r="GD170" s="60">
        <f t="shared" si="134"/>
        <v>288.40175636392593</v>
      </c>
      <c r="GE170" s="60">
        <f ca="1">AVERAGE(OFFSET($GD$3,0,0,'Données projet'!$E$17+1,1))-AVERAGE(OFFSET($H$3,0,0,'Données projet'!$E$17+1,1))</f>
        <v>314.58662400031631</v>
      </c>
      <c r="GF170" s="60">
        <f t="shared" si="158"/>
        <v>336.99073123405981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4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-9.7986685432260874E-13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516.30971934066179</v>
      </c>
      <c r="T171" s="60">
        <f t="shared" si="142"/>
        <v>290.84286505723571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-5.1159076974727213E-13</v>
      </c>
      <c r="AJ171" s="14">
        <f>AI171*VLOOKUP('Données projet'!$B$10,Paramètres!$A$1:$I$89,3,0)*VLOOKUP('Données projet'!$B$10,Paramètres!$A$1:$I$89,5,0)</f>
        <v>-5.3471467253984886E-13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529.00505223594837</v>
      </c>
      <c r="AO171" s="60">
        <f t="shared" si="144"/>
        <v>321.23004033257985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2.9795046430081134E-13</v>
      </c>
      <c r="BF171" s="14">
        <f t="shared" si="167"/>
        <v>3.9419014464513778E-12</v>
      </c>
      <c r="BG171" s="22">
        <f t="shared" si="168"/>
        <v>7.384408744560063E-12</v>
      </c>
      <c r="BH171" s="60">
        <f t="shared" si="116"/>
        <v>288.48730819899191</v>
      </c>
      <c r="BI171" s="60">
        <f ca="1">AVERAGE(OFFSET($BH$3,0,0,'Données projet'!$E$11+1,1))-AVERAGE(OFFSET($H$3,0,0,'Données projet'!$E$11+1,1))</f>
        <v>363.28611056308665</v>
      </c>
      <c r="BJ171" s="60">
        <f t="shared" si="146"/>
        <v>389.43647559455974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-9.6633812063373625E-13</v>
      </c>
      <c r="BZ171" s="14">
        <f>BY171*VLOOKUP('Données projet'!$B$12,Paramètres!$A$1:$I$89,3,0)*VLOOKUP('Données projet'!$B$12,Paramètres!$A$1:$I$89,5,0)</f>
        <v>-1.0401663530501537E-12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542.90832990875208</v>
      </c>
      <c r="CE171" s="60">
        <f t="shared" si="148"/>
        <v>304.94365539329362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-6.2527760746888816E-13</v>
      </c>
      <c r="CU171" s="18">
        <f>CT171*VLOOKUP('Données projet'!$B$13,Paramètres!$A$1:$I$89,3,0)*VLOOKUP('Données projet'!$B$13,Paramètres!$A$1:$I$89,5,0)</f>
        <v>-2.9262992029543964E-13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277.77877239988635</v>
      </c>
      <c r="CZ171" s="60">
        <f t="shared" si="150"/>
        <v>164.65640238394164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9.7543306765146564E-14</v>
      </c>
      <c r="DQ171" s="14">
        <f t="shared" si="176"/>
        <v>1.4696264278629426E-12</v>
      </c>
      <c r="DR171" s="22">
        <f t="shared" si="177"/>
        <v>2.7294872878105889E-12</v>
      </c>
      <c r="DS171" s="60">
        <f t="shared" si="125"/>
        <v>288.48730819898725</v>
      </c>
      <c r="DT171" s="60">
        <f ca="1">AVERAGE(OFFSET($DS$3,0,0,'Données projet'!$E$14+1,1))-AVERAGE(OFFSET($H$3,0,0,'Données projet'!$E$14+1,1))</f>
        <v>354.30160274624632</v>
      </c>
      <c r="DU171" s="60">
        <f t="shared" si="152"/>
        <v>218.8005329382452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-9.6633812063373625E-13</v>
      </c>
      <c r="EK171" s="18">
        <f>EJ171*VLOOKUP('Données projet'!$B$15,Paramètres!$A$1:$I$89,3,0)*VLOOKUP('Données projet'!$B$15,Paramètres!$A$1:$I$89,5,0)</f>
        <v>-9.3464223027694966E-13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496.33873798282525</v>
      </c>
      <c r="EP171" s="60">
        <f t="shared" si="154"/>
        <v>280.25465074992246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3.4106051316484809E-13</v>
      </c>
      <c r="FF171" s="18">
        <f>FE171*VLOOKUP('Données projet'!$B$16,Paramètres!$A$1:$I$89,3,0)*VLOOKUP('Données projet'!$B$16,Paramètres!$A$1:$I$89,5,0)</f>
        <v>2.7666828827932479E-13</v>
      </c>
      <c r="FG171" s="14">
        <f t="shared" si="182"/>
        <v>3.6920483163466686E-12</v>
      </c>
      <c r="FH171" s="22">
        <f t="shared" si="183"/>
        <v>6.9121814197236049E-12</v>
      </c>
      <c r="FI171" s="60">
        <f t="shared" si="131"/>
        <v>288.48730819899146</v>
      </c>
      <c r="FJ171" s="60">
        <f ca="1">AVERAGE(OFFSET($FI$3,0,0,'Données projet'!$E$16+1,1))-AVERAGE(OFFSET($H$3,0,0,'Données projet'!$E$16+1,1))</f>
        <v>341.66430955115521</v>
      </c>
      <c r="FK171" s="60">
        <f t="shared" si="156"/>
        <v>366.15174925159192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3.4106051316484809E-13</v>
      </c>
      <c r="GA171" s="18">
        <f>FZ171*VLOOKUP('Données projet'!$B$17,Paramètres!$A$1:$I$89,3,0)*VLOOKUP('Données projet'!$B$17,Paramètres!$A$1:$I$89,5,0)</f>
        <v>2.5006556825246659E-13</v>
      </c>
      <c r="GB171" s="14">
        <f t="shared" si="185"/>
        <v>3.3765445850268018E-12</v>
      </c>
      <c r="GC171" s="22">
        <f t="shared" si="186"/>
        <v>6.3163460169613921E-12</v>
      </c>
      <c r="GD171" s="60">
        <f t="shared" si="134"/>
        <v>288.48730819899083</v>
      </c>
      <c r="GE171" s="60">
        <f ca="1">AVERAGE(OFFSET($GD$3,0,0,'Données projet'!$E$17+1,1))-AVERAGE(OFFSET($H$3,0,0,'Données projet'!$E$17+1,1))</f>
        <v>314.58662400031631</v>
      </c>
      <c r="GF171" s="60">
        <f t="shared" si="158"/>
        <v>336.99073123405981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4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-9.7986685432260874E-13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516.30971934066179</v>
      </c>
      <c r="T172" s="60">
        <f t="shared" si="142"/>
        <v>290.84286505723571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-5.1159076974727213E-13</v>
      </c>
      <c r="AJ172" s="14">
        <f>AI172*VLOOKUP('Données projet'!$B$10,Paramètres!$A$1:$I$89,3,0)*VLOOKUP('Données projet'!$B$10,Paramètres!$A$1:$I$89,5,0)</f>
        <v>-5.3471467253984886E-13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529.00505223594837</v>
      </c>
      <c r="AO172" s="60">
        <f t="shared" si="144"/>
        <v>321.23004033257985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2.9795046430081134E-13</v>
      </c>
      <c r="BF172" s="14">
        <f t="shared" si="167"/>
        <v>3.9419014464513778E-12</v>
      </c>
      <c r="BG172" s="22">
        <f t="shared" si="168"/>
        <v>7.384408744560063E-12</v>
      </c>
      <c r="BH172" s="60">
        <f t="shared" si="116"/>
        <v>288.57137590098381</v>
      </c>
      <c r="BI172" s="60">
        <f ca="1">AVERAGE(OFFSET($BH$3,0,0,'Données projet'!$E$11+1,1))-AVERAGE(OFFSET($H$3,0,0,'Données projet'!$E$11+1,1))</f>
        <v>363.28611056308665</v>
      </c>
      <c r="BJ172" s="60">
        <f t="shared" si="146"/>
        <v>389.43647559455974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-9.6633812063373625E-13</v>
      </c>
      <c r="BZ172" s="14">
        <f>BY172*VLOOKUP('Données projet'!$B$12,Paramètres!$A$1:$I$89,3,0)*VLOOKUP('Données projet'!$B$12,Paramètres!$A$1:$I$89,5,0)</f>
        <v>-1.0401663530501537E-12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542.90832990875208</v>
      </c>
      <c r="CE172" s="60">
        <f t="shared" si="148"/>
        <v>304.94365539329362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-6.2527760746888816E-13</v>
      </c>
      <c r="CU172" s="18">
        <f>CT172*VLOOKUP('Données projet'!$B$13,Paramètres!$A$1:$I$89,3,0)*VLOOKUP('Données projet'!$B$13,Paramètres!$A$1:$I$89,5,0)</f>
        <v>-2.9262992029543964E-13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277.77877239988635</v>
      </c>
      <c r="CZ172" s="60">
        <f t="shared" si="150"/>
        <v>164.65640238394164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9.7543306765146564E-14</v>
      </c>
      <c r="DQ172" s="14">
        <f t="shared" si="176"/>
        <v>1.4696264278629426E-12</v>
      </c>
      <c r="DR172" s="22">
        <f t="shared" si="177"/>
        <v>2.7294872878105889E-12</v>
      </c>
      <c r="DS172" s="60">
        <f t="shared" si="125"/>
        <v>288.57137590097915</v>
      </c>
      <c r="DT172" s="60">
        <f ca="1">AVERAGE(OFFSET($DS$3,0,0,'Données projet'!$E$14+1,1))-AVERAGE(OFFSET($H$3,0,0,'Données projet'!$E$14+1,1))</f>
        <v>354.30160274624632</v>
      </c>
      <c r="DU172" s="60">
        <f t="shared" si="152"/>
        <v>218.8005329382452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-9.6633812063373625E-13</v>
      </c>
      <c r="EK172" s="18">
        <f>EJ172*VLOOKUP('Données projet'!$B$15,Paramètres!$A$1:$I$89,3,0)*VLOOKUP('Données projet'!$B$15,Paramètres!$A$1:$I$89,5,0)</f>
        <v>-9.3464223027694966E-13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496.33873798282525</v>
      </c>
      <c r="EP172" s="60">
        <f t="shared" si="154"/>
        <v>280.25465074992246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3.4106051316484809E-13</v>
      </c>
      <c r="FF172" s="18">
        <f>FE172*VLOOKUP('Données projet'!$B$16,Paramètres!$A$1:$I$89,3,0)*VLOOKUP('Données projet'!$B$16,Paramètres!$A$1:$I$89,5,0)</f>
        <v>2.7666828827932479E-13</v>
      </c>
      <c r="FG172" s="14">
        <f t="shared" si="182"/>
        <v>3.6920483163466686E-12</v>
      </c>
      <c r="FH172" s="22">
        <f t="shared" si="183"/>
        <v>6.9121814197236049E-12</v>
      </c>
      <c r="FI172" s="60">
        <f t="shared" si="131"/>
        <v>288.57137590098336</v>
      </c>
      <c r="FJ172" s="60">
        <f ca="1">AVERAGE(OFFSET($FI$3,0,0,'Données projet'!$E$16+1,1))-AVERAGE(OFFSET($H$3,0,0,'Données projet'!$E$16+1,1))</f>
        <v>341.66430955115521</v>
      </c>
      <c r="FK172" s="60">
        <f t="shared" si="156"/>
        <v>366.15174925159192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3.4106051316484809E-13</v>
      </c>
      <c r="GA172" s="18">
        <f>FZ172*VLOOKUP('Données projet'!$B$17,Paramètres!$A$1:$I$89,3,0)*VLOOKUP('Données projet'!$B$17,Paramètres!$A$1:$I$89,5,0)</f>
        <v>2.5006556825246659E-13</v>
      </c>
      <c r="GB172" s="14">
        <f t="shared" si="185"/>
        <v>3.3765445850268018E-12</v>
      </c>
      <c r="GC172" s="22">
        <f t="shared" si="186"/>
        <v>6.3163460169613921E-12</v>
      </c>
      <c r="GD172" s="60">
        <f t="shared" si="134"/>
        <v>288.57137590098273</v>
      </c>
      <c r="GE172" s="60">
        <f ca="1">AVERAGE(OFFSET($GD$3,0,0,'Données projet'!$E$17+1,1))-AVERAGE(OFFSET($H$3,0,0,'Données projet'!$E$17+1,1))</f>
        <v>314.58662400031631</v>
      </c>
      <c r="GF172" s="60">
        <f t="shared" si="158"/>
        <v>336.99073123405981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4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-9.7986685432260874E-13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516.30971934066179</v>
      </c>
      <c r="T173" s="60">
        <f t="shared" si="142"/>
        <v>290.84286505723571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-5.1159076974727213E-13</v>
      </c>
      <c r="AJ173" s="14">
        <f>AI173*VLOOKUP('Données projet'!$B$10,Paramètres!$A$1:$I$89,3,0)*VLOOKUP('Données projet'!$B$10,Paramètres!$A$1:$I$89,5,0)</f>
        <v>-5.3471467253984886E-13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529.00505223594837</v>
      </c>
      <c r="AO173" s="60">
        <f t="shared" si="144"/>
        <v>321.23004033257985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2.9795046430081134E-13</v>
      </c>
      <c r="BF173" s="14">
        <f t="shared" si="167"/>
        <v>3.9419014464513778E-12</v>
      </c>
      <c r="BG173" s="22">
        <f t="shared" si="168"/>
        <v>7.384408744560063E-12</v>
      </c>
      <c r="BH173" s="60">
        <f t="shared" si="116"/>
        <v>288.65398521629328</v>
      </c>
      <c r="BI173" s="60">
        <f ca="1">AVERAGE(OFFSET($BH$3,0,0,'Données projet'!$E$11+1,1))-AVERAGE(OFFSET($H$3,0,0,'Données projet'!$E$11+1,1))</f>
        <v>363.28611056308665</v>
      </c>
      <c r="BJ173" s="60">
        <f t="shared" si="146"/>
        <v>389.43647559455974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-9.6633812063373625E-13</v>
      </c>
      <c r="BZ173" s="14">
        <f>BY173*VLOOKUP('Données projet'!$B$12,Paramètres!$A$1:$I$89,3,0)*VLOOKUP('Données projet'!$B$12,Paramètres!$A$1:$I$89,5,0)</f>
        <v>-1.0401663530501537E-12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542.90832990875208</v>
      </c>
      <c r="CE173" s="60">
        <f t="shared" si="148"/>
        <v>304.94365539329362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-6.2527760746888816E-13</v>
      </c>
      <c r="CU173" s="18">
        <f>CT173*VLOOKUP('Données projet'!$B$13,Paramètres!$A$1:$I$89,3,0)*VLOOKUP('Données projet'!$B$13,Paramètres!$A$1:$I$89,5,0)</f>
        <v>-2.9262992029543964E-13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277.77877239988635</v>
      </c>
      <c r="CZ173" s="60">
        <f t="shared" si="150"/>
        <v>164.65640238394164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9.7543306765146564E-14</v>
      </c>
      <c r="DQ173" s="14">
        <f t="shared" si="176"/>
        <v>1.4696264278629426E-12</v>
      </c>
      <c r="DR173" s="22">
        <f t="shared" si="177"/>
        <v>2.7294872878105889E-12</v>
      </c>
      <c r="DS173" s="60">
        <f t="shared" si="125"/>
        <v>288.65398521628862</v>
      </c>
      <c r="DT173" s="60">
        <f ca="1">AVERAGE(OFFSET($DS$3,0,0,'Données projet'!$E$14+1,1))-AVERAGE(OFFSET($H$3,0,0,'Données projet'!$E$14+1,1))</f>
        <v>354.30160274624632</v>
      </c>
      <c r="DU173" s="60">
        <f t="shared" si="152"/>
        <v>218.8005329382452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-9.6633812063373625E-13</v>
      </c>
      <c r="EK173" s="18">
        <f>EJ173*VLOOKUP('Données projet'!$B$15,Paramètres!$A$1:$I$89,3,0)*VLOOKUP('Données projet'!$B$15,Paramètres!$A$1:$I$89,5,0)</f>
        <v>-9.3464223027694966E-13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496.33873798282525</v>
      </c>
      <c r="EP173" s="60">
        <f t="shared" si="154"/>
        <v>280.25465074992246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3.4106051316484809E-13</v>
      </c>
      <c r="FF173" s="18">
        <f>FE173*VLOOKUP('Données projet'!$B$16,Paramètres!$A$1:$I$89,3,0)*VLOOKUP('Données projet'!$B$16,Paramètres!$A$1:$I$89,5,0)</f>
        <v>2.7666828827932479E-13</v>
      </c>
      <c r="FG173" s="14">
        <f t="shared" si="182"/>
        <v>3.6920483163466686E-12</v>
      </c>
      <c r="FH173" s="22">
        <f t="shared" si="183"/>
        <v>6.9121814197236049E-12</v>
      </c>
      <c r="FI173" s="60">
        <f t="shared" si="131"/>
        <v>288.65398521629282</v>
      </c>
      <c r="FJ173" s="60">
        <f ca="1">AVERAGE(OFFSET($FI$3,0,0,'Données projet'!$E$16+1,1))-AVERAGE(OFFSET($H$3,0,0,'Données projet'!$E$16+1,1))</f>
        <v>341.66430955115521</v>
      </c>
      <c r="FK173" s="60">
        <f t="shared" si="156"/>
        <v>366.15174925159192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3.4106051316484809E-13</v>
      </c>
      <c r="GA173" s="18">
        <f>FZ173*VLOOKUP('Données projet'!$B$17,Paramètres!$A$1:$I$89,3,0)*VLOOKUP('Données projet'!$B$17,Paramètres!$A$1:$I$89,5,0)</f>
        <v>2.5006556825246659E-13</v>
      </c>
      <c r="GB173" s="14">
        <f t="shared" si="185"/>
        <v>3.3765445850268018E-12</v>
      </c>
      <c r="GC173" s="22">
        <f t="shared" si="186"/>
        <v>6.3163460169613921E-12</v>
      </c>
      <c r="GD173" s="60">
        <f t="shared" si="134"/>
        <v>288.6539852162922</v>
      </c>
      <c r="GE173" s="60">
        <f ca="1">AVERAGE(OFFSET($GD$3,0,0,'Données projet'!$E$17+1,1))-AVERAGE(OFFSET($H$3,0,0,'Données projet'!$E$17+1,1))</f>
        <v>314.58662400031631</v>
      </c>
      <c r="GF173" s="60">
        <f t="shared" si="158"/>
        <v>336.99073123405981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4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-9.7986685432260874E-13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516.30971934066179</v>
      </c>
      <c r="T174" s="60">
        <f t="shared" si="142"/>
        <v>290.84286505723571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-5.1159076974727213E-13</v>
      </c>
      <c r="AJ174" s="14">
        <f>AI174*VLOOKUP('Données projet'!$B$10,Paramètres!$A$1:$I$89,3,0)*VLOOKUP('Données projet'!$B$10,Paramètres!$A$1:$I$89,5,0)</f>
        <v>-5.3471467253984886E-13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529.00505223594837</v>
      </c>
      <c r="AO174" s="60">
        <f t="shared" si="144"/>
        <v>321.23004033257985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2.9795046430081134E-13</v>
      </c>
      <c r="BF174" s="14">
        <f t="shared" si="167"/>
        <v>3.9419014464513778E-12</v>
      </c>
      <c r="BG174" s="22">
        <f t="shared" si="168"/>
        <v>7.384408744560063E-12</v>
      </c>
      <c r="BH174" s="60">
        <f t="shared" si="116"/>
        <v>288.7351614446689</v>
      </c>
      <c r="BI174" s="60">
        <f ca="1">AVERAGE(OFFSET($BH$3,0,0,'Données projet'!$E$11+1,1))-AVERAGE(OFFSET($H$3,0,0,'Données projet'!$E$11+1,1))</f>
        <v>363.28611056308665</v>
      </c>
      <c r="BJ174" s="60">
        <f t="shared" si="146"/>
        <v>389.43647559455974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-9.6633812063373625E-13</v>
      </c>
      <c r="BZ174" s="14">
        <f>BY174*VLOOKUP('Données projet'!$B$12,Paramètres!$A$1:$I$89,3,0)*VLOOKUP('Données projet'!$B$12,Paramètres!$A$1:$I$89,5,0)</f>
        <v>-1.0401663530501537E-12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542.90832990875208</v>
      </c>
      <c r="CE174" s="60">
        <f t="shared" si="148"/>
        <v>304.94365539329362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-6.2527760746888816E-13</v>
      </c>
      <c r="CU174" s="18">
        <f>CT174*VLOOKUP('Données projet'!$B$13,Paramètres!$A$1:$I$89,3,0)*VLOOKUP('Données projet'!$B$13,Paramètres!$A$1:$I$89,5,0)</f>
        <v>-2.9262992029543964E-13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277.77877239988635</v>
      </c>
      <c r="CZ174" s="60">
        <f t="shared" si="150"/>
        <v>164.65640238394164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9.7543306765146564E-14</v>
      </c>
      <c r="DQ174" s="14">
        <f t="shared" si="176"/>
        <v>1.4696264278629426E-12</v>
      </c>
      <c r="DR174" s="22">
        <f t="shared" si="177"/>
        <v>2.7294872878105889E-12</v>
      </c>
      <c r="DS174" s="60">
        <f t="shared" si="125"/>
        <v>288.73516144466424</v>
      </c>
      <c r="DT174" s="60">
        <f ca="1">AVERAGE(OFFSET($DS$3,0,0,'Données projet'!$E$14+1,1))-AVERAGE(OFFSET($H$3,0,0,'Données projet'!$E$14+1,1))</f>
        <v>354.30160274624632</v>
      </c>
      <c r="DU174" s="60">
        <f t="shared" si="152"/>
        <v>218.8005329382452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-9.6633812063373625E-13</v>
      </c>
      <c r="EK174" s="18">
        <f>EJ174*VLOOKUP('Données projet'!$B$15,Paramètres!$A$1:$I$89,3,0)*VLOOKUP('Données projet'!$B$15,Paramètres!$A$1:$I$89,5,0)</f>
        <v>-9.3464223027694966E-13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496.33873798282525</v>
      </c>
      <c r="EP174" s="60">
        <f t="shared" si="154"/>
        <v>280.25465074992246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3.4106051316484809E-13</v>
      </c>
      <c r="FF174" s="18">
        <f>FE174*VLOOKUP('Données projet'!$B$16,Paramètres!$A$1:$I$89,3,0)*VLOOKUP('Données projet'!$B$16,Paramètres!$A$1:$I$89,5,0)</f>
        <v>2.7666828827932479E-13</v>
      </c>
      <c r="FG174" s="14">
        <f t="shared" si="182"/>
        <v>3.6920483163466686E-12</v>
      </c>
      <c r="FH174" s="22">
        <f t="shared" si="183"/>
        <v>6.9121814197236049E-12</v>
      </c>
      <c r="FI174" s="60">
        <f t="shared" si="131"/>
        <v>288.73516144466845</v>
      </c>
      <c r="FJ174" s="60">
        <f ca="1">AVERAGE(OFFSET($FI$3,0,0,'Données projet'!$E$16+1,1))-AVERAGE(OFFSET($H$3,0,0,'Données projet'!$E$16+1,1))</f>
        <v>341.66430955115521</v>
      </c>
      <c r="FK174" s="60">
        <f t="shared" si="156"/>
        <v>366.15174925159192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3.4106051316484809E-13</v>
      </c>
      <c r="GA174" s="18">
        <f>FZ174*VLOOKUP('Données projet'!$B$17,Paramètres!$A$1:$I$89,3,0)*VLOOKUP('Données projet'!$B$17,Paramètres!$A$1:$I$89,5,0)</f>
        <v>2.5006556825246659E-13</v>
      </c>
      <c r="GB174" s="14">
        <f t="shared" si="185"/>
        <v>3.3765445850268018E-12</v>
      </c>
      <c r="GC174" s="22">
        <f t="shared" si="186"/>
        <v>6.3163460169613921E-12</v>
      </c>
      <c r="GD174" s="60">
        <f t="shared" si="134"/>
        <v>288.73516144466782</v>
      </c>
      <c r="GE174" s="60">
        <f ca="1">AVERAGE(OFFSET($GD$3,0,0,'Données projet'!$E$17+1,1))-AVERAGE(OFFSET($H$3,0,0,'Données projet'!$E$17+1,1))</f>
        <v>314.58662400031631</v>
      </c>
      <c r="GF174" s="60">
        <f t="shared" si="158"/>
        <v>336.99073123405981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4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-9.7986685432260874E-13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516.30971934066179</v>
      </c>
      <c r="T175" s="60">
        <f t="shared" si="142"/>
        <v>290.84286505723571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-5.1159076974727213E-13</v>
      </c>
      <c r="AJ175" s="14">
        <f>AI175*VLOOKUP('Données projet'!$B$10,Paramètres!$A$1:$I$89,3,0)*VLOOKUP('Données projet'!$B$10,Paramètres!$A$1:$I$89,5,0)</f>
        <v>-5.3471467253984886E-13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529.00505223594837</v>
      </c>
      <c r="AO175" s="60">
        <f t="shared" si="144"/>
        <v>321.23004033257985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2.9795046430081134E-13</v>
      </c>
      <c r="BF175" s="14">
        <f t="shared" si="167"/>
        <v>3.9419014464513778E-12</v>
      </c>
      <c r="BG175" s="22">
        <f t="shared" si="168"/>
        <v>7.384408744560063E-12</v>
      </c>
      <c r="BH175" s="60">
        <f t="shared" si="116"/>
        <v>288.81492944696504</v>
      </c>
      <c r="BI175" s="60">
        <f ca="1">AVERAGE(OFFSET($BH$3,0,0,'Données projet'!$E$11+1,1))-AVERAGE(OFFSET($H$3,0,0,'Données projet'!$E$11+1,1))</f>
        <v>363.28611056308665</v>
      </c>
      <c r="BJ175" s="60">
        <f t="shared" si="146"/>
        <v>389.43647559455974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-9.6633812063373625E-13</v>
      </c>
      <c r="BZ175" s="14">
        <f>BY175*VLOOKUP('Données projet'!$B$12,Paramètres!$A$1:$I$89,3,0)*VLOOKUP('Données projet'!$B$12,Paramètres!$A$1:$I$89,5,0)</f>
        <v>-1.0401663530501537E-12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542.90832990875208</v>
      </c>
      <c r="CE175" s="60">
        <f t="shared" si="148"/>
        <v>304.94365539329362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-6.2527760746888816E-13</v>
      </c>
      <c r="CU175" s="18">
        <f>CT175*VLOOKUP('Données projet'!$B$13,Paramètres!$A$1:$I$89,3,0)*VLOOKUP('Données projet'!$B$13,Paramètres!$A$1:$I$89,5,0)</f>
        <v>-2.9262992029543964E-13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277.77877239988635</v>
      </c>
      <c r="CZ175" s="60">
        <f t="shared" si="150"/>
        <v>164.65640238394164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9.7543306765146564E-14</v>
      </c>
      <c r="DQ175" s="14">
        <f t="shared" si="176"/>
        <v>1.4696264278629426E-12</v>
      </c>
      <c r="DR175" s="22">
        <f t="shared" si="177"/>
        <v>2.7294872878105889E-12</v>
      </c>
      <c r="DS175" s="60">
        <f t="shared" si="125"/>
        <v>288.81492944696038</v>
      </c>
      <c r="DT175" s="60">
        <f ca="1">AVERAGE(OFFSET($DS$3,0,0,'Données projet'!$E$14+1,1))-AVERAGE(OFFSET($H$3,0,0,'Données projet'!$E$14+1,1))</f>
        <v>354.30160274624632</v>
      </c>
      <c r="DU175" s="60">
        <f t="shared" si="152"/>
        <v>218.8005329382452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-9.6633812063373625E-13</v>
      </c>
      <c r="EK175" s="18">
        <f>EJ175*VLOOKUP('Données projet'!$B$15,Paramètres!$A$1:$I$89,3,0)*VLOOKUP('Données projet'!$B$15,Paramètres!$A$1:$I$89,5,0)</f>
        <v>-9.3464223027694966E-13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496.33873798282525</v>
      </c>
      <c r="EP175" s="60">
        <f t="shared" si="154"/>
        <v>280.25465074992246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3.4106051316484809E-13</v>
      </c>
      <c r="FF175" s="18">
        <f>FE175*VLOOKUP('Données projet'!$B$16,Paramètres!$A$1:$I$89,3,0)*VLOOKUP('Données projet'!$B$16,Paramètres!$A$1:$I$89,5,0)</f>
        <v>2.7666828827932479E-13</v>
      </c>
      <c r="FG175" s="14">
        <f t="shared" si="182"/>
        <v>3.6920483163466686E-12</v>
      </c>
      <c r="FH175" s="22">
        <f t="shared" si="183"/>
        <v>6.9121814197236049E-12</v>
      </c>
      <c r="FI175" s="60">
        <f t="shared" si="131"/>
        <v>288.81492944696458</v>
      </c>
      <c r="FJ175" s="60">
        <f ca="1">AVERAGE(OFFSET($FI$3,0,0,'Données projet'!$E$16+1,1))-AVERAGE(OFFSET($H$3,0,0,'Données projet'!$E$16+1,1))</f>
        <v>341.66430955115521</v>
      </c>
      <c r="FK175" s="60">
        <f t="shared" si="156"/>
        <v>366.15174925159192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3.4106051316484809E-13</v>
      </c>
      <c r="GA175" s="18">
        <f>FZ175*VLOOKUP('Données projet'!$B$17,Paramètres!$A$1:$I$89,3,0)*VLOOKUP('Données projet'!$B$17,Paramètres!$A$1:$I$89,5,0)</f>
        <v>2.5006556825246659E-13</v>
      </c>
      <c r="GB175" s="14">
        <f t="shared" si="185"/>
        <v>3.3765445850268018E-12</v>
      </c>
      <c r="GC175" s="22">
        <f t="shared" si="186"/>
        <v>6.3163460169613921E-12</v>
      </c>
      <c r="GD175" s="60">
        <f t="shared" si="134"/>
        <v>288.81492944696396</v>
      </c>
      <c r="GE175" s="60">
        <f ca="1">AVERAGE(OFFSET($GD$3,0,0,'Données projet'!$E$17+1,1))-AVERAGE(OFFSET($H$3,0,0,'Données projet'!$E$17+1,1))</f>
        <v>314.58662400031631</v>
      </c>
      <c r="GF175" s="60">
        <f t="shared" si="158"/>
        <v>336.99073123405981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4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-9.7986685432260874E-13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516.30971934066179</v>
      </c>
      <c r="T176" s="60">
        <f t="shared" si="142"/>
        <v>290.84286505723571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-5.1159076974727213E-13</v>
      </c>
      <c r="AJ176" s="14">
        <f>AI176*VLOOKUP('Données projet'!$B$10,Paramètres!$A$1:$I$89,3,0)*VLOOKUP('Données projet'!$B$10,Paramètres!$A$1:$I$89,5,0)</f>
        <v>-5.3471467253984886E-13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529.00505223594837</v>
      </c>
      <c r="AO176" s="60">
        <f t="shared" si="144"/>
        <v>321.23004033257985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2.9795046430081134E-13</v>
      </c>
      <c r="BF176" s="14">
        <f t="shared" si="167"/>
        <v>3.9419014464513778E-12</v>
      </c>
      <c r="BG176" s="22">
        <f t="shared" si="168"/>
        <v>7.384408744560063E-12</v>
      </c>
      <c r="BH176" s="60">
        <f t="shared" si="116"/>
        <v>288.89331365275586</v>
      </c>
      <c r="BI176" s="60">
        <f ca="1">AVERAGE(OFFSET($BH$3,0,0,'Données projet'!$E$11+1,1))-AVERAGE(OFFSET($H$3,0,0,'Données projet'!$E$11+1,1))</f>
        <v>363.28611056308665</v>
      </c>
      <c r="BJ176" s="60">
        <f t="shared" si="146"/>
        <v>389.43647559455974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-9.6633812063373625E-13</v>
      </c>
      <c r="BZ176" s="14">
        <f>BY176*VLOOKUP('Données projet'!$B$12,Paramètres!$A$1:$I$89,3,0)*VLOOKUP('Données projet'!$B$12,Paramètres!$A$1:$I$89,5,0)</f>
        <v>-1.0401663530501537E-12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542.90832990875208</v>
      </c>
      <c r="CE176" s="60">
        <f t="shared" si="148"/>
        <v>304.94365539329362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-6.2527760746888816E-13</v>
      </c>
      <c r="CU176" s="18">
        <f>CT176*VLOOKUP('Données projet'!$B$13,Paramètres!$A$1:$I$89,3,0)*VLOOKUP('Données projet'!$B$13,Paramètres!$A$1:$I$89,5,0)</f>
        <v>-2.9262992029543964E-13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277.77877239988635</v>
      </c>
      <c r="CZ176" s="60">
        <f t="shared" si="150"/>
        <v>164.65640238394164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9.7543306765146564E-14</v>
      </c>
      <c r="DQ176" s="14">
        <f t="shared" si="176"/>
        <v>1.4696264278629426E-12</v>
      </c>
      <c r="DR176" s="22">
        <f t="shared" si="177"/>
        <v>2.7294872878105889E-12</v>
      </c>
      <c r="DS176" s="60">
        <f t="shared" si="125"/>
        <v>288.8933136527512</v>
      </c>
      <c r="DT176" s="60">
        <f ca="1">AVERAGE(OFFSET($DS$3,0,0,'Données projet'!$E$14+1,1))-AVERAGE(OFFSET($H$3,0,0,'Données projet'!$E$14+1,1))</f>
        <v>354.30160274624632</v>
      </c>
      <c r="DU176" s="60">
        <f t="shared" si="152"/>
        <v>218.8005329382452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-9.6633812063373625E-13</v>
      </c>
      <c r="EK176" s="18">
        <f>EJ176*VLOOKUP('Données projet'!$B$15,Paramètres!$A$1:$I$89,3,0)*VLOOKUP('Données projet'!$B$15,Paramètres!$A$1:$I$89,5,0)</f>
        <v>-9.3464223027694966E-13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496.33873798282525</v>
      </c>
      <c r="EP176" s="60">
        <f t="shared" si="154"/>
        <v>280.25465074992246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3.4106051316484809E-13</v>
      </c>
      <c r="FF176" s="18">
        <f>FE176*VLOOKUP('Données projet'!$B$16,Paramètres!$A$1:$I$89,3,0)*VLOOKUP('Données projet'!$B$16,Paramètres!$A$1:$I$89,5,0)</f>
        <v>2.7666828827932479E-13</v>
      </c>
      <c r="FG176" s="14">
        <f t="shared" si="182"/>
        <v>3.6920483163466686E-12</v>
      </c>
      <c r="FH176" s="22">
        <f t="shared" si="183"/>
        <v>6.9121814197236049E-12</v>
      </c>
      <c r="FI176" s="60">
        <f t="shared" si="131"/>
        <v>288.89331365275541</v>
      </c>
      <c r="FJ176" s="60">
        <f ca="1">AVERAGE(OFFSET($FI$3,0,0,'Données projet'!$E$16+1,1))-AVERAGE(OFFSET($H$3,0,0,'Données projet'!$E$16+1,1))</f>
        <v>341.66430955115521</v>
      </c>
      <c r="FK176" s="60">
        <f t="shared" si="156"/>
        <v>366.15174925159192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3.4106051316484809E-13</v>
      </c>
      <c r="GA176" s="18">
        <f>FZ176*VLOOKUP('Données projet'!$B$17,Paramètres!$A$1:$I$89,3,0)*VLOOKUP('Données projet'!$B$17,Paramètres!$A$1:$I$89,5,0)</f>
        <v>2.5006556825246659E-13</v>
      </c>
      <c r="GB176" s="14">
        <f t="shared" si="185"/>
        <v>3.3765445850268018E-12</v>
      </c>
      <c r="GC176" s="22">
        <f t="shared" si="186"/>
        <v>6.3163460169613921E-12</v>
      </c>
      <c r="GD176" s="60">
        <f t="shared" si="134"/>
        <v>288.89331365275478</v>
      </c>
      <c r="GE176" s="60">
        <f ca="1">AVERAGE(OFFSET($GD$3,0,0,'Données projet'!$E$17+1,1))-AVERAGE(OFFSET($H$3,0,0,'Données projet'!$E$17+1,1))</f>
        <v>314.58662400031631</v>
      </c>
      <c r="GF176" s="60">
        <f t="shared" si="158"/>
        <v>336.99073123405981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4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-9.7986685432260874E-13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516.30971934066179</v>
      </c>
      <c r="T177" s="60">
        <f t="shared" si="142"/>
        <v>290.84286505723571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-5.1159076974727213E-13</v>
      </c>
      <c r="AJ177" s="14">
        <f>AI177*VLOOKUP('Données projet'!$B$10,Paramètres!$A$1:$I$89,3,0)*VLOOKUP('Données projet'!$B$10,Paramètres!$A$1:$I$89,5,0)</f>
        <v>-5.3471467253984886E-13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529.00505223594837</v>
      </c>
      <c r="AO177" s="60">
        <f t="shared" si="144"/>
        <v>321.23004033257985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2.9795046430081134E-13</v>
      </c>
      <c r="BF177" s="14">
        <f t="shared" si="167"/>
        <v>3.9419014464513778E-12</v>
      </c>
      <c r="BG177" s="22">
        <f t="shared" si="168"/>
        <v>7.384408744560063E-12</v>
      </c>
      <c r="BH177" s="60">
        <f t="shared" si="116"/>
        <v>288.97033806781712</v>
      </c>
      <c r="BI177" s="60">
        <f ca="1">AVERAGE(OFFSET($BH$3,0,0,'Données projet'!$E$11+1,1))-AVERAGE(OFFSET($H$3,0,0,'Données projet'!$E$11+1,1))</f>
        <v>363.28611056308665</v>
      </c>
      <c r="BJ177" s="60">
        <f t="shared" si="146"/>
        <v>389.43647559455974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-9.6633812063373625E-13</v>
      </c>
      <c r="BZ177" s="14">
        <f>BY177*VLOOKUP('Données projet'!$B$12,Paramètres!$A$1:$I$89,3,0)*VLOOKUP('Données projet'!$B$12,Paramètres!$A$1:$I$89,5,0)</f>
        <v>-1.0401663530501537E-12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542.90832990875208</v>
      </c>
      <c r="CE177" s="60">
        <f t="shared" si="148"/>
        <v>304.94365539329362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-6.2527760746888816E-13</v>
      </c>
      <c r="CU177" s="18">
        <f>CT177*VLOOKUP('Données projet'!$B$13,Paramètres!$A$1:$I$89,3,0)*VLOOKUP('Données projet'!$B$13,Paramètres!$A$1:$I$89,5,0)</f>
        <v>-2.9262992029543964E-13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277.77877239988635</v>
      </c>
      <c r="CZ177" s="60">
        <f t="shared" si="150"/>
        <v>164.65640238394164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9.7543306765146564E-14</v>
      </c>
      <c r="DQ177" s="14">
        <f t="shared" si="176"/>
        <v>1.4696264278629426E-12</v>
      </c>
      <c r="DR177" s="22">
        <f t="shared" si="177"/>
        <v>2.7294872878105889E-12</v>
      </c>
      <c r="DS177" s="60">
        <f t="shared" si="125"/>
        <v>288.97033806781246</v>
      </c>
      <c r="DT177" s="60">
        <f ca="1">AVERAGE(OFFSET($DS$3,0,0,'Données projet'!$E$14+1,1))-AVERAGE(OFFSET($H$3,0,0,'Données projet'!$E$14+1,1))</f>
        <v>354.30160274624632</v>
      </c>
      <c r="DU177" s="60">
        <f t="shared" si="152"/>
        <v>218.8005329382452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-9.6633812063373625E-13</v>
      </c>
      <c r="EK177" s="18">
        <f>EJ177*VLOOKUP('Données projet'!$B$15,Paramètres!$A$1:$I$89,3,0)*VLOOKUP('Données projet'!$B$15,Paramètres!$A$1:$I$89,5,0)</f>
        <v>-9.3464223027694966E-13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496.33873798282525</v>
      </c>
      <c r="EP177" s="60">
        <f t="shared" si="154"/>
        <v>280.25465074992246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3.4106051316484809E-13</v>
      </c>
      <c r="FF177" s="18">
        <f>FE177*VLOOKUP('Données projet'!$B$16,Paramètres!$A$1:$I$89,3,0)*VLOOKUP('Données projet'!$B$16,Paramètres!$A$1:$I$89,5,0)</f>
        <v>2.7666828827932479E-13</v>
      </c>
      <c r="FG177" s="14">
        <f t="shared" si="182"/>
        <v>3.6920483163466686E-12</v>
      </c>
      <c r="FH177" s="22">
        <f t="shared" si="183"/>
        <v>6.9121814197236049E-12</v>
      </c>
      <c r="FI177" s="60">
        <f t="shared" si="131"/>
        <v>288.97033806781667</v>
      </c>
      <c r="FJ177" s="60">
        <f ca="1">AVERAGE(OFFSET($FI$3,0,0,'Données projet'!$E$16+1,1))-AVERAGE(OFFSET($H$3,0,0,'Données projet'!$E$16+1,1))</f>
        <v>341.66430955115521</v>
      </c>
      <c r="FK177" s="60">
        <f t="shared" si="156"/>
        <v>366.15174925159192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3.4106051316484809E-13</v>
      </c>
      <c r="GA177" s="18">
        <f>FZ177*VLOOKUP('Données projet'!$B$17,Paramètres!$A$1:$I$89,3,0)*VLOOKUP('Données projet'!$B$17,Paramètres!$A$1:$I$89,5,0)</f>
        <v>2.5006556825246659E-13</v>
      </c>
      <c r="GB177" s="14">
        <f t="shared" si="185"/>
        <v>3.3765445850268018E-12</v>
      </c>
      <c r="GC177" s="22">
        <f t="shared" si="186"/>
        <v>6.3163460169613921E-12</v>
      </c>
      <c r="GD177" s="60">
        <f t="shared" si="134"/>
        <v>288.97033806781604</v>
      </c>
      <c r="GE177" s="60">
        <f ca="1">AVERAGE(OFFSET($GD$3,0,0,'Données projet'!$E$17+1,1))-AVERAGE(OFFSET($H$3,0,0,'Données projet'!$E$17+1,1))</f>
        <v>314.58662400031631</v>
      </c>
      <c r="GF177" s="60">
        <f t="shared" si="158"/>
        <v>336.99073123405981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4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-9.7986685432260874E-13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516.30971934066179</v>
      </c>
      <c r="T178" s="60">
        <f t="shared" si="142"/>
        <v>290.84286505723571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-5.1159076974727213E-13</v>
      </c>
      <c r="AJ178" s="14">
        <f>AI178*VLOOKUP('Données projet'!$B$10,Paramètres!$A$1:$I$89,3,0)*VLOOKUP('Données projet'!$B$10,Paramètres!$A$1:$I$89,5,0)</f>
        <v>-5.3471467253984886E-13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529.00505223594837</v>
      </c>
      <c r="AO178" s="60">
        <f t="shared" si="144"/>
        <v>321.23004033257985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2.9795046430081134E-13</v>
      </c>
      <c r="BF178" s="14">
        <f t="shared" si="167"/>
        <v>3.9419014464513778E-12</v>
      </c>
      <c r="BG178" s="22">
        <f t="shared" si="168"/>
        <v>7.384408744560063E-12</v>
      </c>
      <c r="BH178" s="60">
        <f t="shared" si="116"/>
        <v>289.04602628147779</v>
      </c>
      <c r="BI178" s="60">
        <f ca="1">AVERAGE(OFFSET($BH$3,0,0,'Données projet'!$E$11+1,1))-AVERAGE(OFFSET($H$3,0,0,'Données projet'!$E$11+1,1))</f>
        <v>363.28611056308665</v>
      </c>
      <c r="BJ178" s="60">
        <f t="shared" si="146"/>
        <v>389.43647559455974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-9.6633812063373625E-13</v>
      </c>
      <c r="BZ178" s="14">
        <f>BY178*VLOOKUP('Données projet'!$B$12,Paramètres!$A$1:$I$89,3,0)*VLOOKUP('Données projet'!$B$12,Paramètres!$A$1:$I$89,5,0)</f>
        <v>-1.0401663530501537E-12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542.90832990875208</v>
      </c>
      <c r="CE178" s="60">
        <f t="shared" si="148"/>
        <v>304.94365539329362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-6.2527760746888816E-13</v>
      </c>
      <c r="CU178" s="18">
        <f>CT178*VLOOKUP('Données projet'!$B$13,Paramètres!$A$1:$I$89,3,0)*VLOOKUP('Données projet'!$B$13,Paramètres!$A$1:$I$89,5,0)</f>
        <v>-2.9262992029543964E-13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277.77877239988635</v>
      </c>
      <c r="CZ178" s="60">
        <f t="shared" si="150"/>
        <v>164.65640238394164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9.7543306765146564E-14</v>
      </c>
      <c r="DQ178" s="14">
        <f t="shared" si="176"/>
        <v>1.4696264278629426E-12</v>
      </c>
      <c r="DR178" s="22">
        <f t="shared" si="177"/>
        <v>2.7294872878105889E-12</v>
      </c>
      <c r="DS178" s="60">
        <f t="shared" si="125"/>
        <v>289.04602628147313</v>
      </c>
      <c r="DT178" s="60">
        <f ca="1">AVERAGE(OFFSET($DS$3,0,0,'Données projet'!$E$14+1,1))-AVERAGE(OFFSET($H$3,0,0,'Données projet'!$E$14+1,1))</f>
        <v>354.30160274624632</v>
      </c>
      <c r="DU178" s="60">
        <f t="shared" si="152"/>
        <v>218.8005329382452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-9.6633812063373625E-13</v>
      </c>
      <c r="EK178" s="18">
        <f>EJ178*VLOOKUP('Données projet'!$B$15,Paramètres!$A$1:$I$89,3,0)*VLOOKUP('Données projet'!$B$15,Paramètres!$A$1:$I$89,5,0)</f>
        <v>-9.3464223027694966E-13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496.33873798282525</v>
      </c>
      <c r="EP178" s="60">
        <f t="shared" si="154"/>
        <v>280.25465074992246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3.4106051316484809E-13</v>
      </c>
      <c r="FF178" s="18">
        <f>FE178*VLOOKUP('Données projet'!$B$16,Paramètres!$A$1:$I$89,3,0)*VLOOKUP('Données projet'!$B$16,Paramètres!$A$1:$I$89,5,0)</f>
        <v>2.7666828827932479E-13</v>
      </c>
      <c r="FG178" s="14">
        <f t="shared" si="182"/>
        <v>3.6920483163466686E-12</v>
      </c>
      <c r="FH178" s="22">
        <f t="shared" si="183"/>
        <v>6.9121814197236049E-12</v>
      </c>
      <c r="FI178" s="60">
        <f t="shared" si="131"/>
        <v>289.04602628147734</v>
      </c>
      <c r="FJ178" s="60">
        <f ca="1">AVERAGE(OFFSET($FI$3,0,0,'Données projet'!$E$16+1,1))-AVERAGE(OFFSET($H$3,0,0,'Données projet'!$E$16+1,1))</f>
        <v>341.66430955115521</v>
      </c>
      <c r="FK178" s="60">
        <f t="shared" si="156"/>
        <v>366.15174925159192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3.4106051316484809E-13</v>
      </c>
      <c r="GA178" s="18">
        <f>FZ178*VLOOKUP('Données projet'!$B$17,Paramètres!$A$1:$I$89,3,0)*VLOOKUP('Données projet'!$B$17,Paramètres!$A$1:$I$89,5,0)</f>
        <v>2.5006556825246659E-13</v>
      </c>
      <c r="GB178" s="14">
        <f t="shared" si="185"/>
        <v>3.3765445850268018E-12</v>
      </c>
      <c r="GC178" s="22">
        <f t="shared" si="186"/>
        <v>6.3163460169613921E-12</v>
      </c>
      <c r="GD178" s="60">
        <f t="shared" si="134"/>
        <v>289.04602628147671</v>
      </c>
      <c r="GE178" s="60">
        <f ca="1">AVERAGE(OFFSET($GD$3,0,0,'Données projet'!$E$17+1,1))-AVERAGE(OFFSET($H$3,0,0,'Données projet'!$E$17+1,1))</f>
        <v>314.58662400031631</v>
      </c>
      <c r="GF178" s="60">
        <f t="shared" si="158"/>
        <v>336.99073123405981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4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-9.7986685432260874E-13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516.30971934066179</v>
      </c>
      <c r="T179" s="60">
        <f t="shared" si="142"/>
        <v>290.84286505723571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-5.1159076974727213E-13</v>
      </c>
      <c r="AJ179" s="14">
        <f>AI179*VLOOKUP('Données projet'!$B$10,Paramètres!$A$1:$I$89,3,0)*VLOOKUP('Données projet'!$B$10,Paramètres!$A$1:$I$89,5,0)</f>
        <v>-5.3471467253984886E-13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529.00505223594837</v>
      </c>
      <c r="AO179" s="60">
        <f t="shared" si="144"/>
        <v>321.23004033257985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2.9795046430081134E-13</v>
      </c>
      <c r="BF179" s="14">
        <f t="shared" si="167"/>
        <v>3.9419014464513778E-12</v>
      </c>
      <c r="BG179" s="22">
        <f t="shared" si="168"/>
        <v>7.384408744560063E-12</v>
      </c>
      <c r="BH179" s="60">
        <f t="shared" si="116"/>
        <v>289.12040147384499</v>
      </c>
      <c r="BI179" s="60">
        <f ca="1">AVERAGE(OFFSET($BH$3,0,0,'Données projet'!$E$11+1,1))-AVERAGE(OFFSET($H$3,0,0,'Données projet'!$E$11+1,1))</f>
        <v>363.28611056308665</v>
      </c>
      <c r="BJ179" s="60">
        <f t="shared" si="146"/>
        <v>389.43647559455974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-9.6633812063373625E-13</v>
      </c>
      <c r="BZ179" s="14">
        <f>BY179*VLOOKUP('Données projet'!$B$12,Paramètres!$A$1:$I$89,3,0)*VLOOKUP('Données projet'!$B$12,Paramètres!$A$1:$I$89,5,0)</f>
        <v>-1.0401663530501537E-12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542.90832990875208</v>
      </c>
      <c r="CE179" s="60">
        <f t="shared" si="148"/>
        <v>304.94365539329362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-6.2527760746888816E-13</v>
      </c>
      <c r="CU179" s="18">
        <f>CT179*VLOOKUP('Données projet'!$B$13,Paramètres!$A$1:$I$89,3,0)*VLOOKUP('Données projet'!$B$13,Paramètres!$A$1:$I$89,5,0)</f>
        <v>-2.9262992029543964E-13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277.77877239988635</v>
      </c>
      <c r="CZ179" s="60">
        <f t="shared" si="150"/>
        <v>164.65640238394164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9.7543306765146564E-14</v>
      </c>
      <c r="DQ179" s="14">
        <f t="shared" si="176"/>
        <v>1.4696264278629426E-12</v>
      </c>
      <c r="DR179" s="22">
        <f t="shared" si="177"/>
        <v>2.7294872878105889E-12</v>
      </c>
      <c r="DS179" s="60">
        <f t="shared" si="125"/>
        <v>289.12040147384033</v>
      </c>
      <c r="DT179" s="60">
        <f ca="1">AVERAGE(OFFSET($DS$3,0,0,'Données projet'!$E$14+1,1))-AVERAGE(OFFSET($H$3,0,0,'Données projet'!$E$14+1,1))</f>
        <v>354.30160274624632</v>
      </c>
      <c r="DU179" s="60">
        <f t="shared" si="152"/>
        <v>218.8005329382452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-9.6633812063373625E-13</v>
      </c>
      <c r="EK179" s="18">
        <f>EJ179*VLOOKUP('Données projet'!$B$15,Paramètres!$A$1:$I$89,3,0)*VLOOKUP('Données projet'!$B$15,Paramètres!$A$1:$I$89,5,0)</f>
        <v>-9.3464223027694966E-13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496.33873798282525</v>
      </c>
      <c r="EP179" s="60">
        <f t="shared" si="154"/>
        <v>280.25465074992246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3.4106051316484809E-13</v>
      </c>
      <c r="FF179" s="18">
        <f>FE179*VLOOKUP('Données projet'!$B$16,Paramètres!$A$1:$I$89,3,0)*VLOOKUP('Données projet'!$B$16,Paramètres!$A$1:$I$89,5,0)</f>
        <v>2.7666828827932479E-13</v>
      </c>
      <c r="FG179" s="14">
        <f t="shared" si="182"/>
        <v>3.6920483163466686E-12</v>
      </c>
      <c r="FH179" s="22">
        <f t="shared" si="183"/>
        <v>6.9121814197236049E-12</v>
      </c>
      <c r="FI179" s="60">
        <f t="shared" si="131"/>
        <v>289.12040147384454</v>
      </c>
      <c r="FJ179" s="60">
        <f ca="1">AVERAGE(OFFSET($FI$3,0,0,'Données projet'!$E$16+1,1))-AVERAGE(OFFSET($H$3,0,0,'Données projet'!$E$16+1,1))</f>
        <v>341.66430955115521</v>
      </c>
      <c r="FK179" s="60">
        <f t="shared" si="156"/>
        <v>366.15174925159192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3.4106051316484809E-13</v>
      </c>
      <c r="GA179" s="18">
        <f>FZ179*VLOOKUP('Données projet'!$B$17,Paramètres!$A$1:$I$89,3,0)*VLOOKUP('Données projet'!$B$17,Paramètres!$A$1:$I$89,5,0)</f>
        <v>2.5006556825246659E-13</v>
      </c>
      <c r="GB179" s="14">
        <f t="shared" si="185"/>
        <v>3.3765445850268018E-12</v>
      </c>
      <c r="GC179" s="22">
        <f t="shared" si="186"/>
        <v>6.3163460169613921E-12</v>
      </c>
      <c r="GD179" s="60">
        <f t="shared" si="134"/>
        <v>289.12040147384391</v>
      </c>
      <c r="GE179" s="60">
        <f ca="1">AVERAGE(OFFSET($GD$3,0,0,'Données projet'!$E$17+1,1))-AVERAGE(OFFSET($H$3,0,0,'Données projet'!$E$17+1,1))</f>
        <v>314.58662400031631</v>
      </c>
      <c r="GF179" s="60">
        <f t="shared" si="158"/>
        <v>336.99073123405981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4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-9.7986685432260874E-13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516.30971934066179</v>
      </c>
      <c r="T180" s="60">
        <f t="shared" si="142"/>
        <v>290.84286505723571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-5.1159076974727213E-13</v>
      </c>
      <c r="AJ180" s="14">
        <f>AI180*VLOOKUP('Données projet'!$B$10,Paramètres!$A$1:$I$89,3,0)*VLOOKUP('Données projet'!$B$10,Paramètres!$A$1:$I$89,5,0)</f>
        <v>-5.3471467253984886E-13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529.00505223594837</v>
      </c>
      <c r="AO180" s="60">
        <f t="shared" si="144"/>
        <v>321.23004033257985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2.9795046430081134E-13</v>
      </c>
      <c r="BF180" s="14">
        <f t="shared" si="167"/>
        <v>3.9419014464513778E-12</v>
      </c>
      <c r="BG180" s="22">
        <f t="shared" si="168"/>
        <v>7.384408744560063E-12</v>
      </c>
      <c r="BH180" s="60">
        <f t="shared" si="116"/>
        <v>289.19348642290265</v>
      </c>
      <c r="BI180" s="60">
        <f ca="1">AVERAGE(OFFSET($BH$3,0,0,'Données projet'!$E$11+1,1))-AVERAGE(OFFSET($H$3,0,0,'Données projet'!$E$11+1,1))</f>
        <v>363.28611056308665</v>
      </c>
      <c r="BJ180" s="60">
        <f t="shared" si="146"/>
        <v>389.43647559455974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-9.6633812063373625E-13</v>
      </c>
      <c r="BZ180" s="14">
        <f>BY180*VLOOKUP('Données projet'!$B$12,Paramètres!$A$1:$I$89,3,0)*VLOOKUP('Données projet'!$B$12,Paramètres!$A$1:$I$89,5,0)</f>
        <v>-1.0401663530501537E-12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542.90832990875208</v>
      </c>
      <c r="CE180" s="60">
        <f t="shared" si="148"/>
        <v>304.94365539329362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-6.2527760746888816E-13</v>
      </c>
      <c r="CU180" s="18">
        <f>CT180*VLOOKUP('Données projet'!$B$13,Paramètres!$A$1:$I$89,3,0)*VLOOKUP('Données projet'!$B$13,Paramètres!$A$1:$I$89,5,0)</f>
        <v>-2.9262992029543964E-13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277.77877239988635</v>
      </c>
      <c r="CZ180" s="60">
        <f t="shared" si="150"/>
        <v>164.65640238394164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9.7543306765146564E-14</v>
      </c>
      <c r="DQ180" s="14">
        <f t="shared" si="176"/>
        <v>1.4696264278629426E-12</v>
      </c>
      <c r="DR180" s="22">
        <f t="shared" si="177"/>
        <v>2.7294872878105889E-12</v>
      </c>
      <c r="DS180" s="60">
        <f t="shared" si="125"/>
        <v>289.19348642289799</v>
      </c>
      <c r="DT180" s="60">
        <f ca="1">AVERAGE(OFFSET($DS$3,0,0,'Données projet'!$E$14+1,1))-AVERAGE(OFFSET($H$3,0,0,'Données projet'!$E$14+1,1))</f>
        <v>354.30160274624632</v>
      </c>
      <c r="DU180" s="60">
        <f t="shared" si="152"/>
        <v>218.8005329382452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-9.6633812063373625E-13</v>
      </c>
      <c r="EK180" s="18">
        <f>EJ180*VLOOKUP('Données projet'!$B$15,Paramètres!$A$1:$I$89,3,0)*VLOOKUP('Données projet'!$B$15,Paramètres!$A$1:$I$89,5,0)</f>
        <v>-9.3464223027694966E-13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496.33873798282525</v>
      </c>
      <c r="EP180" s="60">
        <f t="shared" si="154"/>
        <v>280.25465074992246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3.4106051316484809E-13</v>
      </c>
      <c r="FF180" s="18">
        <f>FE180*VLOOKUP('Données projet'!$B$16,Paramètres!$A$1:$I$89,3,0)*VLOOKUP('Données projet'!$B$16,Paramètres!$A$1:$I$89,5,0)</f>
        <v>2.7666828827932479E-13</v>
      </c>
      <c r="FG180" s="14">
        <f t="shared" si="182"/>
        <v>3.6920483163466686E-12</v>
      </c>
      <c r="FH180" s="22">
        <f t="shared" si="183"/>
        <v>6.9121814197236049E-12</v>
      </c>
      <c r="FI180" s="60">
        <f t="shared" si="131"/>
        <v>289.1934864229022</v>
      </c>
      <c r="FJ180" s="60">
        <f ca="1">AVERAGE(OFFSET($FI$3,0,0,'Données projet'!$E$16+1,1))-AVERAGE(OFFSET($H$3,0,0,'Données projet'!$E$16+1,1))</f>
        <v>341.66430955115521</v>
      </c>
      <c r="FK180" s="60">
        <f t="shared" si="156"/>
        <v>366.15174925159192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3.4106051316484809E-13</v>
      </c>
      <c r="GA180" s="18">
        <f>FZ180*VLOOKUP('Données projet'!$B$17,Paramètres!$A$1:$I$89,3,0)*VLOOKUP('Données projet'!$B$17,Paramètres!$A$1:$I$89,5,0)</f>
        <v>2.5006556825246659E-13</v>
      </c>
      <c r="GB180" s="14">
        <f t="shared" si="185"/>
        <v>3.3765445850268018E-12</v>
      </c>
      <c r="GC180" s="22">
        <f t="shared" si="186"/>
        <v>6.3163460169613921E-12</v>
      </c>
      <c r="GD180" s="60">
        <f t="shared" si="134"/>
        <v>289.19348642290157</v>
      </c>
      <c r="GE180" s="60">
        <f ca="1">AVERAGE(OFFSET($GD$3,0,0,'Données projet'!$E$17+1,1))-AVERAGE(OFFSET($H$3,0,0,'Données projet'!$E$17+1,1))</f>
        <v>314.58662400031631</v>
      </c>
      <c r="GF180" s="60">
        <f t="shared" si="158"/>
        <v>336.99073123405981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4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-9.7986685432260874E-13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516.30971934066179</v>
      </c>
      <c r="T181" s="60">
        <f t="shared" si="142"/>
        <v>290.84286505723571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-5.1159076974727213E-13</v>
      </c>
      <c r="AJ181" s="14">
        <f>AI181*VLOOKUP('Données projet'!$B$10,Paramètres!$A$1:$I$89,3,0)*VLOOKUP('Données projet'!$B$10,Paramètres!$A$1:$I$89,5,0)</f>
        <v>-5.3471467253984886E-13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529.00505223594837</v>
      </c>
      <c r="AO181" s="60">
        <f t="shared" si="144"/>
        <v>321.23004033257985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2.9795046430081134E-13</v>
      </c>
      <c r="BF181" s="14">
        <f t="shared" si="167"/>
        <v>3.9419014464513778E-12</v>
      </c>
      <c r="BG181" s="22">
        <f t="shared" si="168"/>
        <v>7.384408744560063E-12</v>
      </c>
      <c r="BH181" s="60">
        <f t="shared" si="116"/>
        <v>289.26530351148756</v>
      </c>
      <c r="BI181" s="60">
        <f ca="1">AVERAGE(OFFSET($BH$3,0,0,'Données projet'!$E$11+1,1))-AVERAGE(OFFSET($H$3,0,0,'Données projet'!$E$11+1,1))</f>
        <v>363.28611056308665</v>
      </c>
      <c r="BJ181" s="60">
        <f t="shared" si="146"/>
        <v>389.43647559455974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-9.6633812063373625E-13</v>
      </c>
      <c r="BZ181" s="14">
        <f>BY181*VLOOKUP('Données projet'!$B$12,Paramètres!$A$1:$I$89,3,0)*VLOOKUP('Données projet'!$B$12,Paramètres!$A$1:$I$89,5,0)</f>
        <v>-1.0401663530501537E-12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542.90832990875208</v>
      </c>
      <c r="CE181" s="60">
        <f t="shared" si="148"/>
        <v>304.94365539329362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-6.2527760746888816E-13</v>
      </c>
      <c r="CU181" s="18">
        <f>CT181*VLOOKUP('Données projet'!$B$13,Paramètres!$A$1:$I$89,3,0)*VLOOKUP('Données projet'!$B$13,Paramètres!$A$1:$I$89,5,0)</f>
        <v>-2.9262992029543964E-13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277.77877239988635</v>
      </c>
      <c r="CZ181" s="60">
        <f t="shared" si="150"/>
        <v>164.65640238394164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9.7543306765146564E-14</v>
      </c>
      <c r="DQ181" s="14">
        <f t="shared" si="176"/>
        <v>1.4696264278629426E-12</v>
      </c>
      <c r="DR181" s="22">
        <f t="shared" si="177"/>
        <v>2.7294872878105889E-12</v>
      </c>
      <c r="DS181" s="60">
        <f t="shared" si="125"/>
        <v>289.2653035114829</v>
      </c>
      <c r="DT181" s="60">
        <f ca="1">AVERAGE(OFFSET($DS$3,0,0,'Données projet'!$E$14+1,1))-AVERAGE(OFFSET($H$3,0,0,'Données projet'!$E$14+1,1))</f>
        <v>354.30160274624632</v>
      </c>
      <c r="DU181" s="60">
        <f t="shared" si="152"/>
        <v>218.8005329382452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-9.6633812063373625E-13</v>
      </c>
      <c r="EK181" s="18">
        <f>EJ181*VLOOKUP('Données projet'!$B$15,Paramètres!$A$1:$I$89,3,0)*VLOOKUP('Données projet'!$B$15,Paramètres!$A$1:$I$89,5,0)</f>
        <v>-9.3464223027694966E-13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496.33873798282525</v>
      </c>
      <c r="EP181" s="60">
        <f t="shared" si="154"/>
        <v>280.25465074992246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3.4106051316484809E-13</v>
      </c>
      <c r="FF181" s="18">
        <f>FE181*VLOOKUP('Données projet'!$B$16,Paramètres!$A$1:$I$89,3,0)*VLOOKUP('Données projet'!$B$16,Paramètres!$A$1:$I$89,5,0)</f>
        <v>2.7666828827932479E-13</v>
      </c>
      <c r="FG181" s="14">
        <f t="shared" si="182"/>
        <v>3.6920483163466686E-12</v>
      </c>
      <c r="FH181" s="22">
        <f t="shared" si="183"/>
        <v>6.9121814197236049E-12</v>
      </c>
      <c r="FI181" s="60">
        <f t="shared" si="131"/>
        <v>289.2653035114871</v>
      </c>
      <c r="FJ181" s="60">
        <f ca="1">AVERAGE(OFFSET($FI$3,0,0,'Données projet'!$E$16+1,1))-AVERAGE(OFFSET($H$3,0,0,'Données projet'!$E$16+1,1))</f>
        <v>341.66430955115521</v>
      </c>
      <c r="FK181" s="60">
        <f t="shared" si="156"/>
        <v>366.15174925159192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3.4106051316484809E-13</v>
      </c>
      <c r="GA181" s="18">
        <f>FZ181*VLOOKUP('Données projet'!$B$17,Paramètres!$A$1:$I$89,3,0)*VLOOKUP('Données projet'!$B$17,Paramètres!$A$1:$I$89,5,0)</f>
        <v>2.5006556825246659E-13</v>
      </c>
      <c r="GB181" s="14">
        <f t="shared" si="185"/>
        <v>3.3765445850268018E-12</v>
      </c>
      <c r="GC181" s="22">
        <f t="shared" si="186"/>
        <v>6.3163460169613921E-12</v>
      </c>
      <c r="GD181" s="60">
        <f t="shared" si="134"/>
        <v>289.26530351148648</v>
      </c>
      <c r="GE181" s="60">
        <f ca="1">AVERAGE(OFFSET($GD$3,0,0,'Données projet'!$E$17+1,1))-AVERAGE(OFFSET($H$3,0,0,'Données projet'!$E$17+1,1))</f>
        <v>314.58662400031631</v>
      </c>
      <c r="GF181" s="60">
        <f t="shared" si="158"/>
        <v>336.99073123405981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4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-9.7986685432260874E-13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516.30971934066179</v>
      </c>
      <c r="T182" s="60">
        <f t="shared" si="142"/>
        <v>290.84286505723571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-5.1159076974727213E-13</v>
      </c>
      <c r="AJ182" s="14">
        <f>AI182*VLOOKUP('Données projet'!$B$10,Paramètres!$A$1:$I$89,3,0)*VLOOKUP('Données projet'!$B$10,Paramètres!$A$1:$I$89,5,0)</f>
        <v>-5.3471467253984886E-13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529.00505223594837</v>
      </c>
      <c r="AO182" s="60">
        <f t="shared" si="144"/>
        <v>321.23004033257985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2.9795046430081134E-13</v>
      </c>
      <c r="BF182" s="14">
        <f t="shared" si="167"/>
        <v>3.9419014464513778E-12</v>
      </c>
      <c r="BG182" s="22">
        <f t="shared" si="168"/>
        <v>7.384408744560063E-12</v>
      </c>
      <c r="BH182" s="60">
        <f t="shared" si="116"/>
        <v>289.33587473414451</v>
      </c>
      <c r="BI182" s="60">
        <f ca="1">AVERAGE(OFFSET($BH$3,0,0,'Données projet'!$E$11+1,1))-AVERAGE(OFFSET($H$3,0,0,'Données projet'!$E$11+1,1))</f>
        <v>363.28611056308665</v>
      </c>
      <c r="BJ182" s="60">
        <f t="shared" si="146"/>
        <v>389.43647559455974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-9.6633812063373625E-13</v>
      </c>
      <c r="BZ182" s="14">
        <f>BY182*VLOOKUP('Données projet'!$B$12,Paramètres!$A$1:$I$89,3,0)*VLOOKUP('Données projet'!$B$12,Paramètres!$A$1:$I$89,5,0)</f>
        <v>-1.0401663530501537E-12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542.90832990875208</v>
      </c>
      <c r="CE182" s="60">
        <f t="shared" si="148"/>
        <v>304.94365539329362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-6.2527760746888816E-13</v>
      </c>
      <c r="CU182" s="18">
        <f>CT182*VLOOKUP('Données projet'!$B$13,Paramètres!$A$1:$I$89,3,0)*VLOOKUP('Données projet'!$B$13,Paramètres!$A$1:$I$89,5,0)</f>
        <v>-2.9262992029543964E-13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277.77877239988635</v>
      </c>
      <c r="CZ182" s="60">
        <f t="shared" si="150"/>
        <v>164.65640238394164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9.7543306765146564E-14</v>
      </c>
      <c r="DQ182" s="14">
        <f t="shared" si="176"/>
        <v>1.4696264278629426E-12</v>
      </c>
      <c r="DR182" s="22">
        <f t="shared" si="177"/>
        <v>2.7294872878105889E-12</v>
      </c>
      <c r="DS182" s="60">
        <f t="shared" si="125"/>
        <v>289.33587473413985</v>
      </c>
      <c r="DT182" s="60">
        <f ca="1">AVERAGE(OFFSET($DS$3,0,0,'Données projet'!$E$14+1,1))-AVERAGE(OFFSET($H$3,0,0,'Données projet'!$E$14+1,1))</f>
        <v>354.30160274624632</v>
      </c>
      <c r="DU182" s="60">
        <f t="shared" si="152"/>
        <v>218.8005329382452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-9.6633812063373625E-13</v>
      </c>
      <c r="EK182" s="18">
        <f>EJ182*VLOOKUP('Données projet'!$B$15,Paramètres!$A$1:$I$89,3,0)*VLOOKUP('Données projet'!$B$15,Paramètres!$A$1:$I$89,5,0)</f>
        <v>-9.3464223027694966E-13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496.33873798282525</v>
      </c>
      <c r="EP182" s="60">
        <f t="shared" si="154"/>
        <v>280.25465074992246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3.4106051316484809E-13</v>
      </c>
      <c r="FF182" s="18">
        <f>FE182*VLOOKUP('Données projet'!$B$16,Paramètres!$A$1:$I$89,3,0)*VLOOKUP('Données projet'!$B$16,Paramètres!$A$1:$I$89,5,0)</f>
        <v>2.7666828827932479E-13</v>
      </c>
      <c r="FG182" s="14">
        <f t="shared" si="182"/>
        <v>3.6920483163466686E-12</v>
      </c>
      <c r="FH182" s="22">
        <f t="shared" si="183"/>
        <v>6.9121814197236049E-12</v>
      </c>
      <c r="FI182" s="60">
        <f t="shared" si="131"/>
        <v>289.33587473414406</v>
      </c>
      <c r="FJ182" s="60">
        <f ca="1">AVERAGE(OFFSET($FI$3,0,0,'Données projet'!$E$16+1,1))-AVERAGE(OFFSET($H$3,0,0,'Données projet'!$E$16+1,1))</f>
        <v>341.66430955115521</v>
      </c>
      <c r="FK182" s="60">
        <f t="shared" si="156"/>
        <v>366.15174925159192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3.4106051316484809E-13</v>
      </c>
      <c r="GA182" s="18">
        <f>FZ182*VLOOKUP('Données projet'!$B$17,Paramètres!$A$1:$I$89,3,0)*VLOOKUP('Données projet'!$B$17,Paramètres!$A$1:$I$89,5,0)</f>
        <v>2.5006556825246659E-13</v>
      </c>
      <c r="GB182" s="14">
        <f t="shared" si="185"/>
        <v>3.3765445850268018E-12</v>
      </c>
      <c r="GC182" s="22">
        <f t="shared" si="186"/>
        <v>6.3163460169613921E-12</v>
      </c>
      <c r="GD182" s="60">
        <f t="shared" si="134"/>
        <v>289.33587473414343</v>
      </c>
      <c r="GE182" s="60">
        <f ca="1">AVERAGE(OFFSET($GD$3,0,0,'Données projet'!$E$17+1,1))-AVERAGE(OFFSET($H$3,0,0,'Données projet'!$E$17+1,1))</f>
        <v>314.58662400031631</v>
      </c>
      <c r="GF182" s="60">
        <f t="shared" si="158"/>
        <v>336.99073123405981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4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-9.7986685432260874E-13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516.30971934066179</v>
      </c>
      <c r="T183" s="60">
        <f t="shared" si="142"/>
        <v>290.84286505723571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-5.1159076974727213E-13</v>
      </c>
      <c r="AJ183" s="14">
        <f>AI183*VLOOKUP('Données projet'!$B$10,Paramètres!$A$1:$I$89,3,0)*VLOOKUP('Données projet'!$B$10,Paramètres!$A$1:$I$89,5,0)</f>
        <v>-5.3471467253984886E-13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529.00505223594837</v>
      </c>
      <c r="AO183" s="60">
        <f t="shared" si="144"/>
        <v>321.23004033257985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2.9795046430081134E-13</v>
      </c>
      <c r="BF183" s="14">
        <f t="shared" si="167"/>
        <v>3.9419014464513778E-12</v>
      </c>
      <c r="BG183" s="22">
        <f t="shared" si="168"/>
        <v>7.384408744560063E-12</v>
      </c>
      <c r="BH183" s="60">
        <f t="shared" si="116"/>
        <v>289.40522170386203</v>
      </c>
      <c r="BI183" s="60">
        <f ca="1">AVERAGE(OFFSET($BH$3,0,0,'Données projet'!$E$11+1,1))-AVERAGE(OFFSET($H$3,0,0,'Données projet'!$E$11+1,1))</f>
        <v>363.28611056308665</v>
      </c>
      <c r="BJ183" s="60">
        <f t="shared" si="146"/>
        <v>389.43647559455974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-9.6633812063373625E-13</v>
      </c>
      <c r="BZ183" s="14">
        <f>BY183*VLOOKUP('Données projet'!$B$12,Paramètres!$A$1:$I$89,3,0)*VLOOKUP('Données projet'!$B$12,Paramètres!$A$1:$I$89,5,0)</f>
        <v>-1.0401663530501537E-12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542.90832990875208</v>
      </c>
      <c r="CE183" s="60">
        <f t="shared" si="148"/>
        <v>304.94365539329362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-6.2527760746888816E-13</v>
      </c>
      <c r="CU183" s="18">
        <f>CT183*VLOOKUP('Données projet'!$B$13,Paramètres!$A$1:$I$89,3,0)*VLOOKUP('Données projet'!$B$13,Paramètres!$A$1:$I$89,5,0)</f>
        <v>-2.9262992029543964E-13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277.77877239988635</v>
      </c>
      <c r="CZ183" s="60">
        <f t="shared" si="150"/>
        <v>164.65640238394164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9.7543306765146564E-14</v>
      </c>
      <c r="DQ183" s="14">
        <f t="shared" si="176"/>
        <v>1.4696264278629426E-12</v>
      </c>
      <c r="DR183" s="22">
        <f t="shared" si="177"/>
        <v>2.7294872878105889E-12</v>
      </c>
      <c r="DS183" s="60">
        <f t="shared" si="125"/>
        <v>289.40522170385736</v>
      </c>
      <c r="DT183" s="60">
        <f ca="1">AVERAGE(OFFSET($DS$3,0,0,'Données projet'!$E$14+1,1))-AVERAGE(OFFSET($H$3,0,0,'Données projet'!$E$14+1,1))</f>
        <v>354.30160274624632</v>
      </c>
      <c r="DU183" s="60">
        <f t="shared" si="152"/>
        <v>218.8005329382452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-9.6633812063373625E-13</v>
      </c>
      <c r="EK183" s="18">
        <f>EJ183*VLOOKUP('Données projet'!$B$15,Paramètres!$A$1:$I$89,3,0)*VLOOKUP('Données projet'!$B$15,Paramètres!$A$1:$I$89,5,0)</f>
        <v>-9.3464223027694966E-13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496.33873798282525</v>
      </c>
      <c r="EP183" s="60">
        <f t="shared" si="154"/>
        <v>280.25465074992246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3.4106051316484809E-13</v>
      </c>
      <c r="FF183" s="18">
        <f>FE183*VLOOKUP('Données projet'!$B$16,Paramètres!$A$1:$I$89,3,0)*VLOOKUP('Données projet'!$B$16,Paramètres!$A$1:$I$89,5,0)</f>
        <v>2.7666828827932479E-13</v>
      </c>
      <c r="FG183" s="14">
        <f t="shared" si="182"/>
        <v>3.6920483163466686E-12</v>
      </c>
      <c r="FH183" s="22">
        <f t="shared" si="183"/>
        <v>6.9121814197236049E-12</v>
      </c>
      <c r="FI183" s="60">
        <f t="shared" si="131"/>
        <v>289.40522170386157</v>
      </c>
      <c r="FJ183" s="60">
        <f ca="1">AVERAGE(OFFSET($FI$3,0,0,'Données projet'!$E$16+1,1))-AVERAGE(OFFSET($H$3,0,0,'Données projet'!$E$16+1,1))</f>
        <v>341.66430955115521</v>
      </c>
      <c r="FK183" s="60">
        <f t="shared" si="156"/>
        <v>366.15174925159192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3.4106051316484809E-13</v>
      </c>
      <c r="GA183" s="18">
        <f>FZ183*VLOOKUP('Données projet'!$B$17,Paramètres!$A$1:$I$89,3,0)*VLOOKUP('Données projet'!$B$17,Paramètres!$A$1:$I$89,5,0)</f>
        <v>2.5006556825246659E-13</v>
      </c>
      <c r="GB183" s="14">
        <f t="shared" si="185"/>
        <v>3.3765445850268018E-12</v>
      </c>
      <c r="GC183" s="22">
        <f t="shared" si="186"/>
        <v>6.3163460169613921E-12</v>
      </c>
      <c r="GD183" s="60">
        <f t="shared" si="134"/>
        <v>289.40522170386095</v>
      </c>
      <c r="GE183" s="60">
        <f ca="1">AVERAGE(OFFSET($GD$3,0,0,'Données projet'!$E$17+1,1))-AVERAGE(OFFSET($H$3,0,0,'Données projet'!$E$17+1,1))</f>
        <v>314.58662400031631</v>
      </c>
      <c r="GF183" s="60">
        <f t="shared" si="158"/>
        <v>336.99073123405981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4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-9.7986685432260874E-13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516.30971934066179</v>
      </c>
      <c r="T184" s="60">
        <f t="shared" si="142"/>
        <v>290.84286505723571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-5.1159076974727213E-13</v>
      </c>
      <c r="AJ184" s="14">
        <f>AI184*VLOOKUP('Données projet'!$B$10,Paramètres!$A$1:$I$89,3,0)*VLOOKUP('Données projet'!$B$10,Paramètres!$A$1:$I$89,5,0)</f>
        <v>-5.3471467253984886E-13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529.00505223594837</v>
      </c>
      <c r="AO184" s="60">
        <f t="shared" si="144"/>
        <v>321.23004033257985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2.9795046430081134E-13</v>
      </c>
      <c r="BF184" s="14">
        <f t="shared" si="167"/>
        <v>3.9419014464513778E-12</v>
      </c>
      <c r="BG184" s="22">
        <f t="shared" si="168"/>
        <v>7.384408744560063E-12</v>
      </c>
      <c r="BH184" s="60">
        <f t="shared" si="116"/>
        <v>289.47336565869148</v>
      </c>
      <c r="BI184" s="60">
        <f ca="1">AVERAGE(OFFSET($BH$3,0,0,'Données projet'!$E$11+1,1))-AVERAGE(OFFSET($H$3,0,0,'Données projet'!$E$11+1,1))</f>
        <v>363.28611056308665</v>
      </c>
      <c r="BJ184" s="60">
        <f t="shared" si="146"/>
        <v>389.43647559455974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-9.6633812063373625E-13</v>
      </c>
      <c r="BZ184" s="14">
        <f>BY184*VLOOKUP('Données projet'!$B$12,Paramètres!$A$1:$I$89,3,0)*VLOOKUP('Données projet'!$B$12,Paramètres!$A$1:$I$89,5,0)</f>
        <v>-1.0401663530501537E-12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542.90832990875208</v>
      </c>
      <c r="CE184" s="60">
        <f t="shared" si="148"/>
        <v>304.94365539329362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-6.2527760746888816E-13</v>
      </c>
      <c r="CU184" s="18">
        <f>CT184*VLOOKUP('Données projet'!$B$13,Paramètres!$A$1:$I$89,3,0)*VLOOKUP('Données projet'!$B$13,Paramètres!$A$1:$I$89,5,0)</f>
        <v>-2.9262992029543964E-13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277.77877239988635</v>
      </c>
      <c r="CZ184" s="60">
        <f t="shared" si="150"/>
        <v>164.65640238394164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9.7543306765146564E-14</v>
      </c>
      <c r="DQ184" s="14">
        <f t="shared" si="176"/>
        <v>1.4696264278629426E-12</v>
      </c>
      <c r="DR184" s="22">
        <f t="shared" si="177"/>
        <v>2.7294872878105889E-12</v>
      </c>
      <c r="DS184" s="60">
        <f t="shared" si="125"/>
        <v>289.47336565868682</v>
      </c>
      <c r="DT184" s="60">
        <f ca="1">AVERAGE(OFFSET($DS$3,0,0,'Données projet'!$E$14+1,1))-AVERAGE(OFFSET($H$3,0,0,'Données projet'!$E$14+1,1))</f>
        <v>354.30160274624632</v>
      </c>
      <c r="DU184" s="60">
        <f t="shared" si="152"/>
        <v>218.8005329382452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-9.6633812063373625E-13</v>
      </c>
      <c r="EK184" s="18">
        <f>EJ184*VLOOKUP('Données projet'!$B$15,Paramètres!$A$1:$I$89,3,0)*VLOOKUP('Données projet'!$B$15,Paramètres!$A$1:$I$89,5,0)</f>
        <v>-9.3464223027694966E-13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496.33873798282525</v>
      </c>
      <c r="EP184" s="60">
        <f t="shared" si="154"/>
        <v>280.25465074992246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3.4106051316484809E-13</v>
      </c>
      <c r="FF184" s="18">
        <f>FE184*VLOOKUP('Données projet'!$B$16,Paramètres!$A$1:$I$89,3,0)*VLOOKUP('Données projet'!$B$16,Paramètres!$A$1:$I$89,5,0)</f>
        <v>2.7666828827932479E-13</v>
      </c>
      <c r="FG184" s="14">
        <f t="shared" si="182"/>
        <v>3.6920483163466686E-12</v>
      </c>
      <c r="FH184" s="22">
        <f t="shared" si="183"/>
        <v>6.9121814197236049E-12</v>
      </c>
      <c r="FI184" s="60">
        <f t="shared" si="131"/>
        <v>289.47336565869102</v>
      </c>
      <c r="FJ184" s="60">
        <f ca="1">AVERAGE(OFFSET($FI$3,0,0,'Données projet'!$E$16+1,1))-AVERAGE(OFFSET($H$3,0,0,'Données projet'!$E$16+1,1))</f>
        <v>341.66430955115521</v>
      </c>
      <c r="FK184" s="60">
        <f t="shared" si="156"/>
        <v>366.15174925159192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3.4106051316484809E-13</v>
      </c>
      <c r="GA184" s="18">
        <f>FZ184*VLOOKUP('Données projet'!$B$17,Paramètres!$A$1:$I$89,3,0)*VLOOKUP('Données projet'!$B$17,Paramètres!$A$1:$I$89,5,0)</f>
        <v>2.5006556825246659E-13</v>
      </c>
      <c r="GB184" s="14">
        <f t="shared" si="185"/>
        <v>3.3765445850268018E-12</v>
      </c>
      <c r="GC184" s="22">
        <f t="shared" si="186"/>
        <v>6.3163460169613921E-12</v>
      </c>
      <c r="GD184" s="60">
        <f t="shared" si="134"/>
        <v>289.4733656586904</v>
      </c>
      <c r="GE184" s="60">
        <f ca="1">AVERAGE(OFFSET($GD$3,0,0,'Données projet'!$E$17+1,1))-AVERAGE(OFFSET($H$3,0,0,'Données projet'!$E$17+1,1))</f>
        <v>314.58662400031631</v>
      </c>
      <c r="GF184" s="60">
        <f t="shared" si="158"/>
        <v>336.99073123405981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4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-9.7986685432260874E-13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516.30971934066179</v>
      </c>
      <c r="T185" s="60">
        <f t="shared" si="142"/>
        <v>290.84286505723571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-5.1159076974727213E-13</v>
      </c>
      <c r="AJ185" s="14">
        <f>AI185*VLOOKUP('Données projet'!$B$10,Paramètres!$A$1:$I$89,3,0)*VLOOKUP('Données projet'!$B$10,Paramètres!$A$1:$I$89,5,0)</f>
        <v>-5.3471467253984886E-13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529.00505223594837</v>
      </c>
      <c r="AO185" s="60">
        <f t="shared" si="144"/>
        <v>321.23004033257985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2.9795046430081134E-13</v>
      </c>
      <c r="BF185" s="14">
        <f t="shared" si="167"/>
        <v>3.9419014464513778E-12</v>
      </c>
      <c r="BG185" s="22">
        <f t="shared" si="168"/>
        <v>7.384408744560063E-12</v>
      </c>
      <c r="BH185" s="60">
        <f t="shared" si="116"/>
        <v>289.5403274682518</v>
      </c>
      <c r="BI185" s="60">
        <f ca="1">AVERAGE(OFFSET($BH$3,0,0,'Données projet'!$E$11+1,1))-AVERAGE(OFFSET($H$3,0,0,'Données projet'!$E$11+1,1))</f>
        <v>363.28611056308665</v>
      </c>
      <c r="BJ185" s="60">
        <f t="shared" si="146"/>
        <v>389.43647559455974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-9.6633812063373625E-13</v>
      </c>
      <c r="BZ185" s="14">
        <f>BY185*VLOOKUP('Données projet'!$B$12,Paramètres!$A$1:$I$89,3,0)*VLOOKUP('Données projet'!$B$12,Paramètres!$A$1:$I$89,5,0)</f>
        <v>-1.0401663530501537E-12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542.90832990875208</v>
      </c>
      <c r="CE185" s="60">
        <f t="shared" si="148"/>
        <v>304.94365539329362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-6.2527760746888816E-13</v>
      </c>
      <c r="CU185" s="18">
        <f>CT185*VLOOKUP('Données projet'!$B$13,Paramètres!$A$1:$I$89,3,0)*VLOOKUP('Données projet'!$B$13,Paramètres!$A$1:$I$89,5,0)</f>
        <v>-2.9262992029543964E-13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277.77877239988635</v>
      </c>
      <c r="CZ185" s="60">
        <f t="shared" si="150"/>
        <v>164.65640238394164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9.7543306765146564E-14</v>
      </c>
      <c r="DQ185" s="14">
        <f t="shared" si="176"/>
        <v>1.4696264278629426E-12</v>
      </c>
      <c r="DR185" s="22">
        <f t="shared" si="177"/>
        <v>2.7294872878105889E-12</v>
      </c>
      <c r="DS185" s="60">
        <f t="shared" si="125"/>
        <v>289.54032746824714</v>
      </c>
      <c r="DT185" s="60">
        <f ca="1">AVERAGE(OFFSET($DS$3,0,0,'Données projet'!$E$14+1,1))-AVERAGE(OFFSET($H$3,0,0,'Données projet'!$E$14+1,1))</f>
        <v>354.30160274624632</v>
      </c>
      <c r="DU185" s="60">
        <f t="shared" si="152"/>
        <v>218.8005329382452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-9.6633812063373625E-13</v>
      </c>
      <c r="EK185" s="18">
        <f>EJ185*VLOOKUP('Données projet'!$B$15,Paramètres!$A$1:$I$89,3,0)*VLOOKUP('Données projet'!$B$15,Paramètres!$A$1:$I$89,5,0)</f>
        <v>-9.3464223027694966E-13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496.33873798282525</v>
      </c>
      <c r="EP185" s="60">
        <f t="shared" si="154"/>
        <v>280.25465074992246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3.4106051316484809E-13</v>
      </c>
      <c r="FF185" s="18">
        <f>FE185*VLOOKUP('Données projet'!$B$16,Paramètres!$A$1:$I$89,3,0)*VLOOKUP('Données projet'!$B$16,Paramètres!$A$1:$I$89,5,0)</f>
        <v>2.7666828827932479E-13</v>
      </c>
      <c r="FG185" s="14">
        <f t="shared" si="182"/>
        <v>3.6920483163466686E-12</v>
      </c>
      <c r="FH185" s="22">
        <f t="shared" si="183"/>
        <v>6.9121814197236049E-12</v>
      </c>
      <c r="FI185" s="60">
        <f t="shared" si="131"/>
        <v>289.54032746825135</v>
      </c>
      <c r="FJ185" s="60">
        <f ca="1">AVERAGE(OFFSET($FI$3,0,0,'Données projet'!$E$16+1,1))-AVERAGE(OFFSET($H$3,0,0,'Données projet'!$E$16+1,1))</f>
        <v>341.66430955115521</v>
      </c>
      <c r="FK185" s="60">
        <f t="shared" si="156"/>
        <v>366.15174925159192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3.4106051316484809E-13</v>
      </c>
      <c r="GA185" s="18">
        <f>FZ185*VLOOKUP('Données projet'!$B$17,Paramètres!$A$1:$I$89,3,0)*VLOOKUP('Données projet'!$B$17,Paramètres!$A$1:$I$89,5,0)</f>
        <v>2.5006556825246659E-13</v>
      </c>
      <c r="GB185" s="14">
        <f t="shared" si="185"/>
        <v>3.3765445850268018E-12</v>
      </c>
      <c r="GC185" s="22">
        <f t="shared" si="186"/>
        <v>6.3163460169613921E-12</v>
      </c>
      <c r="GD185" s="60">
        <f t="shared" si="134"/>
        <v>289.54032746825072</v>
      </c>
      <c r="GE185" s="60">
        <f ca="1">AVERAGE(OFFSET($GD$3,0,0,'Données projet'!$E$17+1,1))-AVERAGE(OFFSET($H$3,0,0,'Données projet'!$E$17+1,1))</f>
        <v>314.58662400031631</v>
      </c>
      <c r="GF185" s="60">
        <f t="shared" si="158"/>
        <v>336.99073123405981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4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-9.7986685432260874E-13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516.30971934066179</v>
      </c>
      <c r="T186" s="60">
        <f t="shared" si="142"/>
        <v>290.84286505723571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-5.1159076974727213E-13</v>
      </c>
      <c r="AJ186" s="14">
        <f>AI186*VLOOKUP('Données projet'!$B$10,Paramètres!$A$1:$I$89,3,0)*VLOOKUP('Données projet'!$B$10,Paramètres!$A$1:$I$89,5,0)</f>
        <v>-5.3471467253984886E-13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529.00505223594837</v>
      </c>
      <c r="AO186" s="60">
        <f t="shared" si="144"/>
        <v>321.23004033257985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2.9795046430081134E-13</v>
      </c>
      <c r="BF186" s="14">
        <f t="shared" si="167"/>
        <v>3.9419014464513778E-12</v>
      </c>
      <c r="BG186" s="22">
        <f t="shared" si="168"/>
        <v>7.384408744560063E-12</v>
      </c>
      <c r="BH186" s="60">
        <f t="shared" si="116"/>
        <v>289.60612764012035</v>
      </c>
      <c r="BI186" s="60">
        <f ca="1">AVERAGE(OFFSET($BH$3,0,0,'Données projet'!$E$11+1,1))-AVERAGE(OFFSET($H$3,0,0,'Données projet'!$E$11+1,1))</f>
        <v>363.28611056308665</v>
      </c>
      <c r="BJ186" s="60">
        <f t="shared" si="146"/>
        <v>389.43647559455974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-9.6633812063373625E-13</v>
      </c>
      <c r="BZ186" s="14">
        <f>BY186*VLOOKUP('Données projet'!$B$12,Paramètres!$A$1:$I$89,3,0)*VLOOKUP('Données projet'!$B$12,Paramètres!$A$1:$I$89,5,0)</f>
        <v>-1.0401663530501537E-12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542.90832990875208</v>
      </c>
      <c r="CE186" s="60">
        <f t="shared" si="148"/>
        <v>304.94365539329362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-6.2527760746888816E-13</v>
      </c>
      <c r="CU186" s="18">
        <f>CT186*VLOOKUP('Données projet'!$B$13,Paramètres!$A$1:$I$89,3,0)*VLOOKUP('Données projet'!$B$13,Paramètres!$A$1:$I$89,5,0)</f>
        <v>-2.9262992029543964E-13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277.77877239988635</v>
      </c>
      <c r="CZ186" s="60">
        <f t="shared" si="150"/>
        <v>164.65640238394164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9.7543306765146564E-14</v>
      </c>
      <c r="DQ186" s="14">
        <f t="shared" si="176"/>
        <v>1.4696264278629426E-12</v>
      </c>
      <c r="DR186" s="22">
        <f t="shared" si="177"/>
        <v>2.7294872878105889E-12</v>
      </c>
      <c r="DS186" s="60">
        <f t="shared" si="125"/>
        <v>289.60612764011569</v>
      </c>
      <c r="DT186" s="60">
        <f ca="1">AVERAGE(OFFSET($DS$3,0,0,'Données projet'!$E$14+1,1))-AVERAGE(OFFSET($H$3,0,0,'Données projet'!$E$14+1,1))</f>
        <v>354.30160274624632</v>
      </c>
      <c r="DU186" s="60">
        <f t="shared" si="152"/>
        <v>218.8005329382452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-9.6633812063373625E-13</v>
      </c>
      <c r="EK186" s="18">
        <f>EJ186*VLOOKUP('Données projet'!$B$15,Paramètres!$A$1:$I$89,3,0)*VLOOKUP('Données projet'!$B$15,Paramètres!$A$1:$I$89,5,0)</f>
        <v>-9.3464223027694966E-13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496.33873798282525</v>
      </c>
      <c r="EP186" s="60">
        <f t="shared" si="154"/>
        <v>280.25465074992246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3.4106051316484809E-13</v>
      </c>
      <c r="FF186" s="18">
        <f>FE186*VLOOKUP('Données projet'!$B$16,Paramètres!$A$1:$I$89,3,0)*VLOOKUP('Données projet'!$B$16,Paramètres!$A$1:$I$89,5,0)</f>
        <v>2.7666828827932479E-13</v>
      </c>
      <c r="FG186" s="14">
        <f t="shared" si="182"/>
        <v>3.6920483163466686E-12</v>
      </c>
      <c r="FH186" s="22">
        <f t="shared" si="183"/>
        <v>6.9121814197236049E-12</v>
      </c>
      <c r="FI186" s="60">
        <f t="shared" si="131"/>
        <v>289.60612764011989</v>
      </c>
      <c r="FJ186" s="60">
        <f ca="1">AVERAGE(OFFSET($FI$3,0,0,'Données projet'!$E$16+1,1))-AVERAGE(OFFSET($H$3,0,0,'Données projet'!$E$16+1,1))</f>
        <v>341.66430955115521</v>
      </c>
      <c r="FK186" s="60">
        <f t="shared" si="156"/>
        <v>366.15174925159192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3.4106051316484809E-13</v>
      </c>
      <c r="GA186" s="18">
        <f>FZ186*VLOOKUP('Données projet'!$B$17,Paramètres!$A$1:$I$89,3,0)*VLOOKUP('Données projet'!$B$17,Paramètres!$A$1:$I$89,5,0)</f>
        <v>2.5006556825246659E-13</v>
      </c>
      <c r="GB186" s="14">
        <f t="shared" si="185"/>
        <v>3.3765445850268018E-12</v>
      </c>
      <c r="GC186" s="22">
        <f t="shared" si="186"/>
        <v>6.3163460169613921E-12</v>
      </c>
      <c r="GD186" s="60">
        <f t="shared" si="134"/>
        <v>289.60612764011927</v>
      </c>
      <c r="GE186" s="60">
        <f ca="1">AVERAGE(OFFSET($GD$3,0,0,'Données projet'!$E$17+1,1))-AVERAGE(OFFSET($H$3,0,0,'Données projet'!$E$17+1,1))</f>
        <v>314.58662400031631</v>
      </c>
      <c r="GF186" s="60">
        <f t="shared" si="158"/>
        <v>336.99073123405981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4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-9.7986685432260874E-13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516.30971934066179</v>
      </c>
      <c r="T187" s="60">
        <f t="shared" si="142"/>
        <v>290.84286505723571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-5.1159076974727213E-13</v>
      </c>
      <c r="AJ187" s="14">
        <f>AI187*VLOOKUP('Données projet'!$B$10,Paramètres!$A$1:$I$89,3,0)*VLOOKUP('Données projet'!$B$10,Paramètres!$A$1:$I$89,5,0)</f>
        <v>-5.3471467253984886E-13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529.00505223594837</v>
      </c>
      <c r="AO187" s="60">
        <f t="shared" si="144"/>
        <v>321.23004033257985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2.9795046430081134E-13</v>
      </c>
      <c r="BF187" s="14">
        <f t="shared" si="167"/>
        <v>3.9419014464513778E-12</v>
      </c>
      <c r="BG187" s="22">
        <f t="shared" si="168"/>
        <v>7.384408744560063E-12</v>
      </c>
      <c r="BH187" s="60">
        <f t="shared" si="116"/>
        <v>289.67078632611413</v>
      </c>
      <c r="BI187" s="60">
        <f ca="1">AVERAGE(OFFSET($BH$3,0,0,'Données projet'!$E$11+1,1))-AVERAGE(OFFSET($H$3,0,0,'Données projet'!$E$11+1,1))</f>
        <v>363.28611056308665</v>
      </c>
      <c r="BJ187" s="60">
        <f t="shared" si="146"/>
        <v>389.43647559455974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-9.6633812063373625E-13</v>
      </c>
      <c r="BZ187" s="14">
        <f>BY187*VLOOKUP('Données projet'!$B$12,Paramètres!$A$1:$I$89,3,0)*VLOOKUP('Données projet'!$B$12,Paramètres!$A$1:$I$89,5,0)</f>
        <v>-1.0401663530501537E-12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542.90832990875208</v>
      </c>
      <c r="CE187" s="60">
        <f t="shared" si="148"/>
        <v>304.94365539329362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-6.2527760746888816E-13</v>
      </c>
      <c r="CU187" s="18">
        <f>CT187*VLOOKUP('Données projet'!$B$13,Paramètres!$A$1:$I$89,3,0)*VLOOKUP('Données projet'!$B$13,Paramètres!$A$1:$I$89,5,0)</f>
        <v>-2.9262992029543964E-13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277.77877239988635</v>
      </c>
      <c r="CZ187" s="60">
        <f t="shared" si="150"/>
        <v>164.65640238394164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9.7543306765146564E-14</v>
      </c>
      <c r="DQ187" s="14">
        <f t="shared" si="176"/>
        <v>1.4696264278629426E-12</v>
      </c>
      <c r="DR187" s="22">
        <f t="shared" si="177"/>
        <v>2.7294872878105889E-12</v>
      </c>
      <c r="DS187" s="60">
        <f t="shared" si="125"/>
        <v>289.67078632610946</v>
      </c>
      <c r="DT187" s="60">
        <f ca="1">AVERAGE(OFFSET($DS$3,0,0,'Données projet'!$E$14+1,1))-AVERAGE(OFFSET($H$3,0,0,'Données projet'!$E$14+1,1))</f>
        <v>354.30160274624632</v>
      </c>
      <c r="DU187" s="60">
        <f t="shared" si="152"/>
        <v>218.8005329382452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-9.6633812063373625E-13</v>
      </c>
      <c r="EK187" s="18">
        <f>EJ187*VLOOKUP('Données projet'!$B$15,Paramètres!$A$1:$I$89,3,0)*VLOOKUP('Données projet'!$B$15,Paramètres!$A$1:$I$89,5,0)</f>
        <v>-9.3464223027694966E-13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496.33873798282525</v>
      </c>
      <c r="EP187" s="60">
        <f t="shared" si="154"/>
        <v>280.25465074992246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3.4106051316484809E-13</v>
      </c>
      <c r="FF187" s="18">
        <f>FE187*VLOOKUP('Données projet'!$B$16,Paramètres!$A$1:$I$89,3,0)*VLOOKUP('Données projet'!$B$16,Paramètres!$A$1:$I$89,5,0)</f>
        <v>2.7666828827932479E-13</v>
      </c>
      <c r="FG187" s="14">
        <f t="shared" si="182"/>
        <v>3.6920483163466686E-12</v>
      </c>
      <c r="FH187" s="22">
        <f t="shared" si="183"/>
        <v>6.9121814197236049E-12</v>
      </c>
      <c r="FI187" s="60">
        <f t="shared" si="131"/>
        <v>289.67078632611367</v>
      </c>
      <c r="FJ187" s="60">
        <f ca="1">AVERAGE(OFFSET($FI$3,0,0,'Données projet'!$E$16+1,1))-AVERAGE(OFFSET($H$3,0,0,'Données projet'!$E$16+1,1))</f>
        <v>341.66430955115521</v>
      </c>
      <c r="FK187" s="60">
        <f t="shared" si="156"/>
        <v>366.15174925159192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3.4106051316484809E-13</v>
      </c>
      <c r="GA187" s="18">
        <f>FZ187*VLOOKUP('Données projet'!$B$17,Paramètres!$A$1:$I$89,3,0)*VLOOKUP('Données projet'!$B$17,Paramètres!$A$1:$I$89,5,0)</f>
        <v>2.5006556825246659E-13</v>
      </c>
      <c r="GB187" s="14">
        <f t="shared" si="185"/>
        <v>3.3765445850268018E-12</v>
      </c>
      <c r="GC187" s="22">
        <f t="shared" si="186"/>
        <v>6.3163460169613921E-12</v>
      </c>
      <c r="GD187" s="60">
        <f t="shared" si="134"/>
        <v>289.67078632611305</v>
      </c>
      <c r="GE187" s="60">
        <f ca="1">AVERAGE(OFFSET($GD$3,0,0,'Données projet'!$E$17+1,1))-AVERAGE(OFFSET($H$3,0,0,'Données projet'!$E$17+1,1))</f>
        <v>314.58662400031631</v>
      </c>
      <c r="GF187" s="60">
        <f t="shared" si="158"/>
        <v>336.99073123405981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4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-9.7986685432260874E-13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516.30971934066179</v>
      </c>
      <c r="T188" s="60">
        <f t="shared" si="142"/>
        <v>290.84286505723571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-5.1159076974727213E-13</v>
      </c>
      <c r="AJ188" s="14">
        <f>AI188*VLOOKUP('Données projet'!$B$10,Paramètres!$A$1:$I$89,3,0)*VLOOKUP('Données projet'!$B$10,Paramètres!$A$1:$I$89,5,0)</f>
        <v>-5.3471467253984886E-13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529.00505223594837</v>
      </c>
      <c r="AO188" s="60">
        <f t="shared" si="144"/>
        <v>321.23004033257985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2.9795046430081134E-13</v>
      </c>
      <c r="BF188" s="14">
        <f t="shared" si="167"/>
        <v>3.9419014464513778E-12</v>
      </c>
      <c r="BG188" s="22">
        <f t="shared" si="168"/>
        <v>7.384408744560063E-12</v>
      </c>
      <c r="BH188" s="60">
        <f t="shared" si="116"/>
        <v>289.73432332846113</v>
      </c>
      <c r="BI188" s="60">
        <f ca="1">AVERAGE(OFFSET($BH$3,0,0,'Données projet'!$E$11+1,1))-AVERAGE(OFFSET($H$3,0,0,'Données projet'!$E$11+1,1))</f>
        <v>363.28611056308665</v>
      </c>
      <c r="BJ188" s="60">
        <f t="shared" si="146"/>
        <v>389.43647559455974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-9.6633812063373625E-13</v>
      </c>
      <c r="BZ188" s="14">
        <f>BY188*VLOOKUP('Données projet'!$B$12,Paramètres!$A$1:$I$89,3,0)*VLOOKUP('Données projet'!$B$12,Paramètres!$A$1:$I$89,5,0)</f>
        <v>-1.0401663530501537E-12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542.90832990875208</v>
      </c>
      <c r="CE188" s="60">
        <f t="shared" si="148"/>
        <v>304.94365539329362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-6.2527760746888816E-13</v>
      </c>
      <c r="CU188" s="18">
        <f>CT188*VLOOKUP('Données projet'!$B$13,Paramètres!$A$1:$I$89,3,0)*VLOOKUP('Données projet'!$B$13,Paramètres!$A$1:$I$89,5,0)</f>
        <v>-2.9262992029543964E-13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277.77877239988635</v>
      </c>
      <c r="CZ188" s="60">
        <f t="shared" si="150"/>
        <v>164.65640238394164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9.7543306765146564E-14</v>
      </c>
      <c r="DQ188" s="14">
        <f t="shared" si="176"/>
        <v>1.4696264278629426E-12</v>
      </c>
      <c r="DR188" s="22">
        <f t="shared" si="177"/>
        <v>2.7294872878105889E-12</v>
      </c>
      <c r="DS188" s="60">
        <f t="shared" si="125"/>
        <v>289.73432332845647</v>
      </c>
      <c r="DT188" s="60">
        <f ca="1">AVERAGE(OFFSET($DS$3,0,0,'Données projet'!$E$14+1,1))-AVERAGE(OFFSET($H$3,0,0,'Données projet'!$E$14+1,1))</f>
        <v>354.30160274624632</v>
      </c>
      <c r="DU188" s="60">
        <f t="shared" si="152"/>
        <v>218.8005329382452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-9.6633812063373625E-13</v>
      </c>
      <c r="EK188" s="18">
        <f>EJ188*VLOOKUP('Données projet'!$B$15,Paramètres!$A$1:$I$89,3,0)*VLOOKUP('Données projet'!$B$15,Paramètres!$A$1:$I$89,5,0)</f>
        <v>-9.3464223027694966E-13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496.33873798282525</v>
      </c>
      <c r="EP188" s="60">
        <f t="shared" si="154"/>
        <v>280.25465074992246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3.4106051316484809E-13</v>
      </c>
      <c r="FF188" s="18">
        <f>FE188*VLOOKUP('Données projet'!$B$16,Paramètres!$A$1:$I$89,3,0)*VLOOKUP('Données projet'!$B$16,Paramètres!$A$1:$I$89,5,0)</f>
        <v>2.7666828827932479E-13</v>
      </c>
      <c r="FG188" s="14">
        <f t="shared" si="182"/>
        <v>3.6920483163466686E-12</v>
      </c>
      <c r="FH188" s="22">
        <f t="shared" si="183"/>
        <v>6.9121814197236049E-12</v>
      </c>
      <c r="FI188" s="60">
        <f t="shared" si="131"/>
        <v>289.73432332846068</v>
      </c>
      <c r="FJ188" s="60">
        <f ca="1">AVERAGE(OFFSET($FI$3,0,0,'Données projet'!$E$16+1,1))-AVERAGE(OFFSET($H$3,0,0,'Données projet'!$E$16+1,1))</f>
        <v>341.66430955115521</v>
      </c>
      <c r="FK188" s="60">
        <f t="shared" si="156"/>
        <v>366.15174925159192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3.4106051316484809E-13</v>
      </c>
      <c r="GA188" s="18">
        <f>FZ188*VLOOKUP('Données projet'!$B$17,Paramètres!$A$1:$I$89,3,0)*VLOOKUP('Données projet'!$B$17,Paramètres!$A$1:$I$89,5,0)</f>
        <v>2.5006556825246659E-13</v>
      </c>
      <c r="GB188" s="14">
        <f t="shared" si="185"/>
        <v>3.3765445850268018E-12</v>
      </c>
      <c r="GC188" s="22">
        <f t="shared" si="186"/>
        <v>6.3163460169613921E-12</v>
      </c>
      <c r="GD188" s="60">
        <f t="shared" si="134"/>
        <v>289.73432332846005</v>
      </c>
      <c r="GE188" s="60">
        <f ca="1">AVERAGE(OFFSET($GD$3,0,0,'Données projet'!$E$17+1,1))-AVERAGE(OFFSET($H$3,0,0,'Données projet'!$E$17+1,1))</f>
        <v>314.58662400031631</v>
      </c>
      <c r="GF188" s="60">
        <f t="shared" si="158"/>
        <v>336.99073123405981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4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-9.7986685432260874E-13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516.30971934066179</v>
      </c>
      <c r="T189" s="60">
        <f t="shared" si="142"/>
        <v>290.84286505723571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-5.1159076974727213E-13</v>
      </c>
      <c r="AJ189" s="14">
        <f>AI189*VLOOKUP('Données projet'!$B$10,Paramètres!$A$1:$I$89,3,0)*VLOOKUP('Données projet'!$B$10,Paramètres!$A$1:$I$89,5,0)</f>
        <v>-5.3471467253984886E-13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529.00505223594837</v>
      </c>
      <c r="AO189" s="60">
        <f t="shared" si="144"/>
        <v>321.23004033257985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2.9795046430081134E-13</v>
      </c>
      <c r="BF189" s="14">
        <f t="shared" si="167"/>
        <v>3.9419014464513778E-12</v>
      </c>
      <c r="BG189" s="22">
        <f t="shared" si="168"/>
        <v>7.384408744560063E-12</v>
      </c>
      <c r="BH189" s="60">
        <f t="shared" si="116"/>
        <v>289.7967581058648</v>
      </c>
      <c r="BI189" s="60">
        <f ca="1">AVERAGE(OFFSET($BH$3,0,0,'Données projet'!$E$11+1,1))-AVERAGE(OFFSET($H$3,0,0,'Données projet'!$E$11+1,1))</f>
        <v>363.28611056308665</v>
      </c>
      <c r="BJ189" s="60">
        <f t="shared" si="146"/>
        <v>389.43647559455974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-9.6633812063373625E-13</v>
      </c>
      <c r="BZ189" s="14">
        <f>BY189*VLOOKUP('Données projet'!$B$12,Paramètres!$A$1:$I$89,3,0)*VLOOKUP('Données projet'!$B$12,Paramètres!$A$1:$I$89,5,0)</f>
        <v>-1.0401663530501537E-12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542.90832990875208</v>
      </c>
      <c r="CE189" s="60">
        <f t="shared" si="148"/>
        <v>304.94365539329362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-6.2527760746888816E-13</v>
      </c>
      <c r="CU189" s="18">
        <f>CT189*VLOOKUP('Données projet'!$B$13,Paramètres!$A$1:$I$89,3,0)*VLOOKUP('Données projet'!$B$13,Paramètres!$A$1:$I$89,5,0)</f>
        <v>-2.9262992029543964E-13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277.77877239988635</v>
      </c>
      <c r="CZ189" s="60">
        <f t="shared" si="150"/>
        <v>164.65640238394164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9.7543306765146564E-14</v>
      </c>
      <c r="DQ189" s="14">
        <f t="shared" si="176"/>
        <v>1.4696264278629426E-12</v>
      </c>
      <c r="DR189" s="22">
        <f t="shared" si="177"/>
        <v>2.7294872878105889E-12</v>
      </c>
      <c r="DS189" s="60">
        <f t="shared" si="125"/>
        <v>289.79675810586014</v>
      </c>
      <c r="DT189" s="60">
        <f ca="1">AVERAGE(OFFSET($DS$3,0,0,'Données projet'!$E$14+1,1))-AVERAGE(OFFSET($H$3,0,0,'Données projet'!$E$14+1,1))</f>
        <v>354.30160274624632</v>
      </c>
      <c r="DU189" s="60">
        <f t="shared" si="152"/>
        <v>218.8005329382452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-9.6633812063373625E-13</v>
      </c>
      <c r="EK189" s="18">
        <f>EJ189*VLOOKUP('Données projet'!$B$15,Paramètres!$A$1:$I$89,3,0)*VLOOKUP('Données projet'!$B$15,Paramètres!$A$1:$I$89,5,0)</f>
        <v>-9.3464223027694966E-13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496.33873798282525</v>
      </c>
      <c r="EP189" s="60">
        <f t="shared" si="154"/>
        <v>280.25465074992246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3.4106051316484809E-13</v>
      </c>
      <c r="FF189" s="18">
        <f>FE189*VLOOKUP('Données projet'!$B$16,Paramètres!$A$1:$I$89,3,0)*VLOOKUP('Données projet'!$B$16,Paramètres!$A$1:$I$89,5,0)</f>
        <v>2.7666828827932479E-13</v>
      </c>
      <c r="FG189" s="14">
        <f t="shared" si="182"/>
        <v>3.6920483163466686E-12</v>
      </c>
      <c r="FH189" s="22">
        <f t="shared" si="183"/>
        <v>6.9121814197236049E-12</v>
      </c>
      <c r="FI189" s="60">
        <f t="shared" si="131"/>
        <v>289.79675810586434</v>
      </c>
      <c r="FJ189" s="60">
        <f ca="1">AVERAGE(OFFSET($FI$3,0,0,'Données projet'!$E$16+1,1))-AVERAGE(OFFSET($H$3,0,0,'Données projet'!$E$16+1,1))</f>
        <v>341.66430955115521</v>
      </c>
      <c r="FK189" s="60">
        <f t="shared" si="156"/>
        <v>366.15174925159192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3.4106051316484809E-13</v>
      </c>
      <c r="GA189" s="18">
        <f>FZ189*VLOOKUP('Données projet'!$B$17,Paramètres!$A$1:$I$89,3,0)*VLOOKUP('Données projet'!$B$17,Paramètres!$A$1:$I$89,5,0)</f>
        <v>2.5006556825246659E-13</v>
      </c>
      <c r="GB189" s="14">
        <f t="shared" si="185"/>
        <v>3.3765445850268018E-12</v>
      </c>
      <c r="GC189" s="22">
        <f t="shared" si="186"/>
        <v>6.3163460169613921E-12</v>
      </c>
      <c r="GD189" s="60">
        <f t="shared" si="134"/>
        <v>289.79675810586372</v>
      </c>
      <c r="GE189" s="60">
        <f ca="1">AVERAGE(OFFSET($GD$3,0,0,'Données projet'!$E$17+1,1))-AVERAGE(OFFSET($H$3,0,0,'Données projet'!$E$17+1,1))</f>
        <v>314.58662400031631</v>
      </c>
      <c r="GF189" s="60">
        <f t="shared" si="158"/>
        <v>336.99073123405981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4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-9.7986685432260874E-13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516.30971934066179</v>
      </c>
      <c r="T190" s="60">
        <f t="shared" si="142"/>
        <v>290.84286505723571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-5.1159076974727213E-13</v>
      </c>
      <c r="AJ190" s="14">
        <f>AI190*VLOOKUP('Données projet'!$B$10,Paramètres!$A$1:$I$89,3,0)*VLOOKUP('Données projet'!$B$10,Paramètres!$A$1:$I$89,5,0)</f>
        <v>-5.3471467253984886E-13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529.00505223594837</v>
      </c>
      <c r="AO190" s="60">
        <f t="shared" si="144"/>
        <v>321.23004033257985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2.9795046430081134E-13</v>
      </c>
      <c r="BF190" s="14">
        <f t="shared" si="167"/>
        <v>3.9419014464513778E-12</v>
      </c>
      <c r="BG190" s="22">
        <f t="shared" si="168"/>
        <v>7.384408744560063E-12</v>
      </c>
      <c r="BH190" s="60">
        <f t="shared" si="116"/>
        <v>289.8581097794638</v>
      </c>
      <c r="BI190" s="60">
        <f ca="1">AVERAGE(OFFSET($BH$3,0,0,'Données projet'!$E$11+1,1))-AVERAGE(OFFSET($H$3,0,0,'Données projet'!$E$11+1,1))</f>
        <v>363.28611056308665</v>
      </c>
      <c r="BJ190" s="60">
        <f t="shared" si="146"/>
        <v>389.43647559455974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-9.6633812063373625E-13</v>
      </c>
      <c r="BZ190" s="14">
        <f>BY190*VLOOKUP('Données projet'!$B$12,Paramètres!$A$1:$I$89,3,0)*VLOOKUP('Données projet'!$B$12,Paramètres!$A$1:$I$89,5,0)</f>
        <v>-1.0401663530501537E-12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542.90832990875208</v>
      </c>
      <c r="CE190" s="60">
        <f t="shared" si="148"/>
        <v>304.94365539329362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-6.2527760746888816E-13</v>
      </c>
      <c r="CU190" s="18">
        <f>CT190*VLOOKUP('Données projet'!$B$13,Paramètres!$A$1:$I$89,3,0)*VLOOKUP('Données projet'!$B$13,Paramètres!$A$1:$I$89,5,0)</f>
        <v>-2.9262992029543964E-13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277.77877239988635</v>
      </c>
      <c r="CZ190" s="60">
        <f t="shared" si="150"/>
        <v>164.65640238394164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9.7543306765146564E-14</v>
      </c>
      <c r="DQ190" s="14">
        <f t="shared" si="176"/>
        <v>1.4696264278629426E-12</v>
      </c>
      <c r="DR190" s="22">
        <f t="shared" si="177"/>
        <v>2.7294872878105889E-12</v>
      </c>
      <c r="DS190" s="60">
        <f t="shared" si="125"/>
        <v>289.85810977945914</v>
      </c>
      <c r="DT190" s="60">
        <f ca="1">AVERAGE(OFFSET($DS$3,0,0,'Données projet'!$E$14+1,1))-AVERAGE(OFFSET($H$3,0,0,'Données projet'!$E$14+1,1))</f>
        <v>354.30160274624632</v>
      </c>
      <c r="DU190" s="60">
        <f t="shared" si="152"/>
        <v>218.8005329382452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-9.6633812063373625E-13</v>
      </c>
      <c r="EK190" s="18">
        <f>EJ190*VLOOKUP('Données projet'!$B$15,Paramètres!$A$1:$I$89,3,0)*VLOOKUP('Données projet'!$B$15,Paramètres!$A$1:$I$89,5,0)</f>
        <v>-9.3464223027694966E-13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496.33873798282525</v>
      </c>
      <c r="EP190" s="60">
        <f t="shared" si="154"/>
        <v>280.25465074992246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3.4106051316484809E-13</v>
      </c>
      <c r="FF190" s="18">
        <f>FE190*VLOOKUP('Données projet'!$B$16,Paramètres!$A$1:$I$89,3,0)*VLOOKUP('Données projet'!$B$16,Paramètres!$A$1:$I$89,5,0)</f>
        <v>2.7666828827932479E-13</v>
      </c>
      <c r="FG190" s="14">
        <f t="shared" si="182"/>
        <v>3.6920483163466686E-12</v>
      </c>
      <c r="FH190" s="22">
        <f t="shared" si="183"/>
        <v>6.9121814197236049E-12</v>
      </c>
      <c r="FI190" s="60">
        <f t="shared" si="131"/>
        <v>289.85810977946335</v>
      </c>
      <c r="FJ190" s="60">
        <f ca="1">AVERAGE(OFFSET($FI$3,0,0,'Données projet'!$E$16+1,1))-AVERAGE(OFFSET($H$3,0,0,'Données projet'!$E$16+1,1))</f>
        <v>341.66430955115521</v>
      </c>
      <c r="FK190" s="60">
        <f t="shared" si="156"/>
        <v>366.15174925159192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3.4106051316484809E-13</v>
      </c>
      <c r="GA190" s="18">
        <f>FZ190*VLOOKUP('Données projet'!$B$17,Paramètres!$A$1:$I$89,3,0)*VLOOKUP('Données projet'!$B$17,Paramètres!$A$1:$I$89,5,0)</f>
        <v>2.5006556825246659E-13</v>
      </c>
      <c r="GB190" s="14">
        <f t="shared" si="185"/>
        <v>3.3765445850268018E-12</v>
      </c>
      <c r="GC190" s="22">
        <f t="shared" si="186"/>
        <v>6.3163460169613921E-12</v>
      </c>
      <c r="GD190" s="60">
        <f t="shared" si="134"/>
        <v>289.85810977946272</v>
      </c>
      <c r="GE190" s="60">
        <f ca="1">AVERAGE(OFFSET($GD$3,0,0,'Données projet'!$E$17+1,1))-AVERAGE(OFFSET($H$3,0,0,'Données projet'!$E$17+1,1))</f>
        <v>314.58662400031631</v>
      </c>
      <c r="GF190" s="60">
        <f t="shared" si="158"/>
        <v>336.99073123405981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4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-9.7986685432260874E-13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516.30971934066179</v>
      </c>
      <c r="T191" s="60">
        <f t="shared" si="142"/>
        <v>290.84286505723571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-5.1159076974727213E-13</v>
      </c>
      <c r="AJ191" s="14">
        <f>AI191*VLOOKUP('Données projet'!$B$10,Paramètres!$A$1:$I$89,3,0)*VLOOKUP('Données projet'!$B$10,Paramètres!$A$1:$I$89,5,0)</f>
        <v>-5.3471467253984886E-13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529.00505223594837</v>
      </c>
      <c r="AO191" s="60">
        <f t="shared" si="144"/>
        <v>321.23004033257985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2.9795046430081134E-13</v>
      </c>
      <c r="BF191" s="14">
        <f t="shared" si="167"/>
        <v>3.9419014464513778E-12</v>
      </c>
      <c r="BG191" s="22">
        <f t="shared" si="168"/>
        <v>7.384408744560063E-12</v>
      </c>
      <c r="BH191" s="60">
        <f t="shared" si="116"/>
        <v>289.91839713868762</v>
      </c>
      <c r="BI191" s="60">
        <f ca="1">AVERAGE(OFFSET($BH$3,0,0,'Données projet'!$E$11+1,1))-AVERAGE(OFFSET($H$3,0,0,'Données projet'!$E$11+1,1))</f>
        <v>363.28611056308665</v>
      </c>
      <c r="BJ191" s="60">
        <f t="shared" si="146"/>
        <v>389.43647559455974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-9.6633812063373625E-13</v>
      </c>
      <c r="BZ191" s="14">
        <f>BY191*VLOOKUP('Données projet'!$B$12,Paramètres!$A$1:$I$89,3,0)*VLOOKUP('Données projet'!$B$12,Paramètres!$A$1:$I$89,5,0)</f>
        <v>-1.0401663530501537E-12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542.90832990875208</v>
      </c>
      <c r="CE191" s="60">
        <f t="shared" si="148"/>
        <v>304.94365539329362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-6.2527760746888816E-13</v>
      </c>
      <c r="CU191" s="18">
        <f>CT191*VLOOKUP('Données projet'!$B$13,Paramètres!$A$1:$I$89,3,0)*VLOOKUP('Données projet'!$B$13,Paramètres!$A$1:$I$89,5,0)</f>
        <v>-2.9262992029543964E-13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277.77877239988635</v>
      </c>
      <c r="CZ191" s="60">
        <f t="shared" si="150"/>
        <v>164.65640238394164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9.7543306765146564E-14</v>
      </c>
      <c r="DQ191" s="14">
        <f t="shared" si="176"/>
        <v>1.4696264278629426E-12</v>
      </c>
      <c r="DR191" s="22">
        <f t="shared" si="177"/>
        <v>2.7294872878105889E-12</v>
      </c>
      <c r="DS191" s="60">
        <f t="shared" si="125"/>
        <v>289.91839713868296</v>
      </c>
      <c r="DT191" s="60">
        <f ca="1">AVERAGE(OFFSET($DS$3,0,0,'Données projet'!$E$14+1,1))-AVERAGE(OFFSET($H$3,0,0,'Données projet'!$E$14+1,1))</f>
        <v>354.30160274624632</v>
      </c>
      <c r="DU191" s="60">
        <f t="shared" si="152"/>
        <v>218.8005329382452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-9.6633812063373625E-13</v>
      </c>
      <c r="EK191" s="18">
        <f>EJ191*VLOOKUP('Données projet'!$B$15,Paramètres!$A$1:$I$89,3,0)*VLOOKUP('Données projet'!$B$15,Paramètres!$A$1:$I$89,5,0)</f>
        <v>-9.3464223027694966E-13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496.33873798282525</v>
      </c>
      <c r="EP191" s="60">
        <f t="shared" si="154"/>
        <v>280.25465074992246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3.4106051316484809E-13</v>
      </c>
      <c r="FF191" s="18">
        <f>FE191*VLOOKUP('Données projet'!$B$16,Paramètres!$A$1:$I$89,3,0)*VLOOKUP('Données projet'!$B$16,Paramètres!$A$1:$I$89,5,0)</f>
        <v>2.7666828827932479E-13</v>
      </c>
      <c r="FG191" s="14">
        <f t="shared" si="182"/>
        <v>3.6920483163466686E-12</v>
      </c>
      <c r="FH191" s="22">
        <f t="shared" si="183"/>
        <v>6.9121814197236049E-12</v>
      </c>
      <c r="FI191" s="60">
        <f t="shared" si="131"/>
        <v>289.91839713868717</v>
      </c>
      <c r="FJ191" s="60">
        <f ca="1">AVERAGE(OFFSET($FI$3,0,0,'Données projet'!$E$16+1,1))-AVERAGE(OFFSET($H$3,0,0,'Données projet'!$E$16+1,1))</f>
        <v>341.66430955115521</v>
      </c>
      <c r="FK191" s="60">
        <f t="shared" si="156"/>
        <v>366.15174925159192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3.4106051316484809E-13</v>
      </c>
      <c r="GA191" s="18">
        <f>FZ191*VLOOKUP('Données projet'!$B$17,Paramètres!$A$1:$I$89,3,0)*VLOOKUP('Données projet'!$B$17,Paramètres!$A$1:$I$89,5,0)</f>
        <v>2.5006556825246659E-13</v>
      </c>
      <c r="GB191" s="14">
        <f t="shared" si="185"/>
        <v>3.3765445850268018E-12</v>
      </c>
      <c r="GC191" s="22">
        <f t="shared" si="186"/>
        <v>6.3163460169613921E-12</v>
      </c>
      <c r="GD191" s="60">
        <f t="shared" si="134"/>
        <v>289.91839713868654</v>
      </c>
      <c r="GE191" s="60">
        <f ca="1">AVERAGE(OFFSET($GD$3,0,0,'Données projet'!$E$17+1,1))-AVERAGE(OFFSET($H$3,0,0,'Données projet'!$E$17+1,1))</f>
        <v>314.58662400031631</v>
      </c>
      <c r="GF191" s="60">
        <f t="shared" si="158"/>
        <v>336.99073123405981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4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-9.7986685432260874E-13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516.30971934066179</v>
      </c>
      <c r="T192" s="60">
        <f t="shared" si="142"/>
        <v>290.84286505723571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-5.1159076974727213E-13</v>
      </c>
      <c r="AJ192" s="14">
        <f>AI192*VLOOKUP('Données projet'!$B$10,Paramètres!$A$1:$I$89,3,0)*VLOOKUP('Données projet'!$B$10,Paramètres!$A$1:$I$89,5,0)</f>
        <v>-5.3471467253984886E-13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529.00505223594837</v>
      </c>
      <c r="AO192" s="60">
        <f t="shared" si="144"/>
        <v>321.23004033257985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2.9795046430081134E-13</v>
      </c>
      <c r="BF192" s="14">
        <f t="shared" si="167"/>
        <v>3.9419014464513778E-12</v>
      </c>
      <c r="BG192" s="22">
        <f t="shared" si="168"/>
        <v>7.384408744560063E-12</v>
      </c>
      <c r="BH192" s="60">
        <f t="shared" si="116"/>
        <v>289.97763864701125</v>
      </c>
      <c r="BI192" s="60">
        <f ca="1">AVERAGE(OFFSET($BH$3,0,0,'Données projet'!$E$11+1,1))-AVERAGE(OFFSET($H$3,0,0,'Données projet'!$E$11+1,1))</f>
        <v>363.28611056308665</v>
      </c>
      <c r="BJ192" s="60">
        <f t="shared" si="146"/>
        <v>389.43647559455974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-9.6633812063373625E-13</v>
      </c>
      <c r="BZ192" s="14">
        <f>BY192*VLOOKUP('Données projet'!$B$12,Paramètres!$A$1:$I$89,3,0)*VLOOKUP('Données projet'!$B$12,Paramètres!$A$1:$I$89,5,0)</f>
        <v>-1.0401663530501537E-12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542.90832990875208</v>
      </c>
      <c r="CE192" s="60">
        <f t="shared" si="148"/>
        <v>304.94365539329362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-6.2527760746888816E-13</v>
      </c>
      <c r="CU192" s="18">
        <f>CT192*VLOOKUP('Données projet'!$B$13,Paramètres!$A$1:$I$89,3,0)*VLOOKUP('Données projet'!$B$13,Paramètres!$A$1:$I$89,5,0)</f>
        <v>-2.9262992029543964E-13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277.77877239988635</v>
      </c>
      <c r="CZ192" s="60">
        <f t="shared" si="150"/>
        <v>164.65640238394164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9.7543306765146564E-14</v>
      </c>
      <c r="DQ192" s="14">
        <f t="shared" si="176"/>
        <v>1.4696264278629426E-12</v>
      </c>
      <c r="DR192" s="22">
        <f t="shared" si="177"/>
        <v>2.7294872878105889E-12</v>
      </c>
      <c r="DS192" s="60">
        <f t="shared" si="125"/>
        <v>289.97763864700659</v>
      </c>
      <c r="DT192" s="60">
        <f ca="1">AVERAGE(OFFSET($DS$3,0,0,'Données projet'!$E$14+1,1))-AVERAGE(OFFSET($H$3,0,0,'Données projet'!$E$14+1,1))</f>
        <v>354.30160274624632</v>
      </c>
      <c r="DU192" s="60">
        <f t="shared" si="152"/>
        <v>218.8005329382452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-9.6633812063373625E-13</v>
      </c>
      <c r="EK192" s="18">
        <f>EJ192*VLOOKUP('Données projet'!$B$15,Paramètres!$A$1:$I$89,3,0)*VLOOKUP('Données projet'!$B$15,Paramètres!$A$1:$I$89,5,0)</f>
        <v>-9.3464223027694966E-13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496.33873798282525</v>
      </c>
      <c r="EP192" s="60">
        <f t="shared" si="154"/>
        <v>280.25465074992246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3.4106051316484809E-13</v>
      </c>
      <c r="FF192" s="18">
        <f>FE192*VLOOKUP('Données projet'!$B$16,Paramètres!$A$1:$I$89,3,0)*VLOOKUP('Données projet'!$B$16,Paramètres!$A$1:$I$89,5,0)</f>
        <v>2.7666828827932479E-13</v>
      </c>
      <c r="FG192" s="14">
        <f t="shared" si="182"/>
        <v>3.6920483163466686E-12</v>
      </c>
      <c r="FH192" s="22">
        <f t="shared" si="183"/>
        <v>6.9121814197236049E-12</v>
      </c>
      <c r="FI192" s="60">
        <f t="shared" si="131"/>
        <v>289.97763864701079</v>
      </c>
      <c r="FJ192" s="60">
        <f ca="1">AVERAGE(OFFSET($FI$3,0,0,'Données projet'!$E$16+1,1))-AVERAGE(OFFSET($H$3,0,0,'Données projet'!$E$16+1,1))</f>
        <v>341.66430955115521</v>
      </c>
      <c r="FK192" s="60">
        <f t="shared" si="156"/>
        <v>366.15174925159192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3.4106051316484809E-13</v>
      </c>
      <c r="GA192" s="18">
        <f>FZ192*VLOOKUP('Données projet'!$B$17,Paramètres!$A$1:$I$89,3,0)*VLOOKUP('Données projet'!$B$17,Paramètres!$A$1:$I$89,5,0)</f>
        <v>2.5006556825246659E-13</v>
      </c>
      <c r="GB192" s="14">
        <f t="shared" si="185"/>
        <v>3.3765445850268018E-12</v>
      </c>
      <c r="GC192" s="22">
        <f t="shared" si="186"/>
        <v>6.3163460169613921E-12</v>
      </c>
      <c r="GD192" s="60">
        <f t="shared" si="134"/>
        <v>289.97763864701017</v>
      </c>
      <c r="GE192" s="60">
        <f ca="1">AVERAGE(OFFSET($GD$3,0,0,'Données projet'!$E$17+1,1))-AVERAGE(OFFSET($H$3,0,0,'Données projet'!$E$17+1,1))</f>
        <v>314.58662400031631</v>
      </c>
      <c r="GF192" s="60">
        <f t="shared" si="158"/>
        <v>336.99073123405981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4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-9.7986685432260874E-13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516.30971934066179</v>
      </c>
      <c r="T193" s="60">
        <f t="shared" si="142"/>
        <v>290.84286505723571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-5.1159076974727213E-13</v>
      </c>
      <c r="AJ193" s="14">
        <f>AI193*VLOOKUP('Données projet'!$B$10,Paramètres!$A$1:$I$89,3,0)*VLOOKUP('Données projet'!$B$10,Paramètres!$A$1:$I$89,5,0)</f>
        <v>-5.3471467253984886E-13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529.00505223594837</v>
      </c>
      <c r="AO193" s="60">
        <f t="shared" si="144"/>
        <v>321.23004033257985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2.9795046430081134E-13</v>
      </c>
      <c r="BF193" s="14">
        <f t="shared" si="167"/>
        <v>3.9419014464513778E-12</v>
      </c>
      <c r="BG193" s="22">
        <f t="shared" si="168"/>
        <v>7.384408744560063E-12</v>
      </c>
      <c r="BH193" s="60">
        <f t="shared" si="116"/>
        <v>290.03585244760967</v>
      </c>
      <c r="BI193" s="60">
        <f ca="1">AVERAGE(OFFSET($BH$3,0,0,'Données projet'!$E$11+1,1))-AVERAGE(OFFSET($H$3,0,0,'Données projet'!$E$11+1,1))</f>
        <v>363.28611056308665</v>
      </c>
      <c r="BJ193" s="60">
        <f t="shared" si="146"/>
        <v>389.43647559455974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-9.6633812063373625E-13</v>
      </c>
      <c r="BZ193" s="14">
        <f>BY193*VLOOKUP('Données projet'!$B$12,Paramètres!$A$1:$I$89,3,0)*VLOOKUP('Données projet'!$B$12,Paramètres!$A$1:$I$89,5,0)</f>
        <v>-1.0401663530501537E-12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542.90832990875208</v>
      </c>
      <c r="CE193" s="60">
        <f t="shared" si="148"/>
        <v>304.94365539329362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-6.2527760746888816E-13</v>
      </c>
      <c r="CU193" s="18">
        <f>CT193*VLOOKUP('Données projet'!$B$13,Paramètres!$A$1:$I$89,3,0)*VLOOKUP('Données projet'!$B$13,Paramètres!$A$1:$I$89,5,0)</f>
        <v>-2.9262992029543964E-13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277.77877239988635</v>
      </c>
      <c r="CZ193" s="60">
        <f t="shared" si="150"/>
        <v>164.65640238394164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9.7543306765146564E-14</v>
      </c>
      <c r="DQ193" s="14">
        <f t="shared" si="176"/>
        <v>1.4696264278629426E-12</v>
      </c>
      <c r="DR193" s="22">
        <f t="shared" si="177"/>
        <v>2.7294872878105889E-12</v>
      </c>
      <c r="DS193" s="60">
        <f t="shared" si="125"/>
        <v>290.03585244760501</v>
      </c>
      <c r="DT193" s="60">
        <f ca="1">AVERAGE(OFFSET($DS$3,0,0,'Données projet'!$E$14+1,1))-AVERAGE(OFFSET($H$3,0,0,'Données projet'!$E$14+1,1))</f>
        <v>354.30160274624632</v>
      </c>
      <c r="DU193" s="60">
        <f t="shared" si="152"/>
        <v>218.8005329382452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-9.6633812063373625E-13</v>
      </c>
      <c r="EK193" s="18">
        <f>EJ193*VLOOKUP('Données projet'!$B$15,Paramètres!$A$1:$I$89,3,0)*VLOOKUP('Données projet'!$B$15,Paramètres!$A$1:$I$89,5,0)</f>
        <v>-9.3464223027694966E-13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496.33873798282525</v>
      </c>
      <c r="EP193" s="60">
        <f t="shared" si="154"/>
        <v>280.25465074992246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3.4106051316484809E-13</v>
      </c>
      <c r="FF193" s="18">
        <f>FE193*VLOOKUP('Données projet'!$B$16,Paramètres!$A$1:$I$89,3,0)*VLOOKUP('Données projet'!$B$16,Paramètres!$A$1:$I$89,5,0)</f>
        <v>2.7666828827932479E-13</v>
      </c>
      <c r="FG193" s="14">
        <f t="shared" si="182"/>
        <v>3.6920483163466686E-12</v>
      </c>
      <c r="FH193" s="22">
        <f t="shared" si="183"/>
        <v>6.9121814197236049E-12</v>
      </c>
      <c r="FI193" s="60">
        <f t="shared" si="131"/>
        <v>290.03585244760922</v>
      </c>
      <c r="FJ193" s="60">
        <f ca="1">AVERAGE(OFFSET($FI$3,0,0,'Données projet'!$E$16+1,1))-AVERAGE(OFFSET($H$3,0,0,'Données projet'!$E$16+1,1))</f>
        <v>341.66430955115521</v>
      </c>
      <c r="FK193" s="60">
        <f t="shared" si="156"/>
        <v>366.15174925159192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3.4106051316484809E-13</v>
      </c>
      <c r="GA193" s="18">
        <f>FZ193*VLOOKUP('Données projet'!$B$17,Paramètres!$A$1:$I$89,3,0)*VLOOKUP('Données projet'!$B$17,Paramètres!$A$1:$I$89,5,0)</f>
        <v>2.5006556825246659E-13</v>
      </c>
      <c r="GB193" s="14">
        <f t="shared" si="185"/>
        <v>3.3765445850268018E-12</v>
      </c>
      <c r="GC193" s="22">
        <f t="shared" si="186"/>
        <v>6.3163460169613921E-12</v>
      </c>
      <c r="GD193" s="60">
        <f t="shared" si="134"/>
        <v>290.03585244760859</v>
      </c>
      <c r="GE193" s="60">
        <f ca="1">AVERAGE(OFFSET($GD$3,0,0,'Données projet'!$E$17+1,1))-AVERAGE(OFFSET($H$3,0,0,'Données projet'!$E$17+1,1))</f>
        <v>314.58662400031631</v>
      </c>
      <c r="GF193" s="60">
        <f t="shared" si="158"/>
        <v>336.99073123405981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4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-9.7986685432260874E-13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516.30971934066179</v>
      </c>
      <c r="T194" s="60">
        <f t="shared" si="142"/>
        <v>290.84286505723571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-5.1159076974727213E-13</v>
      </c>
      <c r="AJ194" s="14">
        <f>AI194*VLOOKUP('Données projet'!$B$10,Paramètres!$A$1:$I$89,3,0)*VLOOKUP('Données projet'!$B$10,Paramètres!$A$1:$I$89,5,0)</f>
        <v>-5.3471467253984886E-13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529.00505223594837</v>
      </c>
      <c r="AO194" s="60">
        <f t="shared" si="144"/>
        <v>321.23004033257985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2.9795046430081134E-13</v>
      </c>
      <c r="BF194" s="14">
        <f t="shared" si="167"/>
        <v>3.9419014464513778E-12</v>
      </c>
      <c r="BG194" s="22">
        <f t="shared" si="168"/>
        <v>7.384408744560063E-12</v>
      </c>
      <c r="BH194" s="60">
        <f t="shared" si="116"/>
        <v>290.09305636891423</v>
      </c>
      <c r="BI194" s="60">
        <f ca="1">AVERAGE(OFFSET($BH$3,0,0,'Données projet'!$E$11+1,1))-AVERAGE(OFFSET($H$3,0,0,'Données projet'!$E$11+1,1))</f>
        <v>363.28611056308665</v>
      </c>
      <c r="BJ194" s="60">
        <f t="shared" si="146"/>
        <v>389.43647559455974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-9.6633812063373625E-13</v>
      </c>
      <c r="BZ194" s="14">
        <f>BY194*VLOOKUP('Données projet'!$B$12,Paramètres!$A$1:$I$89,3,0)*VLOOKUP('Données projet'!$B$12,Paramètres!$A$1:$I$89,5,0)</f>
        <v>-1.0401663530501537E-12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542.90832990875208</v>
      </c>
      <c r="CE194" s="60">
        <f t="shared" si="148"/>
        <v>304.94365539329362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-6.2527760746888816E-13</v>
      </c>
      <c r="CU194" s="18">
        <f>CT194*VLOOKUP('Données projet'!$B$13,Paramètres!$A$1:$I$89,3,0)*VLOOKUP('Données projet'!$B$13,Paramètres!$A$1:$I$89,5,0)</f>
        <v>-2.9262992029543964E-13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277.77877239988635</v>
      </c>
      <c r="CZ194" s="60">
        <f t="shared" si="150"/>
        <v>164.65640238394164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9.7543306765146564E-14</v>
      </c>
      <c r="DQ194" s="14">
        <f t="shared" si="176"/>
        <v>1.4696264278629426E-12</v>
      </c>
      <c r="DR194" s="22">
        <f t="shared" si="177"/>
        <v>2.7294872878105889E-12</v>
      </c>
      <c r="DS194" s="60">
        <f t="shared" si="125"/>
        <v>290.09305636890957</v>
      </c>
      <c r="DT194" s="60">
        <f ca="1">AVERAGE(OFFSET($DS$3,0,0,'Données projet'!$E$14+1,1))-AVERAGE(OFFSET($H$3,0,0,'Données projet'!$E$14+1,1))</f>
        <v>354.30160274624632</v>
      </c>
      <c r="DU194" s="60">
        <f t="shared" si="152"/>
        <v>218.8005329382452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-9.6633812063373625E-13</v>
      </c>
      <c r="EK194" s="18">
        <f>EJ194*VLOOKUP('Données projet'!$B$15,Paramètres!$A$1:$I$89,3,0)*VLOOKUP('Données projet'!$B$15,Paramètres!$A$1:$I$89,5,0)</f>
        <v>-9.3464223027694966E-13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496.33873798282525</v>
      </c>
      <c r="EP194" s="60">
        <f t="shared" si="154"/>
        <v>280.25465074992246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3.4106051316484809E-13</v>
      </c>
      <c r="FF194" s="18">
        <f>FE194*VLOOKUP('Données projet'!$B$16,Paramètres!$A$1:$I$89,3,0)*VLOOKUP('Données projet'!$B$16,Paramètres!$A$1:$I$89,5,0)</f>
        <v>2.7666828827932479E-13</v>
      </c>
      <c r="FG194" s="14">
        <f t="shared" si="182"/>
        <v>3.6920483163466686E-12</v>
      </c>
      <c r="FH194" s="22">
        <f t="shared" si="183"/>
        <v>6.9121814197236049E-12</v>
      </c>
      <c r="FI194" s="60">
        <f t="shared" si="131"/>
        <v>290.09305636891378</v>
      </c>
      <c r="FJ194" s="60">
        <f ca="1">AVERAGE(OFFSET($FI$3,0,0,'Données projet'!$E$16+1,1))-AVERAGE(OFFSET($H$3,0,0,'Données projet'!$E$16+1,1))</f>
        <v>341.66430955115521</v>
      </c>
      <c r="FK194" s="60">
        <f t="shared" si="156"/>
        <v>366.15174925159192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3.4106051316484809E-13</v>
      </c>
      <c r="GA194" s="18">
        <f>FZ194*VLOOKUP('Données projet'!$B$17,Paramètres!$A$1:$I$89,3,0)*VLOOKUP('Données projet'!$B$17,Paramètres!$A$1:$I$89,5,0)</f>
        <v>2.5006556825246659E-13</v>
      </c>
      <c r="GB194" s="14">
        <f t="shared" si="185"/>
        <v>3.3765445850268018E-12</v>
      </c>
      <c r="GC194" s="22">
        <f t="shared" si="186"/>
        <v>6.3163460169613921E-12</v>
      </c>
      <c r="GD194" s="60">
        <f t="shared" si="134"/>
        <v>290.09305636891315</v>
      </c>
      <c r="GE194" s="60">
        <f ca="1">AVERAGE(OFFSET($GD$3,0,0,'Données projet'!$E$17+1,1))-AVERAGE(OFFSET($H$3,0,0,'Données projet'!$E$17+1,1))</f>
        <v>314.58662400031631</v>
      </c>
      <c r="GF194" s="60">
        <f t="shared" si="158"/>
        <v>336.99073123405981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4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-9.7986685432260874E-13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516.30971934066179</v>
      </c>
      <c r="T195" s="60">
        <f t="shared" si="142"/>
        <v>290.84286505723571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-5.1159076974727213E-13</v>
      </c>
      <c r="AJ195" s="14">
        <f>AI195*VLOOKUP('Données projet'!$B$10,Paramètres!$A$1:$I$89,3,0)*VLOOKUP('Données projet'!$B$10,Paramètres!$A$1:$I$89,5,0)</f>
        <v>-5.3471467253984886E-13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529.00505223594837</v>
      </c>
      <c r="AO195" s="60">
        <f t="shared" si="144"/>
        <v>321.23004033257985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2.9795046430081134E-13</v>
      </c>
      <c r="BF195" s="14">
        <f t="shared" si="167"/>
        <v>3.9419014464513778E-12</v>
      </c>
      <c r="BG195" s="22">
        <f t="shared" si="168"/>
        <v>7.384408744560063E-12</v>
      </c>
      <c r="BH195" s="60">
        <f t="shared" si="116"/>
        <v>290.14926793007305</v>
      </c>
      <c r="BI195" s="60">
        <f ca="1">AVERAGE(OFFSET($BH$3,0,0,'Données projet'!$E$11+1,1))-AVERAGE(OFFSET($H$3,0,0,'Données projet'!$E$11+1,1))</f>
        <v>363.28611056308665</v>
      </c>
      <c r="BJ195" s="60">
        <f t="shared" si="146"/>
        <v>389.43647559455974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-9.6633812063373625E-13</v>
      </c>
      <c r="BZ195" s="14">
        <f>BY195*VLOOKUP('Données projet'!$B$12,Paramètres!$A$1:$I$89,3,0)*VLOOKUP('Données projet'!$B$12,Paramètres!$A$1:$I$89,5,0)</f>
        <v>-1.0401663530501537E-12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542.90832990875208</v>
      </c>
      <c r="CE195" s="60">
        <f t="shared" si="148"/>
        <v>304.94365539329362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-6.2527760746888816E-13</v>
      </c>
      <c r="CU195" s="18">
        <f>CT195*VLOOKUP('Données projet'!$B$13,Paramètres!$A$1:$I$89,3,0)*VLOOKUP('Données projet'!$B$13,Paramètres!$A$1:$I$89,5,0)</f>
        <v>-2.9262992029543964E-13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277.77877239988635</v>
      </c>
      <c r="CZ195" s="60">
        <f t="shared" si="150"/>
        <v>164.65640238394164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9.7543306765146564E-14</v>
      </c>
      <c r="DQ195" s="14">
        <f t="shared" si="176"/>
        <v>1.4696264278629426E-12</v>
      </c>
      <c r="DR195" s="22">
        <f t="shared" si="177"/>
        <v>2.7294872878105889E-12</v>
      </c>
      <c r="DS195" s="60">
        <f t="shared" si="125"/>
        <v>290.14926793006839</v>
      </c>
      <c r="DT195" s="60">
        <f ca="1">AVERAGE(OFFSET($DS$3,0,0,'Données projet'!$E$14+1,1))-AVERAGE(OFFSET($H$3,0,0,'Données projet'!$E$14+1,1))</f>
        <v>354.30160274624632</v>
      </c>
      <c r="DU195" s="60">
        <f t="shared" si="152"/>
        <v>218.8005329382452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-9.6633812063373625E-13</v>
      </c>
      <c r="EK195" s="18">
        <f>EJ195*VLOOKUP('Données projet'!$B$15,Paramètres!$A$1:$I$89,3,0)*VLOOKUP('Données projet'!$B$15,Paramètres!$A$1:$I$89,5,0)</f>
        <v>-9.3464223027694966E-13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496.33873798282525</v>
      </c>
      <c r="EP195" s="60">
        <f t="shared" si="154"/>
        <v>280.25465074992246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3.4106051316484809E-13</v>
      </c>
      <c r="FF195" s="18">
        <f>FE195*VLOOKUP('Données projet'!$B$16,Paramètres!$A$1:$I$89,3,0)*VLOOKUP('Données projet'!$B$16,Paramètres!$A$1:$I$89,5,0)</f>
        <v>2.7666828827932479E-13</v>
      </c>
      <c r="FG195" s="14">
        <f t="shared" si="182"/>
        <v>3.6920483163466686E-12</v>
      </c>
      <c r="FH195" s="22">
        <f t="shared" si="183"/>
        <v>6.9121814197236049E-12</v>
      </c>
      <c r="FI195" s="60">
        <f t="shared" si="131"/>
        <v>290.1492679300726</v>
      </c>
      <c r="FJ195" s="60">
        <f ca="1">AVERAGE(OFFSET($FI$3,0,0,'Données projet'!$E$16+1,1))-AVERAGE(OFFSET($H$3,0,0,'Données projet'!$E$16+1,1))</f>
        <v>341.66430955115521</v>
      </c>
      <c r="FK195" s="60">
        <f t="shared" si="156"/>
        <v>366.15174925159192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3.4106051316484809E-13</v>
      </c>
      <c r="GA195" s="18">
        <f>FZ195*VLOOKUP('Données projet'!$B$17,Paramètres!$A$1:$I$89,3,0)*VLOOKUP('Données projet'!$B$17,Paramètres!$A$1:$I$89,5,0)</f>
        <v>2.5006556825246659E-13</v>
      </c>
      <c r="GB195" s="14">
        <f t="shared" si="185"/>
        <v>3.3765445850268018E-12</v>
      </c>
      <c r="GC195" s="22">
        <f t="shared" si="186"/>
        <v>6.3163460169613921E-12</v>
      </c>
      <c r="GD195" s="60">
        <f t="shared" si="134"/>
        <v>290.14926793007197</v>
      </c>
      <c r="GE195" s="60">
        <f ca="1">AVERAGE(OFFSET($GD$3,0,0,'Données projet'!$E$17+1,1))-AVERAGE(OFFSET($H$3,0,0,'Données projet'!$E$17+1,1))</f>
        <v>314.58662400031631</v>
      </c>
      <c r="GF195" s="60">
        <f t="shared" si="158"/>
        <v>336.99073123405981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4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-9.7986685432260874E-13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516.30971934066179</v>
      </c>
      <c r="T196" s="60">
        <f t="shared" si="142"/>
        <v>290.84286505723571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-5.1159076974727213E-13</v>
      </c>
      <c r="AJ196" s="14">
        <f>AI196*VLOOKUP('Données projet'!$B$10,Paramètres!$A$1:$I$89,3,0)*VLOOKUP('Données projet'!$B$10,Paramètres!$A$1:$I$89,5,0)</f>
        <v>-5.3471467253984886E-13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529.00505223594837</v>
      </c>
      <c r="AO196" s="60">
        <f t="shared" si="144"/>
        <v>321.23004033257985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2.9795046430081134E-13</v>
      </c>
      <c r="BF196" s="14">
        <f t="shared" si="167"/>
        <v>3.9419014464513778E-12</v>
      </c>
      <c r="BG196" s="22">
        <f t="shared" si="168"/>
        <v>7.384408744560063E-12</v>
      </c>
      <c r="BH196" s="60">
        <f t="shared" ref="BH196:BH203" si="194">BG196+(AY196+AZ196)*44/12</f>
        <v>290.2045043463159</v>
      </c>
      <c r="BI196" s="60">
        <f ca="1">AVERAGE(OFFSET($BH$3,0,0,'Données projet'!$E$11+1,1))-AVERAGE(OFFSET($H$3,0,0,'Données projet'!$E$11+1,1))</f>
        <v>363.28611056308665</v>
      </c>
      <c r="BJ196" s="60">
        <f t="shared" si="146"/>
        <v>389.43647559455974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-9.6633812063373625E-13</v>
      </c>
      <c r="BZ196" s="14">
        <f>BY196*VLOOKUP('Données projet'!$B$12,Paramètres!$A$1:$I$89,3,0)*VLOOKUP('Données projet'!$B$12,Paramètres!$A$1:$I$89,5,0)</f>
        <v>-1.0401663530501537E-12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542.90832990875208</v>
      </c>
      <c r="CE196" s="60">
        <f t="shared" si="148"/>
        <v>304.94365539329362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-6.2527760746888816E-13</v>
      </c>
      <c r="CU196" s="18">
        <f>CT196*VLOOKUP('Données projet'!$B$13,Paramètres!$A$1:$I$89,3,0)*VLOOKUP('Données projet'!$B$13,Paramètres!$A$1:$I$89,5,0)</f>
        <v>-2.9262992029543964E-13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277.77877239988635</v>
      </c>
      <c r="CZ196" s="60">
        <f t="shared" si="150"/>
        <v>164.65640238394164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9.7543306765146564E-14</v>
      </c>
      <c r="DQ196" s="14">
        <f t="shared" si="176"/>
        <v>1.4696264278629426E-12</v>
      </c>
      <c r="DR196" s="22">
        <f t="shared" si="177"/>
        <v>2.7294872878105889E-12</v>
      </c>
      <c r="DS196" s="60">
        <f t="shared" ref="DS196:DS203" si="197">DR196+(DJ196+DK196)*44/12</f>
        <v>290.20450434631124</v>
      </c>
      <c r="DT196" s="60">
        <f ca="1">AVERAGE(OFFSET($DS$3,0,0,'Données projet'!$E$14+1,1))-AVERAGE(OFFSET($H$3,0,0,'Données projet'!$E$14+1,1))</f>
        <v>354.30160274624632</v>
      </c>
      <c r="DU196" s="60">
        <f t="shared" si="152"/>
        <v>218.8005329382452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-9.6633812063373625E-13</v>
      </c>
      <c r="EK196" s="18">
        <f>EJ196*VLOOKUP('Données projet'!$B$15,Paramètres!$A$1:$I$89,3,0)*VLOOKUP('Données projet'!$B$15,Paramètres!$A$1:$I$89,5,0)</f>
        <v>-9.3464223027694966E-13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496.33873798282525</v>
      </c>
      <c r="EP196" s="60">
        <f t="shared" si="154"/>
        <v>280.25465074992246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3.4106051316484809E-13</v>
      </c>
      <c r="FF196" s="18">
        <f>FE196*VLOOKUP('Données projet'!$B$16,Paramètres!$A$1:$I$89,3,0)*VLOOKUP('Données projet'!$B$16,Paramètres!$A$1:$I$89,5,0)</f>
        <v>2.7666828827932479E-13</v>
      </c>
      <c r="FG196" s="14">
        <f t="shared" si="182"/>
        <v>3.6920483163466686E-12</v>
      </c>
      <c r="FH196" s="22">
        <f t="shared" si="183"/>
        <v>6.9121814197236049E-12</v>
      </c>
      <c r="FI196" s="60">
        <f t="shared" ref="FI196:FI203" si="199">FH196+(EZ196+FA196)*44/12</f>
        <v>290.20450434631545</v>
      </c>
      <c r="FJ196" s="60">
        <f ca="1">AVERAGE(OFFSET($FI$3,0,0,'Données projet'!$E$16+1,1))-AVERAGE(OFFSET($H$3,0,0,'Données projet'!$E$16+1,1))</f>
        <v>341.66430955115521</v>
      </c>
      <c r="FK196" s="60">
        <f t="shared" si="156"/>
        <v>366.15174925159192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3.4106051316484809E-13</v>
      </c>
      <c r="GA196" s="18">
        <f>FZ196*VLOOKUP('Données projet'!$B$17,Paramètres!$A$1:$I$89,3,0)*VLOOKUP('Données projet'!$B$17,Paramètres!$A$1:$I$89,5,0)</f>
        <v>2.5006556825246659E-13</v>
      </c>
      <c r="GB196" s="14">
        <f t="shared" si="185"/>
        <v>3.3765445850268018E-12</v>
      </c>
      <c r="GC196" s="22">
        <f t="shared" si="186"/>
        <v>6.3163460169613921E-12</v>
      </c>
      <c r="GD196" s="60">
        <f t="shared" ref="GD196:GD203" si="200">GC196+(FU196+FV196)*44/12</f>
        <v>290.20450434631482</v>
      </c>
      <c r="GE196" s="60">
        <f ca="1">AVERAGE(OFFSET($GD$3,0,0,'Données projet'!$E$17+1,1))-AVERAGE(OFFSET($H$3,0,0,'Données projet'!$E$17+1,1))</f>
        <v>314.58662400031631</v>
      </c>
      <c r="GF196" s="60">
        <f t="shared" si="158"/>
        <v>336.99073123405981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4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-9.7986685432260874E-13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516.30971934066179</v>
      </c>
      <c r="T197" s="60">
        <f t="shared" ref="T197:T203" si="204">$T$3</f>
        <v>290.84286505723571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-5.1159076974727213E-13</v>
      </c>
      <c r="AJ197" s="14">
        <f>AI197*VLOOKUP('Données projet'!$B$10,Paramètres!$A$1:$I$89,3,0)*VLOOKUP('Données projet'!$B$10,Paramètres!$A$1:$I$89,5,0)</f>
        <v>-5.3471467253984886E-13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529.00505223594837</v>
      </c>
      <c r="AO197" s="60">
        <f t="shared" ref="AO197:AO203" si="205">$AO$3</f>
        <v>321.23004033257985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2.9795046430081134E-13</v>
      </c>
      <c r="BF197" s="14">
        <f t="shared" si="167"/>
        <v>3.9419014464513778E-12</v>
      </c>
      <c r="BG197" s="22">
        <f t="shared" si="168"/>
        <v>7.384408744560063E-12</v>
      </c>
      <c r="BH197" s="60">
        <f t="shared" si="194"/>
        <v>290.25878253422712</v>
      </c>
      <c r="BI197" s="60">
        <f ca="1">AVERAGE(OFFSET($BH$3,0,0,'Données projet'!$E$11+1,1))-AVERAGE(OFFSET($H$3,0,0,'Données projet'!$E$11+1,1))</f>
        <v>363.28611056308665</v>
      </c>
      <c r="BJ197" s="60">
        <f t="shared" ref="BJ197:BJ203" si="206">$BJ$3</f>
        <v>389.43647559455974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-9.6633812063373625E-13</v>
      </c>
      <c r="BZ197" s="14">
        <f>BY197*VLOOKUP('Données projet'!$B$12,Paramètres!$A$1:$I$89,3,0)*VLOOKUP('Données projet'!$B$12,Paramètres!$A$1:$I$89,5,0)</f>
        <v>-1.0401663530501537E-12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542.90832990875208</v>
      </c>
      <c r="CE197" s="60">
        <f t="shared" ref="CE197:CE203" si="207">$CE$3</f>
        <v>304.94365539329362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-6.2527760746888816E-13</v>
      </c>
      <c r="CU197" s="18">
        <f>CT197*VLOOKUP('Données projet'!$B$13,Paramètres!$A$1:$I$89,3,0)*VLOOKUP('Données projet'!$B$13,Paramètres!$A$1:$I$89,5,0)</f>
        <v>-2.9262992029543964E-13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277.77877239988635</v>
      </c>
      <c r="CZ197" s="60">
        <f t="shared" ref="CZ197:CZ203" si="208">$CZ$3</f>
        <v>164.65640238394164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9.7543306765146564E-14</v>
      </c>
      <c r="DQ197" s="14">
        <f t="shared" si="176"/>
        <v>1.4696264278629426E-12</v>
      </c>
      <c r="DR197" s="22">
        <f t="shared" si="177"/>
        <v>2.7294872878105889E-12</v>
      </c>
      <c r="DS197" s="60">
        <f t="shared" si="197"/>
        <v>290.25878253422246</v>
      </c>
      <c r="DT197" s="60">
        <f ca="1">AVERAGE(OFFSET($DS$3,0,0,'Données projet'!$E$14+1,1))-AVERAGE(OFFSET($H$3,0,0,'Données projet'!$E$14+1,1))</f>
        <v>354.30160274624632</v>
      </c>
      <c r="DU197" s="60">
        <f t="shared" ref="DU197:DU203" si="209">$DU$3</f>
        <v>218.8005329382452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-9.6633812063373625E-13</v>
      </c>
      <c r="EK197" s="18">
        <f>EJ197*VLOOKUP('Données projet'!$B$15,Paramètres!$A$1:$I$89,3,0)*VLOOKUP('Données projet'!$B$15,Paramètres!$A$1:$I$89,5,0)</f>
        <v>-9.3464223027694966E-13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496.33873798282525</v>
      </c>
      <c r="EP197" s="60">
        <f t="shared" ref="EP197:EP203" si="210">$EP$3</f>
        <v>280.25465074992246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3.4106051316484809E-13</v>
      </c>
      <c r="FF197" s="18">
        <f>FE197*VLOOKUP('Données projet'!$B$16,Paramètres!$A$1:$I$89,3,0)*VLOOKUP('Données projet'!$B$16,Paramètres!$A$1:$I$89,5,0)</f>
        <v>2.7666828827932479E-13</v>
      </c>
      <c r="FG197" s="14">
        <f t="shared" si="182"/>
        <v>3.6920483163466686E-12</v>
      </c>
      <c r="FH197" s="22">
        <f t="shared" si="183"/>
        <v>6.9121814197236049E-12</v>
      </c>
      <c r="FI197" s="60">
        <f t="shared" si="199"/>
        <v>290.25878253422667</v>
      </c>
      <c r="FJ197" s="60">
        <f ca="1">AVERAGE(OFFSET($FI$3,0,0,'Données projet'!$E$16+1,1))-AVERAGE(OFFSET($H$3,0,0,'Données projet'!$E$16+1,1))</f>
        <v>341.66430955115521</v>
      </c>
      <c r="FK197" s="60">
        <f t="shared" ref="FK197:FK203" si="211">$FK$3</f>
        <v>366.15174925159192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3.4106051316484809E-13</v>
      </c>
      <c r="GA197" s="18">
        <f>FZ197*VLOOKUP('Données projet'!$B$17,Paramètres!$A$1:$I$89,3,0)*VLOOKUP('Données projet'!$B$17,Paramètres!$A$1:$I$89,5,0)</f>
        <v>2.5006556825246659E-13</v>
      </c>
      <c r="GB197" s="14">
        <f t="shared" si="185"/>
        <v>3.3765445850268018E-12</v>
      </c>
      <c r="GC197" s="22">
        <f t="shared" si="186"/>
        <v>6.3163460169613921E-12</v>
      </c>
      <c r="GD197" s="60">
        <f t="shared" si="200"/>
        <v>290.25878253422604</v>
      </c>
      <c r="GE197" s="60">
        <f ca="1">AVERAGE(OFFSET($GD$3,0,0,'Données projet'!$E$17+1,1))-AVERAGE(OFFSET($H$3,0,0,'Données projet'!$E$17+1,1))</f>
        <v>314.58662400031631</v>
      </c>
      <c r="GF197" s="60">
        <f t="shared" ref="GF197:GF203" si="212">$GF$3</f>
        <v>336.99073123405981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4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-9.7986685432260874E-13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516.30971934066179</v>
      </c>
      <c r="T198" s="60">
        <f t="shared" si="204"/>
        <v>290.84286505723571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-5.1159076974727213E-13</v>
      </c>
      <c r="AJ198" s="14">
        <f>AI198*VLOOKUP('Données projet'!$B$10,Paramètres!$A$1:$I$89,3,0)*VLOOKUP('Données projet'!$B$10,Paramètres!$A$1:$I$89,5,0)</f>
        <v>-5.3471467253984886E-13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529.00505223594837</v>
      </c>
      <c r="AO198" s="60">
        <f t="shared" si="205"/>
        <v>321.23004033257985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2.9795046430081134E-13</v>
      </c>
      <c r="BF198" s="14">
        <f t="shared" si="167"/>
        <v>3.9419014464513778E-12</v>
      </c>
      <c r="BG198" s="22">
        <f t="shared" si="168"/>
        <v>7.384408744560063E-12</v>
      </c>
      <c r="BH198" s="60">
        <f t="shared" si="194"/>
        <v>290.31211911692589</v>
      </c>
      <c r="BI198" s="60">
        <f ca="1">AVERAGE(OFFSET($BH$3,0,0,'Données projet'!$E$11+1,1))-AVERAGE(OFFSET($H$3,0,0,'Données projet'!$E$11+1,1))</f>
        <v>363.28611056308665</v>
      </c>
      <c r="BJ198" s="60">
        <f t="shared" si="206"/>
        <v>389.43647559455974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-9.6633812063373625E-13</v>
      </c>
      <c r="BZ198" s="14">
        <f>BY198*VLOOKUP('Données projet'!$B$12,Paramètres!$A$1:$I$89,3,0)*VLOOKUP('Données projet'!$B$12,Paramètres!$A$1:$I$89,5,0)</f>
        <v>-1.0401663530501537E-12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542.90832990875208</v>
      </c>
      <c r="CE198" s="60">
        <f t="shared" si="207"/>
        <v>304.94365539329362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-6.2527760746888816E-13</v>
      </c>
      <c r="CU198" s="18">
        <f>CT198*VLOOKUP('Données projet'!$B$13,Paramètres!$A$1:$I$89,3,0)*VLOOKUP('Données projet'!$B$13,Paramètres!$A$1:$I$89,5,0)</f>
        <v>-2.9262992029543964E-13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277.77877239988635</v>
      </c>
      <c r="CZ198" s="60">
        <f t="shared" si="208"/>
        <v>164.65640238394164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9.7543306765146564E-14</v>
      </c>
      <c r="DQ198" s="14">
        <f t="shared" si="176"/>
        <v>1.4696264278629426E-12</v>
      </c>
      <c r="DR198" s="22">
        <f t="shared" si="177"/>
        <v>2.7294872878105889E-12</v>
      </c>
      <c r="DS198" s="60">
        <f t="shared" si="197"/>
        <v>290.31211911692122</v>
      </c>
      <c r="DT198" s="60">
        <f ca="1">AVERAGE(OFFSET($DS$3,0,0,'Données projet'!$E$14+1,1))-AVERAGE(OFFSET($H$3,0,0,'Données projet'!$E$14+1,1))</f>
        <v>354.30160274624632</v>
      </c>
      <c r="DU198" s="60">
        <f t="shared" si="209"/>
        <v>218.8005329382452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-9.6633812063373625E-13</v>
      </c>
      <c r="EK198" s="18">
        <f>EJ198*VLOOKUP('Données projet'!$B$15,Paramètres!$A$1:$I$89,3,0)*VLOOKUP('Données projet'!$B$15,Paramètres!$A$1:$I$89,5,0)</f>
        <v>-9.3464223027694966E-13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496.33873798282525</v>
      </c>
      <c r="EP198" s="60">
        <f t="shared" si="210"/>
        <v>280.25465074992246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3.4106051316484809E-13</v>
      </c>
      <c r="FF198" s="18">
        <f>FE198*VLOOKUP('Données projet'!$B$16,Paramètres!$A$1:$I$89,3,0)*VLOOKUP('Données projet'!$B$16,Paramètres!$A$1:$I$89,5,0)</f>
        <v>2.7666828827932479E-13</v>
      </c>
      <c r="FG198" s="14">
        <f t="shared" si="182"/>
        <v>3.6920483163466686E-12</v>
      </c>
      <c r="FH198" s="22">
        <f t="shared" si="183"/>
        <v>6.9121814197236049E-12</v>
      </c>
      <c r="FI198" s="60">
        <f t="shared" si="199"/>
        <v>290.31211911692543</v>
      </c>
      <c r="FJ198" s="60">
        <f ca="1">AVERAGE(OFFSET($FI$3,0,0,'Données projet'!$E$16+1,1))-AVERAGE(OFFSET($H$3,0,0,'Données projet'!$E$16+1,1))</f>
        <v>341.66430955115521</v>
      </c>
      <c r="FK198" s="60">
        <f t="shared" si="211"/>
        <v>366.15174925159192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3.4106051316484809E-13</v>
      </c>
      <c r="GA198" s="18">
        <f>FZ198*VLOOKUP('Données projet'!$B$17,Paramètres!$A$1:$I$89,3,0)*VLOOKUP('Données projet'!$B$17,Paramètres!$A$1:$I$89,5,0)</f>
        <v>2.5006556825246659E-13</v>
      </c>
      <c r="GB198" s="14">
        <f t="shared" si="185"/>
        <v>3.3765445850268018E-12</v>
      </c>
      <c r="GC198" s="22">
        <f t="shared" si="186"/>
        <v>6.3163460169613921E-12</v>
      </c>
      <c r="GD198" s="60">
        <f t="shared" si="200"/>
        <v>290.3121191169248</v>
      </c>
      <c r="GE198" s="60">
        <f ca="1">AVERAGE(OFFSET($GD$3,0,0,'Données projet'!$E$17+1,1))-AVERAGE(OFFSET($H$3,0,0,'Données projet'!$E$17+1,1))</f>
        <v>314.58662400031631</v>
      </c>
      <c r="GF198" s="60">
        <f t="shared" si="212"/>
        <v>336.99073123405981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4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-9.7986685432260874E-13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516.30971934066179</v>
      </c>
      <c r="T199" s="60">
        <f t="shared" si="204"/>
        <v>290.84286505723571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-5.1159076974727213E-13</v>
      </c>
      <c r="AJ199" s="14">
        <f>AI199*VLOOKUP('Données projet'!$B$10,Paramètres!$A$1:$I$89,3,0)*VLOOKUP('Données projet'!$B$10,Paramètres!$A$1:$I$89,5,0)</f>
        <v>-5.3471467253984886E-13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529.00505223594837</v>
      </c>
      <c r="AO199" s="60">
        <f t="shared" si="205"/>
        <v>321.23004033257985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2.9795046430081134E-13</v>
      </c>
      <c r="BF199" s="14">
        <f t="shared" si="167"/>
        <v>3.9419014464513778E-12</v>
      </c>
      <c r="BG199" s="22">
        <f t="shared" si="168"/>
        <v>7.384408744560063E-12</v>
      </c>
      <c r="BH199" s="60">
        <f t="shared" si="194"/>
        <v>290.36453042915758</v>
      </c>
      <c r="BI199" s="60">
        <f ca="1">AVERAGE(OFFSET($BH$3,0,0,'Données projet'!$E$11+1,1))-AVERAGE(OFFSET($H$3,0,0,'Données projet'!$E$11+1,1))</f>
        <v>363.28611056308665</v>
      </c>
      <c r="BJ199" s="60">
        <f t="shared" si="206"/>
        <v>389.43647559455974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-9.6633812063373625E-13</v>
      </c>
      <c r="BZ199" s="14">
        <f>BY199*VLOOKUP('Données projet'!$B$12,Paramètres!$A$1:$I$89,3,0)*VLOOKUP('Données projet'!$B$12,Paramètres!$A$1:$I$89,5,0)</f>
        <v>-1.0401663530501537E-12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542.90832990875208</v>
      </c>
      <c r="CE199" s="60">
        <f t="shared" si="207"/>
        <v>304.94365539329362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-6.2527760746888816E-13</v>
      </c>
      <c r="CU199" s="18">
        <f>CT199*VLOOKUP('Données projet'!$B$13,Paramètres!$A$1:$I$89,3,0)*VLOOKUP('Données projet'!$B$13,Paramètres!$A$1:$I$89,5,0)</f>
        <v>-2.9262992029543964E-13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277.77877239988635</v>
      </c>
      <c r="CZ199" s="60">
        <f t="shared" si="208"/>
        <v>164.65640238394164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9.7543306765146564E-14</v>
      </c>
      <c r="DQ199" s="14">
        <f t="shared" si="176"/>
        <v>1.4696264278629426E-12</v>
      </c>
      <c r="DR199" s="22">
        <f t="shared" si="177"/>
        <v>2.7294872878105889E-12</v>
      </c>
      <c r="DS199" s="60">
        <f t="shared" si="197"/>
        <v>290.36453042915292</v>
      </c>
      <c r="DT199" s="60">
        <f ca="1">AVERAGE(OFFSET($DS$3,0,0,'Données projet'!$E$14+1,1))-AVERAGE(OFFSET($H$3,0,0,'Données projet'!$E$14+1,1))</f>
        <v>354.30160274624632</v>
      </c>
      <c r="DU199" s="60">
        <f t="shared" si="209"/>
        <v>218.8005329382452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-9.6633812063373625E-13</v>
      </c>
      <c r="EK199" s="18">
        <f>EJ199*VLOOKUP('Données projet'!$B$15,Paramètres!$A$1:$I$89,3,0)*VLOOKUP('Données projet'!$B$15,Paramètres!$A$1:$I$89,5,0)</f>
        <v>-9.3464223027694966E-13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496.33873798282525</v>
      </c>
      <c r="EP199" s="60">
        <f t="shared" si="210"/>
        <v>280.25465074992246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3.4106051316484809E-13</v>
      </c>
      <c r="FF199" s="18">
        <f>FE199*VLOOKUP('Données projet'!$B$16,Paramètres!$A$1:$I$89,3,0)*VLOOKUP('Données projet'!$B$16,Paramètres!$A$1:$I$89,5,0)</f>
        <v>2.7666828827932479E-13</v>
      </c>
      <c r="FG199" s="14">
        <f t="shared" si="182"/>
        <v>3.6920483163466686E-12</v>
      </c>
      <c r="FH199" s="22">
        <f t="shared" si="183"/>
        <v>6.9121814197236049E-12</v>
      </c>
      <c r="FI199" s="60">
        <f t="shared" si="199"/>
        <v>290.36453042915713</v>
      </c>
      <c r="FJ199" s="60">
        <f ca="1">AVERAGE(OFFSET($FI$3,0,0,'Données projet'!$E$16+1,1))-AVERAGE(OFFSET($H$3,0,0,'Données projet'!$E$16+1,1))</f>
        <v>341.66430955115521</v>
      </c>
      <c r="FK199" s="60">
        <f t="shared" si="211"/>
        <v>366.15174925159192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3.4106051316484809E-13</v>
      </c>
      <c r="GA199" s="18">
        <f>FZ199*VLOOKUP('Données projet'!$B$17,Paramètres!$A$1:$I$89,3,0)*VLOOKUP('Données projet'!$B$17,Paramètres!$A$1:$I$89,5,0)</f>
        <v>2.5006556825246659E-13</v>
      </c>
      <c r="GB199" s="14">
        <f t="shared" si="185"/>
        <v>3.3765445850268018E-12</v>
      </c>
      <c r="GC199" s="22">
        <f t="shared" si="186"/>
        <v>6.3163460169613921E-12</v>
      </c>
      <c r="GD199" s="60">
        <f t="shared" si="200"/>
        <v>290.3645304291565</v>
      </c>
      <c r="GE199" s="60">
        <f ca="1">AVERAGE(OFFSET($GD$3,0,0,'Données projet'!$E$17+1,1))-AVERAGE(OFFSET($H$3,0,0,'Données projet'!$E$17+1,1))</f>
        <v>314.58662400031631</v>
      </c>
      <c r="GF199" s="60">
        <f t="shared" si="212"/>
        <v>336.99073123405981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4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-9.7986685432260874E-13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516.30971934066179</v>
      </c>
      <c r="T200" s="60">
        <f t="shared" si="204"/>
        <v>290.84286505723571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-5.1159076974727213E-13</v>
      </c>
      <c r="AJ200" s="14">
        <f>AI200*VLOOKUP('Données projet'!$B$10,Paramètres!$A$1:$I$89,3,0)*VLOOKUP('Données projet'!$B$10,Paramètres!$A$1:$I$89,5,0)</f>
        <v>-5.3471467253984886E-13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529.00505223594837</v>
      </c>
      <c r="AO200" s="60">
        <f t="shared" si="205"/>
        <v>321.23004033257985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2.9795046430081134E-13</v>
      </c>
      <c r="BF200" s="14">
        <f t="shared" si="167"/>
        <v>3.9419014464513778E-12</v>
      </c>
      <c r="BG200" s="22">
        <f t="shared" si="168"/>
        <v>7.384408744560063E-12</v>
      </c>
      <c r="BH200" s="60">
        <f t="shared" si="194"/>
        <v>290.41603252229618</v>
      </c>
      <c r="BI200" s="60">
        <f ca="1">AVERAGE(OFFSET($BH$3,0,0,'Données projet'!$E$11+1,1))-AVERAGE(OFFSET($H$3,0,0,'Données projet'!$E$11+1,1))</f>
        <v>363.28611056308665</v>
      </c>
      <c r="BJ200" s="60">
        <f t="shared" si="206"/>
        <v>389.43647559455974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-9.6633812063373625E-13</v>
      </c>
      <c r="BZ200" s="14">
        <f>BY200*VLOOKUP('Données projet'!$B$12,Paramètres!$A$1:$I$89,3,0)*VLOOKUP('Données projet'!$B$12,Paramètres!$A$1:$I$89,5,0)</f>
        <v>-1.0401663530501537E-12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542.90832990875208</v>
      </c>
      <c r="CE200" s="60">
        <f t="shared" si="207"/>
        <v>304.94365539329362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-6.2527760746888816E-13</v>
      </c>
      <c r="CU200" s="18">
        <f>CT200*VLOOKUP('Données projet'!$B$13,Paramètres!$A$1:$I$89,3,0)*VLOOKUP('Données projet'!$B$13,Paramètres!$A$1:$I$89,5,0)</f>
        <v>-2.9262992029543964E-13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277.77877239988635</v>
      </c>
      <c r="CZ200" s="60">
        <f t="shared" si="208"/>
        <v>164.65640238394164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9.7543306765146564E-14</v>
      </c>
      <c r="DQ200" s="14">
        <f t="shared" si="176"/>
        <v>1.4696264278629426E-12</v>
      </c>
      <c r="DR200" s="22">
        <f t="shared" si="177"/>
        <v>2.7294872878105889E-12</v>
      </c>
      <c r="DS200" s="60">
        <f t="shared" si="197"/>
        <v>290.41603252229152</v>
      </c>
      <c r="DT200" s="60">
        <f ca="1">AVERAGE(OFFSET($DS$3,0,0,'Données projet'!$E$14+1,1))-AVERAGE(OFFSET($H$3,0,0,'Données projet'!$E$14+1,1))</f>
        <v>354.30160274624632</v>
      </c>
      <c r="DU200" s="60">
        <f t="shared" si="209"/>
        <v>218.8005329382452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-9.6633812063373625E-13</v>
      </c>
      <c r="EK200" s="18">
        <f>EJ200*VLOOKUP('Données projet'!$B$15,Paramètres!$A$1:$I$89,3,0)*VLOOKUP('Données projet'!$B$15,Paramètres!$A$1:$I$89,5,0)</f>
        <v>-9.3464223027694966E-13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496.33873798282525</v>
      </c>
      <c r="EP200" s="60">
        <f t="shared" si="210"/>
        <v>280.25465074992246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3.4106051316484809E-13</v>
      </c>
      <c r="FF200" s="18">
        <f>FE200*VLOOKUP('Données projet'!$B$16,Paramètres!$A$1:$I$89,3,0)*VLOOKUP('Données projet'!$B$16,Paramètres!$A$1:$I$89,5,0)</f>
        <v>2.7666828827932479E-13</v>
      </c>
      <c r="FG200" s="14">
        <f t="shared" si="182"/>
        <v>3.6920483163466686E-12</v>
      </c>
      <c r="FH200" s="22">
        <f t="shared" si="183"/>
        <v>6.9121814197236049E-12</v>
      </c>
      <c r="FI200" s="60">
        <f t="shared" si="199"/>
        <v>290.41603252229572</v>
      </c>
      <c r="FJ200" s="60">
        <f ca="1">AVERAGE(OFFSET($FI$3,0,0,'Données projet'!$E$16+1,1))-AVERAGE(OFFSET($H$3,0,0,'Données projet'!$E$16+1,1))</f>
        <v>341.66430955115521</v>
      </c>
      <c r="FK200" s="60">
        <f t="shared" si="211"/>
        <v>366.15174925159192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3.4106051316484809E-13</v>
      </c>
      <c r="GA200" s="18">
        <f>FZ200*VLOOKUP('Données projet'!$B$17,Paramètres!$A$1:$I$89,3,0)*VLOOKUP('Données projet'!$B$17,Paramètres!$A$1:$I$89,5,0)</f>
        <v>2.5006556825246659E-13</v>
      </c>
      <c r="GB200" s="14">
        <f t="shared" si="185"/>
        <v>3.3765445850268018E-12</v>
      </c>
      <c r="GC200" s="22">
        <f t="shared" si="186"/>
        <v>6.3163460169613921E-12</v>
      </c>
      <c r="GD200" s="60">
        <f t="shared" si="200"/>
        <v>290.4160325222951</v>
      </c>
      <c r="GE200" s="60">
        <f ca="1">AVERAGE(OFFSET($GD$3,0,0,'Données projet'!$E$17+1,1))-AVERAGE(OFFSET($H$3,0,0,'Données projet'!$E$17+1,1))</f>
        <v>314.58662400031631</v>
      </c>
      <c r="GF200" s="60">
        <f t="shared" si="212"/>
        <v>336.99073123405981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4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-9.7986685432260874E-13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516.30971934066179</v>
      </c>
      <c r="T201" s="60">
        <f t="shared" si="204"/>
        <v>290.84286505723571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-5.1159076974727213E-13</v>
      </c>
      <c r="AJ201" s="14">
        <f>AI201*VLOOKUP('Données projet'!$B$10,Paramètres!$A$1:$I$89,3,0)*VLOOKUP('Données projet'!$B$10,Paramètres!$A$1:$I$89,5,0)</f>
        <v>-5.3471467253984886E-13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529.00505223594837</v>
      </c>
      <c r="AO201" s="60">
        <f t="shared" si="205"/>
        <v>321.23004033257985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2.9795046430081134E-13</v>
      </c>
      <c r="BF201" s="14">
        <f t="shared" si="167"/>
        <v>3.9419014464513778E-12</v>
      </c>
      <c r="BG201" s="22">
        <f t="shared" si="168"/>
        <v>7.384408744560063E-12</v>
      </c>
      <c r="BH201" s="60">
        <f t="shared" si="194"/>
        <v>290.4666411692603</v>
      </c>
      <c r="BI201" s="60">
        <f ca="1">AVERAGE(OFFSET($BH$3,0,0,'Données projet'!$E$11+1,1))-AVERAGE(OFFSET($H$3,0,0,'Données projet'!$E$11+1,1))</f>
        <v>363.28611056308665</v>
      </c>
      <c r="BJ201" s="60">
        <f t="shared" si="206"/>
        <v>389.43647559455974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-9.6633812063373625E-13</v>
      </c>
      <c r="BZ201" s="14">
        <f>BY201*VLOOKUP('Données projet'!$B$12,Paramètres!$A$1:$I$89,3,0)*VLOOKUP('Données projet'!$B$12,Paramètres!$A$1:$I$89,5,0)</f>
        <v>-1.0401663530501537E-12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542.90832990875208</v>
      </c>
      <c r="CE201" s="60">
        <f t="shared" si="207"/>
        <v>304.94365539329362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-6.2527760746888816E-13</v>
      </c>
      <c r="CU201" s="18">
        <f>CT201*VLOOKUP('Données projet'!$B$13,Paramètres!$A$1:$I$89,3,0)*VLOOKUP('Données projet'!$B$13,Paramètres!$A$1:$I$89,5,0)</f>
        <v>-2.9262992029543964E-13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277.77877239988635</v>
      </c>
      <c r="CZ201" s="60">
        <f t="shared" si="208"/>
        <v>164.65640238394164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9.7543306765146564E-14</v>
      </c>
      <c r="DQ201" s="14">
        <f t="shared" si="176"/>
        <v>1.4696264278629426E-12</v>
      </c>
      <c r="DR201" s="22">
        <f t="shared" si="177"/>
        <v>2.7294872878105889E-12</v>
      </c>
      <c r="DS201" s="60">
        <f t="shared" si="197"/>
        <v>290.46664116925564</v>
      </c>
      <c r="DT201" s="60">
        <f ca="1">AVERAGE(OFFSET($DS$3,0,0,'Données projet'!$E$14+1,1))-AVERAGE(OFFSET($H$3,0,0,'Données projet'!$E$14+1,1))</f>
        <v>354.30160274624632</v>
      </c>
      <c r="DU201" s="60">
        <f t="shared" si="209"/>
        <v>218.8005329382452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-9.6633812063373625E-13</v>
      </c>
      <c r="EK201" s="18">
        <f>EJ201*VLOOKUP('Données projet'!$B$15,Paramètres!$A$1:$I$89,3,0)*VLOOKUP('Données projet'!$B$15,Paramètres!$A$1:$I$89,5,0)</f>
        <v>-9.3464223027694966E-13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496.33873798282525</v>
      </c>
      <c r="EP201" s="60">
        <f t="shared" si="210"/>
        <v>280.25465074992246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3.4106051316484809E-13</v>
      </c>
      <c r="FF201" s="18">
        <f>FE201*VLOOKUP('Données projet'!$B$16,Paramètres!$A$1:$I$89,3,0)*VLOOKUP('Données projet'!$B$16,Paramètres!$A$1:$I$89,5,0)</f>
        <v>2.7666828827932479E-13</v>
      </c>
      <c r="FG201" s="14">
        <f t="shared" si="182"/>
        <v>3.6920483163466686E-12</v>
      </c>
      <c r="FH201" s="22">
        <f t="shared" si="183"/>
        <v>6.9121814197236049E-12</v>
      </c>
      <c r="FI201" s="60">
        <f t="shared" si="199"/>
        <v>290.46664116925984</v>
      </c>
      <c r="FJ201" s="60">
        <f ca="1">AVERAGE(OFFSET($FI$3,0,0,'Données projet'!$E$16+1,1))-AVERAGE(OFFSET($H$3,0,0,'Données projet'!$E$16+1,1))</f>
        <v>341.66430955115521</v>
      </c>
      <c r="FK201" s="60">
        <f t="shared" si="211"/>
        <v>366.15174925159192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3.4106051316484809E-13</v>
      </c>
      <c r="GA201" s="18">
        <f>FZ201*VLOOKUP('Données projet'!$B$17,Paramètres!$A$1:$I$89,3,0)*VLOOKUP('Données projet'!$B$17,Paramètres!$A$1:$I$89,5,0)</f>
        <v>2.5006556825246659E-13</v>
      </c>
      <c r="GB201" s="14">
        <f t="shared" si="185"/>
        <v>3.3765445850268018E-12</v>
      </c>
      <c r="GC201" s="22">
        <f t="shared" si="186"/>
        <v>6.3163460169613921E-12</v>
      </c>
      <c r="GD201" s="60">
        <f t="shared" si="200"/>
        <v>290.46664116925922</v>
      </c>
      <c r="GE201" s="60">
        <f ca="1">AVERAGE(OFFSET($GD$3,0,0,'Données projet'!$E$17+1,1))-AVERAGE(OFFSET($H$3,0,0,'Données projet'!$E$17+1,1))</f>
        <v>314.58662400031631</v>
      </c>
      <c r="GF201" s="60">
        <f t="shared" si="212"/>
        <v>336.99073123405981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4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-9.7986685432260874E-13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516.30971934066179</v>
      </c>
      <c r="T202" s="60">
        <f t="shared" si="204"/>
        <v>290.84286505723571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-5.1159076974727213E-13</v>
      </c>
      <c r="AJ202" s="14">
        <f>AI202*VLOOKUP('Données projet'!$B$10,Paramètres!$A$1:$I$89,3,0)*VLOOKUP('Données projet'!$B$10,Paramètres!$A$1:$I$89,5,0)</f>
        <v>-5.3471467253984886E-13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529.00505223594837</v>
      </c>
      <c r="AO202" s="60">
        <f t="shared" si="205"/>
        <v>321.23004033257985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2.9795046430081134E-13</v>
      </c>
      <c r="BF202" s="14">
        <f t="shared" si="167"/>
        <v>3.9419014464513778E-12</v>
      </c>
      <c r="BG202" s="22">
        <f t="shared" si="168"/>
        <v>7.384408744560063E-12</v>
      </c>
      <c r="BH202" s="60">
        <f t="shared" si="194"/>
        <v>290.51637186934352</v>
      </c>
      <c r="BI202" s="60">
        <f ca="1">AVERAGE(OFFSET($BH$3,0,0,'Données projet'!$E$11+1,1))-AVERAGE(OFFSET($H$3,0,0,'Données projet'!$E$11+1,1))</f>
        <v>363.28611056308665</v>
      </c>
      <c r="BJ202" s="60">
        <f t="shared" si="206"/>
        <v>389.43647559455974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-9.6633812063373625E-13</v>
      </c>
      <c r="BZ202" s="14">
        <f>BY202*VLOOKUP('Données projet'!$B$12,Paramètres!$A$1:$I$89,3,0)*VLOOKUP('Données projet'!$B$12,Paramètres!$A$1:$I$89,5,0)</f>
        <v>-1.0401663530501537E-12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542.90832990875208</v>
      </c>
      <c r="CE202" s="60">
        <f t="shared" si="207"/>
        <v>304.94365539329362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-6.2527760746888816E-13</v>
      </c>
      <c r="CU202" s="18">
        <f>CT202*VLOOKUP('Données projet'!$B$13,Paramètres!$A$1:$I$89,3,0)*VLOOKUP('Données projet'!$B$13,Paramètres!$A$1:$I$89,5,0)</f>
        <v>-2.9262992029543964E-13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277.77877239988635</v>
      </c>
      <c r="CZ202" s="60">
        <f t="shared" si="208"/>
        <v>164.65640238394164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9.7543306765146564E-14</v>
      </c>
      <c r="DQ202" s="14">
        <f t="shared" si="176"/>
        <v>1.4696264278629426E-12</v>
      </c>
      <c r="DR202" s="22">
        <f t="shared" si="177"/>
        <v>2.7294872878105889E-12</v>
      </c>
      <c r="DS202" s="60">
        <f t="shared" si="197"/>
        <v>290.51637186933885</v>
      </c>
      <c r="DT202" s="60">
        <f ca="1">AVERAGE(OFFSET($DS$3,0,0,'Données projet'!$E$14+1,1))-AVERAGE(OFFSET($H$3,0,0,'Données projet'!$E$14+1,1))</f>
        <v>354.30160274624632</v>
      </c>
      <c r="DU202" s="60">
        <f t="shared" si="209"/>
        <v>218.8005329382452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-9.6633812063373625E-13</v>
      </c>
      <c r="EK202" s="18">
        <f>EJ202*VLOOKUP('Données projet'!$B$15,Paramètres!$A$1:$I$89,3,0)*VLOOKUP('Données projet'!$B$15,Paramètres!$A$1:$I$89,5,0)</f>
        <v>-9.3464223027694966E-13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496.33873798282525</v>
      </c>
      <c r="EP202" s="60">
        <f t="shared" si="210"/>
        <v>280.25465074992246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3.4106051316484809E-13</v>
      </c>
      <c r="FF202" s="18">
        <f>FE202*VLOOKUP('Données projet'!$B$16,Paramètres!$A$1:$I$89,3,0)*VLOOKUP('Données projet'!$B$16,Paramètres!$A$1:$I$89,5,0)</f>
        <v>2.7666828827932479E-13</v>
      </c>
      <c r="FG202" s="14">
        <f t="shared" si="182"/>
        <v>3.6920483163466686E-12</v>
      </c>
      <c r="FH202" s="22">
        <f t="shared" si="183"/>
        <v>6.9121814197236049E-12</v>
      </c>
      <c r="FI202" s="60">
        <f t="shared" si="199"/>
        <v>290.51637186934306</v>
      </c>
      <c r="FJ202" s="60">
        <f ca="1">AVERAGE(OFFSET($FI$3,0,0,'Données projet'!$E$16+1,1))-AVERAGE(OFFSET($H$3,0,0,'Données projet'!$E$16+1,1))</f>
        <v>341.66430955115521</v>
      </c>
      <c r="FK202" s="60">
        <f t="shared" si="211"/>
        <v>366.15174925159192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3.4106051316484809E-13</v>
      </c>
      <c r="GA202" s="18">
        <f>FZ202*VLOOKUP('Données projet'!$B$17,Paramètres!$A$1:$I$89,3,0)*VLOOKUP('Données projet'!$B$17,Paramètres!$A$1:$I$89,5,0)</f>
        <v>2.5006556825246659E-13</v>
      </c>
      <c r="GB202" s="14">
        <f t="shared" si="185"/>
        <v>3.3765445850268018E-12</v>
      </c>
      <c r="GC202" s="22">
        <f t="shared" si="186"/>
        <v>6.3163460169613921E-12</v>
      </c>
      <c r="GD202" s="60">
        <f t="shared" si="200"/>
        <v>290.51637186934244</v>
      </c>
      <c r="GE202" s="60">
        <f ca="1">AVERAGE(OFFSET($GD$3,0,0,'Données projet'!$E$17+1,1))-AVERAGE(OFFSET($H$3,0,0,'Données projet'!$E$17+1,1))</f>
        <v>314.58662400031631</v>
      </c>
      <c r="GF202" s="60">
        <f t="shared" si="212"/>
        <v>336.99073123405981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4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-9.7986685432260874E-13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516.30971934066179</v>
      </c>
      <c r="T203" s="60">
        <f t="shared" si="204"/>
        <v>290.84286505723571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-5.1159076974727213E-13</v>
      </c>
      <c r="AJ203" s="14">
        <f>AI203*VLOOKUP('Données projet'!$B$10,Paramètres!$A$1:$I$89,3,0)*VLOOKUP('Données projet'!$B$10,Paramètres!$A$1:$I$89,5,0)</f>
        <v>-5.3471467253984886E-13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529.00505223594837</v>
      </c>
      <c r="AO203" s="60">
        <f t="shared" si="205"/>
        <v>321.23004033257985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2.9795046430081134E-13</v>
      </c>
      <c r="BF203" s="14">
        <f t="shared" si="167"/>
        <v>3.9419014464513778E-12</v>
      </c>
      <c r="BG203" s="22">
        <f t="shared" si="168"/>
        <v>7.384408744560063E-12</v>
      </c>
      <c r="BH203" s="60">
        <f t="shared" si="194"/>
        <v>290.5652398529615</v>
      </c>
      <c r="BI203" s="60">
        <f ca="1">AVERAGE(OFFSET($BH$3,0,0,'Données projet'!$E$11+1,1))-AVERAGE(OFFSET($H$3,0,0,'Données projet'!$E$11+1,1))</f>
        <v>363.28611056308665</v>
      </c>
      <c r="BJ203" s="60">
        <f t="shared" si="206"/>
        <v>389.43647559455974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-9.6633812063373625E-13</v>
      </c>
      <c r="BZ203" s="14">
        <f>BY203*VLOOKUP('Données projet'!$B$12,Paramètres!$A$1:$I$89,3,0)*VLOOKUP('Données projet'!$B$12,Paramètres!$A$1:$I$89,5,0)</f>
        <v>-1.0401663530501537E-12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542.90832990875208</v>
      </c>
      <c r="CE203" s="60">
        <f t="shared" si="207"/>
        <v>304.94365539329362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-6.2527760746888816E-13</v>
      </c>
      <c r="CU203" s="18">
        <f>CT203*VLOOKUP('Données projet'!$B$13,Paramètres!$A$1:$I$89,3,0)*VLOOKUP('Données projet'!$B$13,Paramètres!$A$1:$I$89,5,0)</f>
        <v>-2.9262992029543964E-13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277.77877239988635</v>
      </c>
      <c r="CZ203" s="60">
        <f t="shared" si="208"/>
        <v>164.65640238394164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9.7543306765146564E-14</v>
      </c>
      <c r="DQ203" s="14">
        <f t="shared" si="176"/>
        <v>1.4696264278629426E-12</v>
      </c>
      <c r="DR203" s="22">
        <f t="shared" si="177"/>
        <v>2.7294872878105889E-12</v>
      </c>
      <c r="DS203" s="60">
        <f t="shared" si="197"/>
        <v>290.56523985295684</v>
      </c>
      <c r="DT203" s="60">
        <f ca="1">AVERAGE(OFFSET($DS$3,0,0,'Données projet'!$E$14+1,1))-AVERAGE(OFFSET($H$3,0,0,'Données projet'!$E$14+1,1))</f>
        <v>354.30160274624632</v>
      </c>
      <c r="DU203" s="60">
        <f t="shared" si="209"/>
        <v>218.8005329382452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-9.6633812063373625E-13</v>
      </c>
      <c r="EK203" s="18">
        <f>EJ203*VLOOKUP('Données projet'!$B$15,Paramètres!$A$1:$I$89,3,0)*VLOOKUP('Données projet'!$B$15,Paramètres!$A$1:$I$89,5,0)</f>
        <v>-9.3464223027694966E-13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496.33873798282525</v>
      </c>
      <c r="EP203" s="60">
        <f t="shared" si="210"/>
        <v>280.25465074992246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3.4106051316484809E-13</v>
      </c>
      <c r="FF203" s="18">
        <f>FE203*VLOOKUP('Données projet'!$B$16,Paramètres!$A$1:$I$89,3,0)*VLOOKUP('Données projet'!$B$16,Paramètres!$A$1:$I$89,5,0)</f>
        <v>2.7666828827932479E-13</v>
      </c>
      <c r="FG203" s="14">
        <f t="shared" si="182"/>
        <v>3.6920483163466686E-12</v>
      </c>
      <c r="FH203" s="22">
        <f t="shared" si="183"/>
        <v>6.9121814197236049E-12</v>
      </c>
      <c r="FI203" s="60">
        <f t="shared" si="199"/>
        <v>290.56523985296104</v>
      </c>
      <c r="FJ203" s="60">
        <f ca="1">AVERAGE(OFFSET($FI$3,0,0,'Données projet'!$E$16+1,1))-AVERAGE(OFFSET($H$3,0,0,'Données projet'!$E$16+1,1))</f>
        <v>341.66430955115521</v>
      </c>
      <c r="FK203" s="60">
        <f t="shared" si="211"/>
        <v>366.15174925159192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3.4106051316484809E-13</v>
      </c>
      <c r="GA203" s="18">
        <f>FZ203*VLOOKUP('Données projet'!$B$17,Paramètres!$A$1:$I$89,3,0)*VLOOKUP('Données projet'!$B$17,Paramètres!$A$1:$I$89,5,0)</f>
        <v>2.5006556825246659E-13</v>
      </c>
      <c r="GB203" s="14">
        <f t="shared" si="185"/>
        <v>3.3765445850268018E-12</v>
      </c>
      <c r="GC203" s="22">
        <f t="shared" si="186"/>
        <v>6.3163460169613921E-12</v>
      </c>
      <c r="GD203" s="60">
        <f t="shared" si="200"/>
        <v>290.56523985296042</v>
      </c>
      <c r="GE203" s="60">
        <f ca="1">AVERAGE(OFFSET($GD$3,0,0,'Données projet'!$E$17+1,1))-AVERAGE(OFFSET($H$3,0,0,'Données projet'!$E$17+1,1))</f>
        <v>314.58662400031631</v>
      </c>
      <c r="GF203" s="60">
        <f t="shared" si="212"/>
        <v>336.99073123405981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293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293</v>
      </c>
      <c r="BA204" s="84" t="s">
        <v>293</v>
      </c>
      <c r="BV204" s="84" t="s">
        <v>293</v>
      </c>
      <c r="CQ204" s="84" t="s">
        <v>293</v>
      </c>
      <c r="DL204" s="84" t="s">
        <v>293</v>
      </c>
      <c r="EG204" s="84" t="s">
        <v>293</v>
      </c>
      <c r="FB204" s="84" t="s">
        <v>293</v>
      </c>
      <c r="FW204" s="84" t="s">
        <v>293</v>
      </c>
      <c r="GR204" s="84" t="s">
        <v>293</v>
      </c>
    </row>
    <row r="205" spans="1:218" ht="15.75" thickBot="1" x14ac:dyDescent="0.3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1.2054868146447177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1.2548684989282006</v>
      </c>
      <c r="BA205" s="85">
        <f>EXP(LN('Données projet'!B88)/'Données projet'!A88)</f>
        <v>1.2730870686066207</v>
      </c>
      <c r="BV205" s="85">
        <f>EXP(LN('Données projet'!B114)/'Données projet'!A114)</f>
        <v>1.2054868146447177</v>
      </c>
      <c r="CQ205" s="85">
        <f>EXP(LN('Données projet'!B140)/'Données projet'!A140)</f>
        <v>1.1671681906248585</v>
      </c>
      <c r="DL205" s="85">
        <f>EXP(LN('Données projet'!B166)/'Données projet'!A166)</f>
        <v>1.197119521332874</v>
      </c>
      <c r="EG205" s="85">
        <f>EXP(LN('Données projet'!B192)/'Données projet'!A192)</f>
        <v>1.2054868146447177</v>
      </c>
      <c r="FB205" s="85">
        <f>EXP(LN('Données projet'!B218)/'Données projet'!A218)</f>
        <v>1.2730870686066207</v>
      </c>
      <c r="FW205" s="85">
        <f>EXP(LN('Données projet'!B244)/'Données projet'!A244)</f>
        <v>1.2730870686066207</v>
      </c>
      <c r="GR205" s="85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6" t="s">
        <v>0</v>
      </c>
      <c r="B1" s="117" t="s">
        <v>106</v>
      </c>
      <c r="C1" s="118" t="s">
        <v>144</v>
      </c>
      <c r="D1" s="117" t="s">
        <v>100</v>
      </c>
      <c r="E1" s="118" t="s">
        <v>145</v>
      </c>
      <c r="F1" s="118" t="s">
        <v>100</v>
      </c>
      <c r="G1" s="118" t="s">
        <v>146</v>
      </c>
      <c r="H1" s="118" t="s">
        <v>100</v>
      </c>
      <c r="I1" s="119" t="s">
        <v>147</v>
      </c>
      <c r="J1" s="96"/>
      <c r="K1" s="96"/>
      <c r="L1" s="96"/>
      <c r="M1" s="96"/>
      <c r="N1" s="96"/>
    </row>
    <row r="2" spans="1:16" x14ac:dyDescent="0.25">
      <c r="A2" s="120" t="s">
        <v>1</v>
      </c>
      <c r="B2" s="121" t="s">
        <v>53</v>
      </c>
      <c r="C2" s="122">
        <v>0.62</v>
      </c>
      <c r="D2" s="122" t="s">
        <v>161</v>
      </c>
      <c r="E2" s="122">
        <v>1.56</v>
      </c>
      <c r="F2" s="122" t="s">
        <v>274</v>
      </c>
      <c r="G2" s="123">
        <v>0.43</v>
      </c>
      <c r="H2" s="124" t="s">
        <v>278</v>
      </c>
      <c r="I2" s="125">
        <v>0.25</v>
      </c>
      <c r="J2" s="96"/>
      <c r="K2" s="96"/>
      <c r="L2" s="96"/>
      <c r="M2" s="96"/>
      <c r="N2" s="96"/>
      <c r="O2" s="315" t="s">
        <v>238</v>
      </c>
      <c r="P2" s="126">
        <v>0</v>
      </c>
    </row>
    <row r="3" spans="1:16" ht="15.75" thickBot="1" x14ac:dyDescent="0.3">
      <c r="A3" s="127" t="s">
        <v>2</v>
      </c>
      <c r="B3" s="128" t="s">
        <v>54</v>
      </c>
      <c r="C3" s="129">
        <v>0.64</v>
      </c>
      <c r="D3" s="129" t="s">
        <v>161</v>
      </c>
      <c r="E3" s="129">
        <v>1.56</v>
      </c>
      <c r="F3" s="130" t="s">
        <v>274</v>
      </c>
      <c r="G3" s="131">
        <v>0.43</v>
      </c>
      <c r="H3" s="129" t="s">
        <v>278</v>
      </c>
      <c r="I3" s="132">
        <v>0.25</v>
      </c>
      <c r="J3" s="96"/>
      <c r="K3" s="96"/>
      <c r="L3" s="96"/>
      <c r="M3" s="96"/>
      <c r="N3" s="96"/>
      <c r="O3" s="316"/>
      <c r="P3" s="133">
        <v>0.2</v>
      </c>
    </row>
    <row r="4" spans="1:16" ht="15.75" thickBot="1" x14ac:dyDescent="0.3">
      <c r="A4" s="127" t="s">
        <v>98</v>
      </c>
      <c r="B4" s="128" t="s">
        <v>99</v>
      </c>
      <c r="C4" s="129">
        <v>0.42</v>
      </c>
      <c r="D4" s="129" t="s">
        <v>161</v>
      </c>
      <c r="E4" s="129">
        <v>1.56</v>
      </c>
      <c r="F4" s="130" t="s">
        <v>274</v>
      </c>
      <c r="G4" s="131">
        <v>0.43</v>
      </c>
      <c r="H4" s="129" t="s">
        <v>278</v>
      </c>
      <c r="I4" s="132">
        <v>0.25</v>
      </c>
      <c r="J4" s="96"/>
      <c r="K4" s="96"/>
      <c r="L4" s="96"/>
      <c r="M4" s="96"/>
      <c r="N4" s="96"/>
    </row>
    <row r="5" spans="1:16" x14ac:dyDescent="0.25">
      <c r="A5" s="127" t="s">
        <v>4</v>
      </c>
      <c r="B5" s="128" t="s">
        <v>55</v>
      </c>
      <c r="C5" s="129">
        <v>0.42</v>
      </c>
      <c r="D5" s="129" t="s">
        <v>161</v>
      </c>
      <c r="E5" s="129">
        <v>1.56</v>
      </c>
      <c r="F5" s="130" t="s">
        <v>274</v>
      </c>
      <c r="G5" s="131">
        <v>0.43</v>
      </c>
      <c r="H5" s="129" t="s">
        <v>278</v>
      </c>
      <c r="I5" s="132">
        <v>0.25</v>
      </c>
      <c r="J5" s="96"/>
      <c r="K5" s="96"/>
      <c r="L5" s="96"/>
      <c r="M5" s="96"/>
      <c r="N5" s="96"/>
      <c r="O5" s="315" t="s">
        <v>237</v>
      </c>
      <c r="P5" s="126">
        <v>0</v>
      </c>
    </row>
    <row r="6" spans="1:16" x14ac:dyDescent="0.25">
      <c r="A6" s="127" t="s">
        <v>3</v>
      </c>
      <c r="B6" s="128" t="s">
        <v>97</v>
      </c>
      <c r="C6" s="129">
        <v>0.42</v>
      </c>
      <c r="D6" s="129" t="s">
        <v>161</v>
      </c>
      <c r="E6" s="129">
        <v>1.56</v>
      </c>
      <c r="F6" s="130" t="s">
        <v>274</v>
      </c>
      <c r="G6" s="131">
        <v>0.43</v>
      </c>
      <c r="H6" s="129" t="s">
        <v>278</v>
      </c>
      <c r="I6" s="132">
        <v>0.25</v>
      </c>
      <c r="J6" s="96"/>
      <c r="K6" s="96"/>
      <c r="L6" s="96"/>
      <c r="M6" s="96"/>
      <c r="N6" s="96"/>
      <c r="O6" s="317"/>
      <c r="P6" s="134">
        <v>0.05</v>
      </c>
    </row>
    <row r="7" spans="1:16" x14ac:dyDescent="0.25">
      <c r="A7" s="127" t="s">
        <v>5</v>
      </c>
      <c r="B7" s="128" t="s">
        <v>56</v>
      </c>
      <c r="C7" s="129">
        <v>0.52</v>
      </c>
      <c r="D7" s="129" t="s">
        <v>161</v>
      </c>
      <c r="E7" s="129">
        <v>1.56</v>
      </c>
      <c r="F7" s="130" t="s">
        <v>274</v>
      </c>
      <c r="G7" s="131">
        <v>0.43</v>
      </c>
      <c r="H7" s="129" t="s">
        <v>278</v>
      </c>
      <c r="I7" s="132">
        <v>0.25</v>
      </c>
      <c r="J7" s="96"/>
      <c r="K7" s="96"/>
      <c r="L7" s="96"/>
      <c r="M7" s="96"/>
      <c r="N7" s="96"/>
      <c r="O7" s="317"/>
      <c r="P7" s="134">
        <v>0.1</v>
      </c>
    </row>
    <row r="8" spans="1:16" ht="15.75" thickBot="1" x14ac:dyDescent="0.3">
      <c r="A8" s="127" t="s">
        <v>164</v>
      </c>
      <c r="B8" s="128" t="s">
        <v>57</v>
      </c>
      <c r="C8" s="129">
        <v>0.36</v>
      </c>
      <c r="D8" s="129" t="s">
        <v>161</v>
      </c>
      <c r="E8" s="129">
        <v>1.3</v>
      </c>
      <c r="F8" s="130" t="s">
        <v>274</v>
      </c>
      <c r="G8" s="131">
        <v>0.55000000000000004</v>
      </c>
      <c r="H8" s="129" t="s">
        <v>153</v>
      </c>
      <c r="I8" s="132">
        <v>0.43</v>
      </c>
      <c r="J8" s="96"/>
      <c r="K8" s="96"/>
      <c r="L8" s="96"/>
      <c r="M8" s="96"/>
      <c r="N8" s="96"/>
      <c r="O8" s="316"/>
      <c r="P8" s="133">
        <v>0.15</v>
      </c>
    </row>
    <row r="9" spans="1:16" ht="15.75" thickBot="1" x14ac:dyDescent="0.3">
      <c r="A9" s="127" t="s">
        <v>6</v>
      </c>
      <c r="B9" s="128" t="s">
        <v>58</v>
      </c>
      <c r="C9" s="129">
        <v>0.61</v>
      </c>
      <c r="D9" s="129" t="s">
        <v>161</v>
      </c>
      <c r="E9" s="129">
        <v>1.56</v>
      </c>
      <c r="F9" s="130" t="s">
        <v>274</v>
      </c>
      <c r="G9" s="131">
        <v>0.43</v>
      </c>
      <c r="H9" s="129" t="s">
        <v>278</v>
      </c>
      <c r="I9" s="132">
        <v>0.25</v>
      </c>
      <c r="J9" s="96"/>
      <c r="K9" s="96"/>
      <c r="L9" s="96"/>
      <c r="M9" s="96"/>
      <c r="N9" s="96"/>
    </row>
    <row r="10" spans="1:16" x14ac:dyDescent="0.25">
      <c r="A10" s="127" t="s">
        <v>7</v>
      </c>
      <c r="B10" s="128" t="s">
        <v>59</v>
      </c>
      <c r="C10" s="129">
        <v>0.66</v>
      </c>
      <c r="D10" s="129" t="s">
        <v>161</v>
      </c>
      <c r="E10" s="129">
        <v>1.56</v>
      </c>
      <c r="F10" s="130" t="s">
        <v>274</v>
      </c>
      <c r="G10" s="131">
        <v>0.43</v>
      </c>
      <c r="H10" s="129" t="s">
        <v>278</v>
      </c>
      <c r="I10" s="132">
        <v>0.25</v>
      </c>
      <c r="J10" s="96"/>
      <c r="K10" s="96"/>
      <c r="L10" s="96"/>
      <c r="M10" s="96"/>
      <c r="N10" s="96"/>
      <c r="O10" s="315" t="s">
        <v>236</v>
      </c>
      <c r="P10" s="126">
        <v>0</v>
      </c>
    </row>
    <row r="11" spans="1:16" ht="15.75" thickBot="1" x14ac:dyDescent="0.3">
      <c r="A11" s="127" t="s">
        <v>8</v>
      </c>
      <c r="B11" s="128" t="s">
        <v>60</v>
      </c>
      <c r="C11" s="129">
        <v>0.47</v>
      </c>
      <c r="D11" s="129" t="s">
        <v>161</v>
      </c>
      <c r="E11" s="129">
        <v>1.56</v>
      </c>
      <c r="F11" s="130" t="s">
        <v>274</v>
      </c>
      <c r="G11" s="131">
        <v>0.43</v>
      </c>
      <c r="H11" s="129" t="s">
        <v>278</v>
      </c>
      <c r="I11" s="132">
        <v>0.25</v>
      </c>
      <c r="J11" s="96"/>
      <c r="K11" s="96"/>
      <c r="L11" s="96"/>
      <c r="M11" s="96"/>
      <c r="N11" s="96"/>
      <c r="O11" s="316"/>
      <c r="P11" s="133">
        <v>0.1</v>
      </c>
    </row>
    <row r="12" spans="1:16" x14ac:dyDescent="0.25">
      <c r="A12" s="127" t="s">
        <v>9</v>
      </c>
      <c r="B12" s="128" t="s">
        <v>61</v>
      </c>
      <c r="C12" s="129">
        <v>0.67</v>
      </c>
      <c r="D12" s="129" t="s">
        <v>161</v>
      </c>
      <c r="E12" s="129">
        <v>1.56</v>
      </c>
      <c r="F12" s="130" t="s">
        <v>274</v>
      </c>
      <c r="G12" s="131">
        <v>0.43</v>
      </c>
      <c r="H12" s="129" t="s">
        <v>152</v>
      </c>
      <c r="I12" s="132">
        <v>0.25</v>
      </c>
      <c r="J12" s="96"/>
      <c r="K12" s="96"/>
      <c r="L12" s="96"/>
      <c r="M12" s="96"/>
      <c r="N12" s="96"/>
    </row>
    <row r="13" spans="1:16" x14ac:dyDescent="0.25">
      <c r="A13" s="127" t="s">
        <v>10</v>
      </c>
      <c r="B13" s="128" t="s">
        <v>62</v>
      </c>
      <c r="C13" s="129">
        <v>0.7</v>
      </c>
      <c r="D13" s="129" t="s">
        <v>161</v>
      </c>
      <c r="E13" s="129">
        <v>1.56</v>
      </c>
      <c r="F13" s="130" t="s">
        <v>274</v>
      </c>
      <c r="G13" s="131">
        <v>0.43</v>
      </c>
      <c r="H13" s="129" t="s">
        <v>152</v>
      </c>
      <c r="I13" s="132">
        <v>0.25</v>
      </c>
      <c r="J13" s="96"/>
      <c r="K13" s="96"/>
      <c r="L13" s="96"/>
      <c r="M13" s="96"/>
      <c r="N13" s="96"/>
    </row>
    <row r="14" spans="1:16" x14ac:dyDescent="0.25">
      <c r="A14" s="127" t="s">
        <v>11</v>
      </c>
      <c r="B14" s="128" t="s">
        <v>63</v>
      </c>
      <c r="C14" s="129">
        <v>0.54</v>
      </c>
      <c r="D14" s="129" t="s">
        <v>161</v>
      </c>
      <c r="E14" s="129">
        <v>1.56</v>
      </c>
      <c r="F14" s="130" t="s">
        <v>274</v>
      </c>
      <c r="G14" s="131">
        <v>0.43</v>
      </c>
      <c r="H14" s="129" t="s">
        <v>152</v>
      </c>
      <c r="I14" s="132">
        <v>0.25</v>
      </c>
      <c r="J14" s="96"/>
      <c r="K14" s="96"/>
      <c r="L14" s="96"/>
      <c r="M14" s="96"/>
      <c r="N14" s="96"/>
    </row>
    <row r="15" spans="1:16" x14ac:dyDescent="0.25">
      <c r="A15" s="127" t="s">
        <v>12</v>
      </c>
      <c r="B15" s="128" t="s">
        <v>64</v>
      </c>
      <c r="C15" s="129">
        <v>0.65</v>
      </c>
      <c r="D15" s="129" t="s">
        <v>161</v>
      </c>
      <c r="E15" s="129">
        <v>1.56</v>
      </c>
      <c r="F15" s="130" t="s">
        <v>274</v>
      </c>
      <c r="G15" s="131">
        <v>0.43</v>
      </c>
      <c r="H15" s="129" t="s">
        <v>152</v>
      </c>
      <c r="I15" s="132">
        <v>0.25</v>
      </c>
      <c r="J15" s="96"/>
      <c r="K15" s="96"/>
      <c r="L15" s="96"/>
      <c r="M15" s="96"/>
      <c r="N15" s="96"/>
    </row>
    <row r="16" spans="1:16" x14ac:dyDescent="0.25">
      <c r="A16" s="127" t="s">
        <v>13</v>
      </c>
      <c r="B16" s="128" t="s">
        <v>65</v>
      </c>
      <c r="C16" s="129">
        <v>0.56000000000000005</v>
      </c>
      <c r="D16" s="129" t="s">
        <v>161</v>
      </c>
      <c r="E16" s="129">
        <v>1.56</v>
      </c>
      <c r="F16" s="130" t="s">
        <v>274</v>
      </c>
      <c r="G16" s="131">
        <v>0.43</v>
      </c>
      <c r="H16" s="129" t="s">
        <v>152</v>
      </c>
      <c r="I16" s="132">
        <v>0.25</v>
      </c>
      <c r="J16" s="96"/>
      <c r="K16" s="96"/>
      <c r="L16" s="96"/>
      <c r="M16" s="96"/>
      <c r="N16" s="96"/>
    </row>
    <row r="17" spans="1:14" x14ac:dyDescent="0.25">
      <c r="A17" s="127" t="s">
        <v>14</v>
      </c>
      <c r="B17" s="128" t="s">
        <v>66</v>
      </c>
      <c r="C17" s="129">
        <v>0.57999999999999996</v>
      </c>
      <c r="D17" s="129" t="s">
        <v>161</v>
      </c>
      <c r="E17" s="129">
        <v>1.56</v>
      </c>
      <c r="F17" s="130" t="s">
        <v>274</v>
      </c>
      <c r="G17" s="131">
        <v>0.43</v>
      </c>
      <c r="H17" s="129" t="s">
        <v>152</v>
      </c>
      <c r="I17" s="132">
        <v>0.25</v>
      </c>
      <c r="J17" s="96"/>
      <c r="K17" s="96"/>
      <c r="L17" s="96"/>
      <c r="M17" s="96"/>
      <c r="N17" s="96"/>
    </row>
    <row r="18" spans="1:14" x14ac:dyDescent="0.25">
      <c r="A18" s="127" t="s">
        <v>15</v>
      </c>
      <c r="B18" s="128" t="s">
        <v>67</v>
      </c>
      <c r="C18" s="129">
        <v>0.64</v>
      </c>
      <c r="D18" s="129" t="s">
        <v>161</v>
      </c>
      <c r="E18" s="129">
        <v>1.56</v>
      </c>
      <c r="F18" s="130" t="s">
        <v>274</v>
      </c>
      <c r="G18" s="131">
        <v>0.43</v>
      </c>
      <c r="H18" s="129" t="s">
        <v>152</v>
      </c>
      <c r="I18" s="132">
        <v>0.25</v>
      </c>
      <c r="J18" s="96"/>
      <c r="K18" s="96"/>
      <c r="L18" s="96"/>
      <c r="M18" s="96"/>
      <c r="N18" s="96"/>
    </row>
    <row r="19" spans="1:14" x14ac:dyDescent="0.25">
      <c r="A19" s="127" t="s">
        <v>16</v>
      </c>
      <c r="B19" s="128" t="s">
        <v>68</v>
      </c>
      <c r="C19" s="129">
        <v>0.73</v>
      </c>
      <c r="D19" s="129" t="s">
        <v>161</v>
      </c>
      <c r="E19" s="129">
        <v>1.56</v>
      </c>
      <c r="F19" s="130" t="s">
        <v>274</v>
      </c>
      <c r="G19" s="131">
        <v>0.43</v>
      </c>
      <c r="H19" s="129" t="s">
        <v>152</v>
      </c>
      <c r="I19" s="132">
        <v>0.25</v>
      </c>
      <c r="J19" s="96"/>
      <c r="K19" s="96"/>
      <c r="L19" s="96"/>
      <c r="M19" s="96"/>
      <c r="N19" s="96"/>
    </row>
    <row r="20" spans="1:14" x14ac:dyDescent="0.25">
      <c r="A20" s="127" t="s">
        <v>52</v>
      </c>
      <c r="B20" s="128" t="s">
        <v>69</v>
      </c>
      <c r="C20" s="129">
        <v>0.69</v>
      </c>
      <c r="D20" s="129" t="s">
        <v>131</v>
      </c>
      <c r="E20" s="129">
        <v>1.56</v>
      </c>
      <c r="F20" s="130" t="s">
        <v>274</v>
      </c>
      <c r="G20" s="131">
        <v>0.43</v>
      </c>
      <c r="H20" s="129" t="s">
        <v>282</v>
      </c>
      <c r="I20" s="132">
        <v>0.25</v>
      </c>
      <c r="J20" s="96"/>
      <c r="K20" s="96"/>
      <c r="L20" s="96"/>
      <c r="M20" s="96"/>
      <c r="N20" s="96"/>
    </row>
    <row r="21" spans="1:14" x14ac:dyDescent="0.25">
      <c r="A21" s="127" t="s">
        <v>154</v>
      </c>
      <c r="B21" s="128" t="s">
        <v>155</v>
      </c>
      <c r="C21" s="129">
        <v>0.36</v>
      </c>
      <c r="D21" s="129" t="s">
        <v>161</v>
      </c>
      <c r="E21" s="129">
        <v>1.3</v>
      </c>
      <c r="F21" s="130" t="s">
        <v>274</v>
      </c>
      <c r="G21" s="131">
        <v>0.55000000000000004</v>
      </c>
      <c r="H21" s="129" t="s">
        <v>153</v>
      </c>
      <c r="I21" s="132">
        <v>0.43</v>
      </c>
      <c r="J21" s="96"/>
      <c r="K21" s="96"/>
      <c r="L21" s="96"/>
      <c r="M21" s="96"/>
      <c r="N21" s="96"/>
    </row>
    <row r="22" spans="1:14" x14ac:dyDescent="0.25">
      <c r="A22" s="127" t="s">
        <v>17</v>
      </c>
      <c r="B22" s="128" t="s">
        <v>70</v>
      </c>
      <c r="C22" s="129">
        <v>0.4</v>
      </c>
      <c r="D22" s="129" t="s">
        <v>161</v>
      </c>
      <c r="E22" s="129">
        <v>1.3</v>
      </c>
      <c r="F22" s="130" t="s">
        <v>274</v>
      </c>
      <c r="G22" s="131">
        <v>0.55000000000000004</v>
      </c>
      <c r="H22" s="129" t="s">
        <v>153</v>
      </c>
      <c r="I22" s="132">
        <v>0.43</v>
      </c>
      <c r="J22" s="96"/>
      <c r="K22" s="96"/>
      <c r="L22" s="96"/>
      <c r="M22" s="96"/>
      <c r="N22" s="96"/>
    </row>
    <row r="23" spans="1:14" x14ac:dyDescent="0.25">
      <c r="A23" s="127" t="s">
        <v>18</v>
      </c>
      <c r="B23" s="128" t="s">
        <v>71</v>
      </c>
      <c r="C23" s="129">
        <v>0.43</v>
      </c>
      <c r="D23" s="129" t="s">
        <v>161</v>
      </c>
      <c r="E23" s="129">
        <v>1.3</v>
      </c>
      <c r="F23" s="130" t="s">
        <v>274</v>
      </c>
      <c r="G23" s="131">
        <v>0.55000000000000004</v>
      </c>
      <c r="H23" s="129" t="s">
        <v>153</v>
      </c>
      <c r="I23" s="132">
        <v>0.43</v>
      </c>
      <c r="J23" s="96"/>
      <c r="K23" s="96"/>
      <c r="L23" s="96"/>
      <c r="M23" s="96"/>
      <c r="N23" s="96"/>
    </row>
    <row r="24" spans="1:14" x14ac:dyDescent="0.25">
      <c r="A24" s="127" t="s">
        <v>19</v>
      </c>
      <c r="B24" s="128" t="s">
        <v>72</v>
      </c>
      <c r="C24" s="129">
        <v>0.37</v>
      </c>
      <c r="D24" s="129" t="s">
        <v>161</v>
      </c>
      <c r="E24" s="129">
        <v>1.3</v>
      </c>
      <c r="F24" s="130" t="s">
        <v>274</v>
      </c>
      <c r="G24" s="131">
        <v>0.55000000000000004</v>
      </c>
      <c r="H24" s="129" t="s">
        <v>152</v>
      </c>
      <c r="I24" s="132">
        <v>0.43</v>
      </c>
      <c r="J24" s="96"/>
      <c r="K24" s="96"/>
      <c r="L24" s="96"/>
      <c r="M24" s="96"/>
      <c r="N24" s="96"/>
    </row>
    <row r="25" spans="1:14" x14ac:dyDescent="0.25">
      <c r="A25" s="127" t="s">
        <v>20</v>
      </c>
      <c r="B25" s="128" t="s">
        <v>73</v>
      </c>
      <c r="C25" s="129">
        <v>0.36</v>
      </c>
      <c r="D25" s="129" t="s">
        <v>161</v>
      </c>
      <c r="E25" s="129">
        <v>1.3</v>
      </c>
      <c r="F25" s="130" t="s">
        <v>274</v>
      </c>
      <c r="G25" s="131">
        <v>0.55000000000000004</v>
      </c>
      <c r="H25" s="129" t="s">
        <v>152</v>
      </c>
      <c r="I25" s="132">
        <v>0.43</v>
      </c>
      <c r="J25" s="96"/>
      <c r="K25" s="96"/>
      <c r="L25" s="96"/>
      <c r="M25" s="96"/>
      <c r="N25" s="96"/>
    </row>
    <row r="26" spans="1:14" x14ac:dyDescent="0.25">
      <c r="A26" s="127" t="s">
        <v>21</v>
      </c>
      <c r="B26" s="128" t="s">
        <v>74</v>
      </c>
      <c r="C26" s="129">
        <v>0.56000000000000005</v>
      </c>
      <c r="D26" s="129" t="s">
        <v>161</v>
      </c>
      <c r="E26" s="129">
        <v>1.56</v>
      </c>
      <c r="F26" s="130" t="s">
        <v>274</v>
      </c>
      <c r="G26" s="131">
        <v>0.53</v>
      </c>
      <c r="H26" s="129" t="s">
        <v>275</v>
      </c>
      <c r="I26" s="132">
        <v>0.25</v>
      </c>
      <c r="J26" s="96"/>
      <c r="K26" s="96"/>
      <c r="L26" s="96"/>
      <c r="M26" s="96"/>
      <c r="N26" s="96"/>
    </row>
    <row r="27" spans="1:14" x14ac:dyDescent="0.25">
      <c r="A27" s="127" t="s">
        <v>22</v>
      </c>
      <c r="B27" s="128" t="s">
        <v>75</v>
      </c>
      <c r="C27" s="129">
        <v>0.51</v>
      </c>
      <c r="D27" s="129" t="s">
        <v>161</v>
      </c>
      <c r="E27" s="129">
        <v>1.56</v>
      </c>
      <c r="F27" s="130" t="s">
        <v>274</v>
      </c>
      <c r="G27" s="131">
        <v>0.53</v>
      </c>
      <c r="H27" s="129" t="s">
        <v>275</v>
      </c>
      <c r="I27" s="132">
        <v>0.25</v>
      </c>
      <c r="J27" s="96"/>
      <c r="K27" s="96"/>
      <c r="L27" s="96"/>
      <c r="M27" s="96"/>
      <c r="N27" s="96"/>
    </row>
    <row r="28" spans="1:14" x14ac:dyDescent="0.25">
      <c r="A28" s="127" t="s">
        <v>23</v>
      </c>
      <c r="B28" s="128" t="s">
        <v>76</v>
      </c>
      <c r="C28" s="129">
        <v>0.51</v>
      </c>
      <c r="D28" s="129" t="s">
        <v>161</v>
      </c>
      <c r="E28" s="129">
        <v>1.56</v>
      </c>
      <c r="F28" s="130" t="s">
        <v>274</v>
      </c>
      <c r="G28" s="131">
        <v>0.53</v>
      </c>
      <c r="H28" s="129" t="s">
        <v>275</v>
      </c>
      <c r="I28" s="132">
        <v>0.25</v>
      </c>
      <c r="J28" s="96"/>
      <c r="K28" s="96"/>
      <c r="L28" s="96"/>
      <c r="M28" s="96"/>
      <c r="N28" s="96"/>
    </row>
    <row r="29" spans="1:14" x14ac:dyDescent="0.25">
      <c r="A29" s="127" t="s">
        <v>24</v>
      </c>
      <c r="B29" s="128" t="s">
        <v>24</v>
      </c>
      <c r="C29" s="129">
        <v>0.56000000000000005</v>
      </c>
      <c r="D29" s="129" t="s">
        <v>161</v>
      </c>
      <c r="E29" s="129">
        <v>1.56</v>
      </c>
      <c r="F29" s="130" t="s">
        <v>274</v>
      </c>
      <c r="G29" s="131">
        <v>0.53</v>
      </c>
      <c r="H29" s="129" t="s">
        <v>275</v>
      </c>
      <c r="I29" s="132">
        <v>0.25</v>
      </c>
      <c r="J29" s="96"/>
      <c r="K29" s="96"/>
      <c r="L29" s="96"/>
      <c r="M29" s="96"/>
      <c r="N29" s="96"/>
    </row>
    <row r="30" spans="1:14" x14ac:dyDescent="0.25">
      <c r="A30" s="127" t="s">
        <v>25</v>
      </c>
      <c r="B30" s="128" t="s">
        <v>77</v>
      </c>
      <c r="C30" s="129">
        <v>0.55000000000000004</v>
      </c>
      <c r="D30" s="129" t="s">
        <v>161</v>
      </c>
      <c r="E30" s="129">
        <v>1.56</v>
      </c>
      <c r="F30" s="130" t="s">
        <v>274</v>
      </c>
      <c r="G30" s="131">
        <v>0.53</v>
      </c>
      <c r="H30" s="129" t="s">
        <v>152</v>
      </c>
      <c r="I30" s="132">
        <v>0.25</v>
      </c>
      <c r="J30" s="96"/>
      <c r="K30" s="96"/>
      <c r="L30" s="96"/>
      <c r="M30" s="96"/>
      <c r="N30" s="96"/>
    </row>
    <row r="31" spans="1:14" x14ac:dyDescent="0.25">
      <c r="A31" s="127" t="s">
        <v>26</v>
      </c>
      <c r="B31" s="128" t="s">
        <v>78</v>
      </c>
      <c r="C31" s="129">
        <v>0.56000000000000005</v>
      </c>
      <c r="D31" s="129" t="s">
        <v>161</v>
      </c>
      <c r="E31" s="129">
        <v>1.56</v>
      </c>
      <c r="F31" s="130" t="s">
        <v>274</v>
      </c>
      <c r="G31" s="131">
        <v>0.43</v>
      </c>
      <c r="H31" s="129" t="s">
        <v>278</v>
      </c>
      <c r="I31" s="132">
        <v>0.25</v>
      </c>
      <c r="J31" s="96"/>
      <c r="K31" s="96"/>
      <c r="L31" s="96"/>
      <c r="M31" s="96"/>
      <c r="N31" s="96"/>
    </row>
    <row r="32" spans="1:14" x14ac:dyDescent="0.25">
      <c r="A32" s="127" t="s">
        <v>27</v>
      </c>
      <c r="B32" s="128" t="s">
        <v>79</v>
      </c>
      <c r="C32" s="129">
        <v>0.48</v>
      </c>
      <c r="D32" s="129" t="s">
        <v>161</v>
      </c>
      <c r="E32" s="129">
        <v>1.3</v>
      </c>
      <c r="F32" s="130" t="s">
        <v>274</v>
      </c>
      <c r="G32" s="131">
        <v>0.6</v>
      </c>
      <c r="H32" s="129" t="s">
        <v>281</v>
      </c>
      <c r="I32" s="132">
        <v>0.43</v>
      </c>
      <c r="J32" s="96"/>
      <c r="K32" s="96"/>
      <c r="L32" s="96"/>
      <c r="M32" s="96"/>
      <c r="N32" s="96"/>
    </row>
    <row r="33" spans="1:14" x14ac:dyDescent="0.25">
      <c r="A33" s="127" t="s">
        <v>28</v>
      </c>
      <c r="B33" s="128" t="s">
        <v>80</v>
      </c>
      <c r="C33" s="129">
        <v>0.42</v>
      </c>
      <c r="D33" s="129" t="s">
        <v>161</v>
      </c>
      <c r="E33" s="129">
        <v>1.3</v>
      </c>
      <c r="F33" s="130" t="s">
        <v>274</v>
      </c>
      <c r="G33" s="131">
        <v>0.6</v>
      </c>
      <c r="H33" s="129" t="s">
        <v>281</v>
      </c>
      <c r="I33" s="132">
        <v>0.43</v>
      </c>
      <c r="J33" s="96"/>
      <c r="K33" s="96"/>
      <c r="L33" s="96"/>
      <c r="M33" s="96"/>
      <c r="N33" s="96"/>
    </row>
    <row r="34" spans="1:14" x14ac:dyDescent="0.25">
      <c r="A34" s="127" t="s">
        <v>81</v>
      </c>
      <c r="B34" s="128" t="s">
        <v>163</v>
      </c>
      <c r="C34" s="129">
        <v>0.42</v>
      </c>
      <c r="D34" s="129" t="s">
        <v>103</v>
      </c>
      <c r="E34" s="129">
        <v>1.3</v>
      </c>
      <c r="F34" s="130" t="s">
        <v>274</v>
      </c>
      <c r="G34" s="131">
        <v>0.6</v>
      </c>
      <c r="H34" s="128" t="s">
        <v>280</v>
      </c>
      <c r="I34" s="132">
        <v>0.43</v>
      </c>
      <c r="J34" s="96"/>
      <c r="K34" s="96"/>
      <c r="L34" s="96"/>
      <c r="M34" s="96"/>
      <c r="N34" s="96"/>
    </row>
    <row r="35" spans="1:14" x14ac:dyDescent="0.25">
      <c r="A35" s="127" t="s">
        <v>29</v>
      </c>
      <c r="B35" s="128" t="s">
        <v>82</v>
      </c>
      <c r="C35" s="129">
        <v>0.5</v>
      </c>
      <c r="D35" s="129" t="s">
        <v>161</v>
      </c>
      <c r="E35" s="129">
        <v>1.56</v>
      </c>
      <c r="F35" s="130" t="s">
        <v>274</v>
      </c>
      <c r="G35" s="131">
        <v>0.43</v>
      </c>
      <c r="H35" s="129" t="s">
        <v>278</v>
      </c>
      <c r="I35" s="132">
        <v>0.25</v>
      </c>
      <c r="J35" s="96"/>
      <c r="K35" s="96"/>
      <c r="L35" s="96"/>
      <c r="M35" s="96"/>
      <c r="N35" s="96"/>
    </row>
    <row r="36" spans="1:14" x14ac:dyDescent="0.25">
      <c r="A36" s="127" t="s">
        <v>102</v>
      </c>
      <c r="B36" s="128" t="s">
        <v>101</v>
      </c>
      <c r="C36" s="129">
        <v>0.55000000000000004</v>
      </c>
      <c r="D36" s="129" t="s">
        <v>161</v>
      </c>
      <c r="E36" s="129">
        <v>1.56</v>
      </c>
      <c r="F36" s="130" t="s">
        <v>274</v>
      </c>
      <c r="G36" s="131">
        <v>0.53</v>
      </c>
      <c r="H36" s="129" t="s">
        <v>275</v>
      </c>
      <c r="I36" s="132">
        <v>0.25</v>
      </c>
      <c r="J36" s="96"/>
      <c r="K36" s="96"/>
      <c r="L36" s="96"/>
      <c r="M36" s="96"/>
      <c r="N36" s="96"/>
    </row>
    <row r="37" spans="1:14" x14ac:dyDescent="0.25">
      <c r="A37" s="127" t="s">
        <v>30</v>
      </c>
      <c r="B37" s="128" t="s">
        <v>104</v>
      </c>
      <c r="C37" s="129">
        <v>0.52</v>
      </c>
      <c r="D37" s="129" t="s">
        <v>161</v>
      </c>
      <c r="E37" s="129">
        <v>1.56</v>
      </c>
      <c r="F37" s="130" t="s">
        <v>274</v>
      </c>
      <c r="G37" s="131">
        <v>0.53</v>
      </c>
      <c r="H37" s="129" t="s">
        <v>275</v>
      </c>
      <c r="I37" s="132">
        <v>0.25</v>
      </c>
      <c r="J37" s="96"/>
      <c r="K37" s="96"/>
      <c r="L37" s="96"/>
      <c r="M37" s="96"/>
      <c r="N37" s="96"/>
    </row>
    <row r="38" spans="1:14" x14ac:dyDescent="0.25">
      <c r="A38" s="127" t="s">
        <v>31</v>
      </c>
      <c r="B38" s="128" t="s">
        <v>105</v>
      </c>
      <c r="C38" s="129">
        <v>0.52</v>
      </c>
      <c r="D38" s="129" t="s">
        <v>161</v>
      </c>
      <c r="E38" s="129">
        <v>1.56</v>
      </c>
      <c r="F38" s="130" t="s">
        <v>274</v>
      </c>
      <c r="G38" s="131">
        <v>0.43</v>
      </c>
      <c r="H38" s="129" t="s">
        <v>278</v>
      </c>
      <c r="I38" s="132">
        <v>0.25</v>
      </c>
      <c r="J38" s="96"/>
      <c r="K38" s="96"/>
      <c r="L38" s="96"/>
      <c r="M38" s="96"/>
      <c r="N38" s="96"/>
    </row>
    <row r="39" spans="1:14" x14ac:dyDescent="0.25">
      <c r="A39" s="127" t="s">
        <v>107</v>
      </c>
      <c r="B39" s="128" t="s">
        <v>132</v>
      </c>
      <c r="C39" s="129">
        <v>0.313</v>
      </c>
      <c r="D39" s="129" t="s">
        <v>130</v>
      </c>
      <c r="E39" s="129">
        <v>1.56</v>
      </c>
      <c r="F39" s="130" t="s">
        <v>274</v>
      </c>
      <c r="G39" s="131">
        <v>0.6</v>
      </c>
      <c r="H39" s="129" t="s">
        <v>283</v>
      </c>
      <c r="I39" s="132">
        <v>1.03</v>
      </c>
      <c r="J39" s="96"/>
      <c r="K39" s="96"/>
      <c r="L39" s="96"/>
      <c r="M39" s="96"/>
      <c r="N39" s="96"/>
    </row>
    <row r="40" spans="1:14" x14ac:dyDescent="0.25">
      <c r="A40" s="127" t="s">
        <v>108</v>
      </c>
      <c r="B40" s="128" t="s">
        <v>132</v>
      </c>
      <c r="C40" s="129">
        <v>0.35199999999999998</v>
      </c>
      <c r="D40" s="129" t="s">
        <v>130</v>
      </c>
      <c r="E40" s="129">
        <v>1.56</v>
      </c>
      <c r="F40" s="130" t="s">
        <v>274</v>
      </c>
      <c r="G40" s="131">
        <v>0.6</v>
      </c>
      <c r="H40" s="129" t="s">
        <v>283</v>
      </c>
      <c r="I40" s="132">
        <v>1.03</v>
      </c>
      <c r="J40" s="96"/>
      <c r="K40" s="96"/>
      <c r="L40" s="96"/>
      <c r="M40" s="96"/>
      <c r="N40" s="96"/>
    </row>
    <row r="41" spans="1:14" x14ac:dyDescent="0.25">
      <c r="A41" s="127" t="s">
        <v>121</v>
      </c>
      <c r="B41" s="128" t="s">
        <v>132</v>
      </c>
      <c r="C41" s="129">
        <v>0.32200000000000001</v>
      </c>
      <c r="D41" s="129" t="s">
        <v>130</v>
      </c>
      <c r="E41" s="129">
        <v>1.56</v>
      </c>
      <c r="F41" s="130" t="s">
        <v>274</v>
      </c>
      <c r="G41" s="131">
        <v>0.6</v>
      </c>
      <c r="H41" s="129" t="s">
        <v>283</v>
      </c>
      <c r="I41" s="132">
        <v>1.03</v>
      </c>
      <c r="J41" s="96"/>
      <c r="K41" s="96"/>
      <c r="L41" s="96"/>
      <c r="M41" s="96"/>
      <c r="N41" s="96"/>
    </row>
    <row r="42" spans="1:14" x14ac:dyDescent="0.25">
      <c r="A42" s="127" t="s">
        <v>122</v>
      </c>
      <c r="B42" s="128" t="s">
        <v>132</v>
      </c>
      <c r="C42" s="129">
        <v>0.311</v>
      </c>
      <c r="D42" s="129" t="s">
        <v>130</v>
      </c>
      <c r="E42" s="129">
        <v>1.56</v>
      </c>
      <c r="F42" s="130" t="s">
        <v>274</v>
      </c>
      <c r="G42" s="131">
        <v>0.6</v>
      </c>
      <c r="H42" s="129" t="s">
        <v>283</v>
      </c>
      <c r="I42" s="132">
        <v>1.03</v>
      </c>
      <c r="J42" s="96"/>
      <c r="K42" s="96"/>
      <c r="L42" s="96"/>
      <c r="M42" s="96"/>
      <c r="N42" s="96"/>
    </row>
    <row r="43" spans="1:14" x14ac:dyDescent="0.25">
      <c r="A43" s="127" t="s">
        <v>109</v>
      </c>
      <c r="B43" s="128" t="s">
        <v>132</v>
      </c>
      <c r="C43" s="129">
        <v>0.33900000000000002</v>
      </c>
      <c r="D43" s="129" t="s">
        <v>130</v>
      </c>
      <c r="E43" s="129">
        <v>1.56</v>
      </c>
      <c r="F43" s="130" t="s">
        <v>274</v>
      </c>
      <c r="G43" s="131">
        <v>0.6</v>
      </c>
      <c r="H43" s="129" t="s">
        <v>283</v>
      </c>
      <c r="I43" s="132">
        <v>1.03</v>
      </c>
      <c r="J43" s="96"/>
      <c r="K43" s="96"/>
      <c r="L43" s="96"/>
      <c r="M43" s="96"/>
      <c r="N43" s="96"/>
    </row>
    <row r="44" spans="1:14" x14ac:dyDescent="0.25">
      <c r="A44" s="127" t="s">
        <v>123</v>
      </c>
      <c r="B44" s="128" t="s">
        <v>132</v>
      </c>
      <c r="C44" s="129">
        <v>0.33600000000000002</v>
      </c>
      <c r="D44" s="129" t="s">
        <v>130</v>
      </c>
      <c r="E44" s="129">
        <v>1.56</v>
      </c>
      <c r="F44" s="130" t="s">
        <v>274</v>
      </c>
      <c r="G44" s="131">
        <v>0.6</v>
      </c>
      <c r="H44" s="129" t="s">
        <v>283</v>
      </c>
      <c r="I44" s="132">
        <v>1.03</v>
      </c>
      <c r="J44" s="96"/>
      <c r="K44" s="96"/>
      <c r="L44" s="96"/>
      <c r="M44" s="96"/>
      <c r="N44" s="96"/>
    </row>
    <row r="45" spans="1:14" x14ac:dyDescent="0.25">
      <c r="A45" s="127" t="s">
        <v>110</v>
      </c>
      <c r="B45" s="128" t="s">
        <v>132</v>
      </c>
      <c r="C45" s="129">
        <v>0.32900000000000001</v>
      </c>
      <c r="D45" s="129" t="s">
        <v>130</v>
      </c>
      <c r="E45" s="129">
        <v>1.56</v>
      </c>
      <c r="F45" s="130" t="s">
        <v>274</v>
      </c>
      <c r="G45" s="131">
        <v>0.6</v>
      </c>
      <c r="H45" s="129" t="s">
        <v>283</v>
      </c>
      <c r="I45" s="132">
        <v>1.03</v>
      </c>
      <c r="J45" s="96"/>
      <c r="K45" s="96"/>
      <c r="L45" s="96"/>
      <c r="M45" s="96"/>
      <c r="N45" s="96"/>
    </row>
    <row r="46" spans="1:14" x14ac:dyDescent="0.25">
      <c r="A46" s="127" t="s">
        <v>124</v>
      </c>
      <c r="B46" s="128" t="s">
        <v>132</v>
      </c>
      <c r="C46" s="129">
        <v>0.34300000000000003</v>
      </c>
      <c r="D46" s="129" t="s">
        <v>130</v>
      </c>
      <c r="E46" s="129">
        <v>1.56</v>
      </c>
      <c r="F46" s="130" t="s">
        <v>274</v>
      </c>
      <c r="G46" s="131">
        <v>0.6</v>
      </c>
      <c r="H46" s="129" t="s">
        <v>283</v>
      </c>
      <c r="I46" s="132">
        <v>1.03</v>
      </c>
      <c r="J46" s="96"/>
      <c r="K46" s="96"/>
      <c r="L46" s="96"/>
      <c r="M46" s="96"/>
      <c r="N46" s="96"/>
    </row>
    <row r="47" spans="1:14" x14ac:dyDescent="0.25">
      <c r="A47" s="127" t="s">
        <v>125</v>
      </c>
      <c r="B47" s="128" t="s">
        <v>132</v>
      </c>
      <c r="C47" s="129">
        <v>0.32500000000000001</v>
      </c>
      <c r="D47" s="129" t="s">
        <v>130</v>
      </c>
      <c r="E47" s="129">
        <v>1.56</v>
      </c>
      <c r="F47" s="130" t="s">
        <v>274</v>
      </c>
      <c r="G47" s="131">
        <v>0.6</v>
      </c>
      <c r="H47" s="129" t="s">
        <v>283</v>
      </c>
      <c r="I47" s="132">
        <v>1.03</v>
      </c>
      <c r="J47" s="96"/>
      <c r="K47" s="96"/>
      <c r="L47" s="96"/>
      <c r="M47" s="96"/>
      <c r="N47" s="96"/>
    </row>
    <row r="48" spans="1:14" x14ac:dyDescent="0.25">
      <c r="A48" s="127" t="s">
        <v>126</v>
      </c>
      <c r="B48" s="128" t="s">
        <v>132</v>
      </c>
      <c r="C48" s="129">
        <v>0.32</v>
      </c>
      <c r="D48" s="129" t="s">
        <v>130</v>
      </c>
      <c r="E48" s="129">
        <v>1.56</v>
      </c>
      <c r="F48" s="130" t="s">
        <v>274</v>
      </c>
      <c r="G48" s="131">
        <v>0.6</v>
      </c>
      <c r="H48" s="129" t="s">
        <v>283</v>
      </c>
      <c r="I48" s="132">
        <v>1.03</v>
      </c>
      <c r="J48" s="96"/>
      <c r="K48" s="96"/>
      <c r="L48" s="96"/>
      <c r="M48" s="96"/>
      <c r="N48" s="96"/>
    </row>
    <row r="49" spans="1:14" x14ac:dyDescent="0.25">
      <c r="A49" s="127" t="s">
        <v>111</v>
      </c>
      <c r="B49" s="128" t="s">
        <v>132</v>
      </c>
      <c r="C49" s="129">
        <v>0.28199999999999997</v>
      </c>
      <c r="D49" s="129" t="s">
        <v>130</v>
      </c>
      <c r="E49" s="129">
        <v>1.56</v>
      </c>
      <c r="F49" s="130" t="s">
        <v>274</v>
      </c>
      <c r="G49" s="131">
        <v>0.6</v>
      </c>
      <c r="H49" s="129" t="s">
        <v>283</v>
      </c>
      <c r="I49" s="132">
        <v>1.03</v>
      </c>
      <c r="J49" s="96"/>
      <c r="K49" s="96"/>
      <c r="L49" s="96"/>
      <c r="M49" s="96"/>
      <c r="N49" s="96"/>
    </row>
    <row r="50" spans="1:14" x14ac:dyDescent="0.25">
      <c r="A50" s="127" t="s">
        <v>127</v>
      </c>
      <c r="B50" s="128" t="s">
        <v>132</v>
      </c>
      <c r="C50" s="129">
        <v>0.32800000000000001</v>
      </c>
      <c r="D50" s="129" t="s">
        <v>130</v>
      </c>
      <c r="E50" s="129">
        <v>1.56</v>
      </c>
      <c r="F50" s="130" t="s">
        <v>274</v>
      </c>
      <c r="G50" s="131">
        <v>0.6</v>
      </c>
      <c r="H50" s="129" t="s">
        <v>283</v>
      </c>
      <c r="I50" s="132">
        <v>1.03</v>
      </c>
      <c r="J50" s="96"/>
      <c r="K50" s="96"/>
      <c r="L50" s="96"/>
      <c r="M50" s="96"/>
      <c r="N50" s="96"/>
    </row>
    <row r="51" spans="1:14" x14ac:dyDescent="0.25">
      <c r="A51" s="127" t="s">
        <v>112</v>
      </c>
      <c r="B51" s="128" t="s">
        <v>132</v>
      </c>
      <c r="C51" s="129">
        <v>0.32600000000000001</v>
      </c>
      <c r="D51" s="129" t="s">
        <v>130</v>
      </c>
      <c r="E51" s="129">
        <v>1.56</v>
      </c>
      <c r="F51" s="130" t="s">
        <v>274</v>
      </c>
      <c r="G51" s="131">
        <v>0.6</v>
      </c>
      <c r="H51" s="129" t="s">
        <v>283</v>
      </c>
      <c r="I51" s="132">
        <v>1.03</v>
      </c>
      <c r="J51" s="96"/>
      <c r="K51" s="96"/>
      <c r="L51" s="96"/>
      <c r="M51" s="96"/>
      <c r="N51" s="96"/>
    </row>
    <row r="52" spans="1:14" x14ac:dyDescent="0.25">
      <c r="A52" s="127" t="s">
        <v>113</v>
      </c>
      <c r="B52" s="128" t="s">
        <v>132</v>
      </c>
      <c r="C52" s="129">
        <v>0.35899999999999999</v>
      </c>
      <c r="D52" s="129" t="s">
        <v>130</v>
      </c>
      <c r="E52" s="129">
        <v>1.56</v>
      </c>
      <c r="F52" s="130" t="s">
        <v>274</v>
      </c>
      <c r="G52" s="131">
        <v>0.6</v>
      </c>
      <c r="H52" s="129" t="s">
        <v>283</v>
      </c>
      <c r="I52" s="132">
        <v>1.03</v>
      </c>
      <c r="J52" s="96"/>
      <c r="K52" s="96"/>
      <c r="L52" s="96"/>
      <c r="M52" s="96"/>
      <c r="N52" s="96"/>
    </row>
    <row r="53" spans="1:14" x14ac:dyDescent="0.25">
      <c r="A53" s="127" t="s">
        <v>114</v>
      </c>
      <c r="B53" s="128" t="s">
        <v>132</v>
      </c>
      <c r="C53" s="129">
        <v>0.34599999999999997</v>
      </c>
      <c r="D53" s="129" t="s">
        <v>130</v>
      </c>
      <c r="E53" s="129">
        <v>1.56</v>
      </c>
      <c r="F53" s="130" t="s">
        <v>274</v>
      </c>
      <c r="G53" s="131">
        <v>0.6</v>
      </c>
      <c r="H53" s="129" t="s">
        <v>283</v>
      </c>
      <c r="I53" s="132">
        <v>1.03</v>
      </c>
      <c r="J53" s="96"/>
      <c r="K53" s="96"/>
      <c r="L53" s="96"/>
      <c r="M53" s="96"/>
      <c r="N53" s="96"/>
    </row>
    <row r="54" spans="1:14" x14ac:dyDescent="0.25">
      <c r="A54" s="127" t="s">
        <v>115</v>
      </c>
      <c r="B54" s="128" t="s">
        <v>132</v>
      </c>
      <c r="C54" s="129">
        <v>0.32600000000000001</v>
      </c>
      <c r="D54" s="129" t="s">
        <v>130</v>
      </c>
      <c r="E54" s="129">
        <v>1.56</v>
      </c>
      <c r="F54" s="130" t="s">
        <v>274</v>
      </c>
      <c r="G54" s="131">
        <v>0.6</v>
      </c>
      <c r="H54" s="129" t="s">
        <v>283</v>
      </c>
      <c r="I54" s="132">
        <v>1.03</v>
      </c>
      <c r="J54" s="96"/>
      <c r="K54" s="96"/>
      <c r="L54" s="96"/>
      <c r="M54" s="96"/>
      <c r="N54" s="96"/>
    </row>
    <row r="55" spans="1:14" x14ac:dyDescent="0.25">
      <c r="A55" s="127" t="s">
        <v>116</v>
      </c>
      <c r="B55" s="128" t="s">
        <v>132</v>
      </c>
      <c r="C55" s="129">
        <v>0.30499999999999999</v>
      </c>
      <c r="D55" s="129" t="s">
        <v>130</v>
      </c>
      <c r="E55" s="129">
        <v>1.56</v>
      </c>
      <c r="F55" s="130" t="s">
        <v>274</v>
      </c>
      <c r="G55" s="131">
        <v>0.6</v>
      </c>
      <c r="H55" s="129" t="s">
        <v>283</v>
      </c>
      <c r="I55" s="132">
        <v>1.03</v>
      </c>
      <c r="J55" s="96"/>
      <c r="K55" s="96"/>
      <c r="L55" s="96"/>
      <c r="M55" s="96"/>
      <c r="N55" s="96"/>
    </row>
    <row r="56" spans="1:14" x14ac:dyDescent="0.25">
      <c r="A56" s="127" t="s">
        <v>128</v>
      </c>
      <c r="B56" s="128" t="s">
        <v>132</v>
      </c>
      <c r="C56" s="129">
        <v>0.32300000000000001</v>
      </c>
      <c r="D56" s="129" t="s">
        <v>130</v>
      </c>
      <c r="E56" s="129">
        <v>1.56</v>
      </c>
      <c r="F56" s="130" t="s">
        <v>274</v>
      </c>
      <c r="G56" s="131">
        <v>0.6</v>
      </c>
      <c r="H56" s="129" t="s">
        <v>283</v>
      </c>
      <c r="I56" s="132">
        <v>1.03</v>
      </c>
      <c r="J56" s="96"/>
      <c r="K56" s="96"/>
      <c r="L56" s="96"/>
      <c r="M56" s="96"/>
      <c r="N56" s="96"/>
    </row>
    <row r="57" spans="1:14" x14ac:dyDescent="0.25">
      <c r="A57" s="127" t="s">
        <v>129</v>
      </c>
      <c r="B57" s="128" t="s">
        <v>132</v>
      </c>
      <c r="C57" s="129">
        <v>0.36699999999999999</v>
      </c>
      <c r="D57" s="129" t="s">
        <v>130</v>
      </c>
      <c r="E57" s="129">
        <v>1.56</v>
      </c>
      <c r="F57" s="130" t="s">
        <v>274</v>
      </c>
      <c r="G57" s="131">
        <v>0.6</v>
      </c>
      <c r="H57" s="129" t="s">
        <v>283</v>
      </c>
      <c r="I57" s="132">
        <v>1.03</v>
      </c>
      <c r="J57" s="96"/>
      <c r="K57" s="96"/>
      <c r="L57" s="96"/>
      <c r="M57" s="96"/>
      <c r="N57" s="96"/>
    </row>
    <row r="58" spans="1:14" x14ac:dyDescent="0.25">
      <c r="A58" s="127" t="s">
        <v>117</v>
      </c>
      <c r="B58" s="128" t="s">
        <v>132</v>
      </c>
      <c r="C58" s="129">
        <v>0.36</v>
      </c>
      <c r="D58" s="129" t="s">
        <v>130</v>
      </c>
      <c r="E58" s="129">
        <v>1.56</v>
      </c>
      <c r="F58" s="130" t="s">
        <v>274</v>
      </c>
      <c r="G58" s="131">
        <v>0.6</v>
      </c>
      <c r="H58" s="129" t="s">
        <v>283</v>
      </c>
      <c r="I58" s="132">
        <v>1.03</v>
      </c>
      <c r="J58" s="96"/>
      <c r="K58" s="96"/>
      <c r="L58" s="96"/>
      <c r="M58" s="96"/>
      <c r="N58" s="96"/>
    </row>
    <row r="59" spans="1:14" x14ac:dyDescent="0.25">
      <c r="A59" s="127" t="s">
        <v>118</v>
      </c>
      <c r="B59" s="128" t="s">
        <v>132</v>
      </c>
      <c r="C59" s="129">
        <v>0.36799999999999999</v>
      </c>
      <c r="D59" s="129" t="s">
        <v>130</v>
      </c>
      <c r="E59" s="129">
        <v>1.56</v>
      </c>
      <c r="F59" s="130" t="s">
        <v>274</v>
      </c>
      <c r="G59" s="131">
        <v>0.6</v>
      </c>
      <c r="H59" s="129" t="s">
        <v>283</v>
      </c>
      <c r="I59" s="132">
        <v>1.03</v>
      </c>
      <c r="J59" s="96"/>
      <c r="K59" s="96"/>
      <c r="L59" s="96"/>
      <c r="M59" s="96"/>
      <c r="N59" s="96"/>
    </row>
    <row r="60" spans="1:14" x14ac:dyDescent="0.25">
      <c r="A60" s="127" t="s">
        <v>119</v>
      </c>
      <c r="B60" s="128" t="s">
        <v>132</v>
      </c>
      <c r="C60" s="129">
        <v>0.30599999999999999</v>
      </c>
      <c r="D60" s="129" t="s">
        <v>130</v>
      </c>
      <c r="E60" s="129">
        <v>1.56</v>
      </c>
      <c r="F60" s="130" t="s">
        <v>274</v>
      </c>
      <c r="G60" s="131">
        <v>0.6</v>
      </c>
      <c r="H60" s="129" t="s">
        <v>283</v>
      </c>
      <c r="I60" s="132">
        <v>1.03</v>
      </c>
      <c r="J60" s="96"/>
      <c r="K60" s="96"/>
      <c r="L60" s="96"/>
      <c r="M60" s="96"/>
      <c r="N60" s="96"/>
    </row>
    <row r="61" spans="1:14" x14ac:dyDescent="0.25">
      <c r="A61" s="127" t="s">
        <v>120</v>
      </c>
      <c r="B61" s="128" t="s">
        <v>132</v>
      </c>
      <c r="C61" s="129">
        <v>0.313</v>
      </c>
      <c r="D61" s="129" t="s">
        <v>130</v>
      </c>
      <c r="E61" s="129">
        <v>1.56</v>
      </c>
      <c r="F61" s="130" t="s">
        <v>274</v>
      </c>
      <c r="G61" s="131">
        <v>0.6</v>
      </c>
      <c r="H61" s="129" t="s">
        <v>283</v>
      </c>
      <c r="I61" s="132">
        <v>1.03</v>
      </c>
      <c r="J61" s="96"/>
      <c r="K61" s="96"/>
      <c r="L61" s="96"/>
      <c r="M61" s="96"/>
      <c r="N61" s="96"/>
    </row>
    <row r="62" spans="1:14" x14ac:dyDescent="0.25">
      <c r="A62" s="127" t="s">
        <v>32</v>
      </c>
      <c r="B62" s="128" t="s">
        <v>133</v>
      </c>
      <c r="C62" s="129">
        <v>0.37</v>
      </c>
      <c r="D62" s="129" t="s">
        <v>161</v>
      </c>
      <c r="E62" s="129">
        <v>1.56</v>
      </c>
      <c r="F62" s="130" t="s">
        <v>274</v>
      </c>
      <c r="G62" s="131">
        <v>0.6</v>
      </c>
      <c r="H62" s="129" t="s">
        <v>283</v>
      </c>
      <c r="I62" s="132">
        <v>1.03</v>
      </c>
      <c r="J62" s="96"/>
      <c r="K62" s="96"/>
      <c r="L62" s="96"/>
      <c r="M62" s="96"/>
      <c r="N62" s="96"/>
    </row>
    <row r="63" spans="1:14" x14ac:dyDescent="0.25">
      <c r="A63" s="127" t="s">
        <v>90</v>
      </c>
      <c r="B63" s="128" t="s">
        <v>83</v>
      </c>
      <c r="C63" s="129">
        <v>0.45</v>
      </c>
      <c r="D63" s="129" t="s">
        <v>161</v>
      </c>
      <c r="E63" s="129">
        <v>1.3</v>
      </c>
      <c r="F63" s="130" t="s">
        <v>274</v>
      </c>
      <c r="G63" s="131">
        <v>0.45</v>
      </c>
      <c r="H63" s="129" t="s">
        <v>276</v>
      </c>
      <c r="I63" s="132">
        <v>0.43</v>
      </c>
      <c r="J63" s="96"/>
      <c r="K63" s="96"/>
      <c r="L63" s="96"/>
      <c r="M63" s="96"/>
      <c r="N63" s="96"/>
    </row>
    <row r="64" spans="1:14" x14ac:dyDescent="0.25">
      <c r="A64" s="127" t="s">
        <v>33</v>
      </c>
      <c r="B64" s="128" t="s">
        <v>134</v>
      </c>
      <c r="C64" s="129">
        <v>0.39</v>
      </c>
      <c r="D64" s="129" t="s">
        <v>161</v>
      </c>
      <c r="E64" s="129">
        <v>1.3</v>
      </c>
      <c r="F64" s="130" t="s">
        <v>274</v>
      </c>
      <c r="G64" s="131">
        <v>0.45</v>
      </c>
      <c r="H64" s="129" t="s">
        <v>276</v>
      </c>
      <c r="I64" s="132">
        <v>0.43</v>
      </c>
      <c r="J64" s="96"/>
      <c r="K64" s="96"/>
      <c r="L64" s="96"/>
      <c r="M64" s="96"/>
      <c r="N64" s="96"/>
    </row>
    <row r="65" spans="1:14" x14ac:dyDescent="0.25">
      <c r="A65" s="127" t="s">
        <v>34</v>
      </c>
      <c r="B65" s="128" t="s">
        <v>135</v>
      </c>
      <c r="C65" s="129">
        <v>0.44</v>
      </c>
      <c r="D65" s="129" t="s">
        <v>161</v>
      </c>
      <c r="E65" s="129">
        <v>1.3</v>
      </c>
      <c r="F65" s="130" t="s">
        <v>274</v>
      </c>
      <c r="G65" s="131">
        <v>0.45</v>
      </c>
      <c r="H65" s="129" t="s">
        <v>276</v>
      </c>
      <c r="I65" s="132">
        <v>0.43</v>
      </c>
      <c r="J65" s="96"/>
      <c r="K65" s="96"/>
      <c r="L65" s="96"/>
      <c r="M65" s="96"/>
      <c r="N65" s="96"/>
    </row>
    <row r="66" spans="1:14" x14ac:dyDescent="0.25">
      <c r="A66" s="127" t="s">
        <v>35</v>
      </c>
      <c r="B66" s="128" t="s">
        <v>84</v>
      </c>
      <c r="C66" s="129">
        <v>0.46</v>
      </c>
      <c r="D66" s="129" t="s">
        <v>161</v>
      </c>
      <c r="E66" s="129">
        <v>1.3</v>
      </c>
      <c r="F66" s="130" t="s">
        <v>274</v>
      </c>
      <c r="G66" s="131">
        <v>0.45</v>
      </c>
      <c r="H66" s="129" t="s">
        <v>276</v>
      </c>
      <c r="I66" s="132">
        <v>0.43</v>
      </c>
      <c r="J66" s="96"/>
      <c r="K66" s="96"/>
      <c r="L66" s="96"/>
      <c r="M66" s="96"/>
      <c r="N66" s="96"/>
    </row>
    <row r="67" spans="1:14" x14ac:dyDescent="0.25">
      <c r="A67" s="127" t="s">
        <v>36</v>
      </c>
      <c r="B67" s="128" t="s">
        <v>85</v>
      </c>
      <c r="C67" s="129">
        <v>0.46</v>
      </c>
      <c r="D67" s="129" t="s">
        <v>161</v>
      </c>
      <c r="E67" s="129">
        <v>1.3</v>
      </c>
      <c r="F67" s="130" t="s">
        <v>274</v>
      </c>
      <c r="G67" s="131">
        <v>0.45</v>
      </c>
      <c r="H67" s="129" t="s">
        <v>152</v>
      </c>
      <c r="I67" s="132">
        <v>0.59</v>
      </c>
      <c r="J67" s="96"/>
      <c r="K67" s="96"/>
      <c r="L67" s="96"/>
      <c r="M67" s="96"/>
      <c r="N67" s="96"/>
    </row>
    <row r="68" spans="1:14" x14ac:dyDescent="0.25">
      <c r="A68" s="127" t="s">
        <v>37</v>
      </c>
      <c r="B68" s="128" t="s">
        <v>136</v>
      </c>
      <c r="C68" s="129">
        <v>0.44</v>
      </c>
      <c r="D68" s="129" t="s">
        <v>161</v>
      </c>
      <c r="E68" s="129">
        <v>1.3</v>
      </c>
      <c r="F68" s="130" t="s">
        <v>274</v>
      </c>
      <c r="G68" s="131">
        <v>0.45</v>
      </c>
      <c r="H68" s="129" t="s">
        <v>276</v>
      </c>
      <c r="I68" s="132">
        <v>0.43</v>
      </c>
      <c r="J68" s="96"/>
      <c r="K68" s="96"/>
      <c r="L68" s="96"/>
      <c r="M68" s="96"/>
      <c r="N68" s="96"/>
    </row>
    <row r="69" spans="1:14" x14ac:dyDescent="0.25">
      <c r="A69" s="127" t="s">
        <v>38</v>
      </c>
      <c r="B69" s="128" t="s">
        <v>86</v>
      </c>
      <c r="C69" s="129">
        <v>0.46</v>
      </c>
      <c r="D69" s="129" t="s">
        <v>161</v>
      </c>
      <c r="E69" s="129">
        <v>1.3</v>
      </c>
      <c r="F69" s="130" t="s">
        <v>274</v>
      </c>
      <c r="G69" s="131">
        <v>0.45</v>
      </c>
      <c r="H69" s="129" t="s">
        <v>276</v>
      </c>
      <c r="I69" s="132">
        <v>0.43</v>
      </c>
      <c r="J69" s="96"/>
      <c r="K69" s="96"/>
      <c r="L69" s="96"/>
      <c r="M69" s="96"/>
      <c r="N69" s="96"/>
    </row>
    <row r="70" spans="1:14" x14ac:dyDescent="0.25">
      <c r="A70" s="127" t="s">
        <v>39</v>
      </c>
      <c r="B70" s="128" t="s">
        <v>137</v>
      </c>
      <c r="C70" s="129">
        <v>0.48</v>
      </c>
      <c r="D70" s="129" t="s">
        <v>161</v>
      </c>
      <c r="E70" s="129">
        <v>2.4</v>
      </c>
      <c r="F70" s="129" t="s">
        <v>284</v>
      </c>
      <c r="G70" s="131">
        <v>0.45</v>
      </c>
      <c r="H70" s="129" t="s">
        <v>276</v>
      </c>
      <c r="I70" s="132">
        <v>0.43</v>
      </c>
      <c r="J70" s="96"/>
      <c r="K70" s="96"/>
      <c r="L70" s="96"/>
      <c r="M70" s="96"/>
      <c r="N70" s="96"/>
    </row>
    <row r="71" spans="1:14" x14ac:dyDescent="0.25">
      <c r="A71" s="127" t="s">
        <v>40</v>
      </c>
      <c r="B71" s="128" t="s">
        <v>87</v>
      </c>
      <c r="C71" s="129">
        <v>0.46</v>
      </c>
      <c r="D71" s="129" t="s">
        <v>150</v>
      </c>
      <c r="E71" s="129">
        <v>1.3</v>
      </c>
      <c r="F71" s="130" t="s">
        <v>274</v>
      </c>
      <c r="G71" s="131">
        <v>0.45</v>
      </c>
      <c r="H71" s="129" t="s">
        <v>276</v>
      </c>
      <c r="I71" s="132">
        <v>0.43</v>
      </c>
      <c r="J71" s="96"/>
      <c r="K71" s="96"/>
      <c r="L71" s="96"/>
      <c r="M71" s="96"/>
      <c r="N71" s="96"/>
    </row>
    <row r="72" spans="1:14" x14ac:dyDescent="0.25">
      <c r="A72" s="127" t="s">
        <v>41</v>
      </c>
      <c r="B72" s="128" t="s">
        <v>88</v>
      </c>
      <c r="C72" s="129">
        <v>0.44</v>
      </c>
      <c r="D72" s="129" t="s">
        <v>161</v>
      </c>
      <c r="E72" s="129">
        <v>1.3</v>
      </c>
      <c r="F72" s="130" t="s">
        <v>274</v>
      </c>
      <c r="G72" s="131">
        <v>0.45</v>
      </c>
      <c r="H72" s="129" t="s">
        <v>276</v>
      </c>
      <c r="I72" s="132">
        <v>0.43</v>
      </c>
      <c r="J72" s="96"/>
      <c r="K72" s="96"/>
      <c r="L72" s="96"/>
      <c r="M72" s="96"/>
      <c r="N72" s="96"/>
    </row>
    <row r="73" spans="1:14" x14ac:dyDescent="0.25">
      <c r="A73" s="127" t="s">
        <v>138</v>
      </c>
      <c r="B73" s="128" t="s">
        <v>140</v>
      </c>
      <c r="C73" s="129">
        <v>0.46</v>
      </c>
      <c r="D73" s="129" t="s">
        <v>151</v>
      </c>
      <c r="E73" s="129">
        <v>1.3</v>
      </c>
      <c r="F73" s="130" t="s">
        <v>274</v>
      </c>
      <c r="G73" s="131">
        <v>0.45</v>
      </c>
      <c r="H73" s="129" t="s">
        <v>276</v>
      </c>
      <c r="I73" s="132">
        <v>0.43</v>
      </c>
      <c r="J73" s="96"/>
      <c r="K73" s="96"/>
      <c r="L73" s="96"/>
      <c r="M73" s="96"/>
      <c r="N73" s="96"/>
    </row>
    <row r="74" spans="1:14" x14ac:dyDescent="0.25">
      <c r="A74" s="127" t="s">
        <v>42</v>
      </c>
      <c r="B74" s="128" t="s">
        <v>139</v>
      </c>
      <c r="C74" s="129">
        <v>0.34</v>
      </c>
      <c r="D74" s="129" t="s">
        <v>161</v>
      </c>
      <c r="E74" s="129">
        <v>1.3</v>
      </c>
      <c r="F74" s="130" t="s">
        <v>274</v>
      </c>
      <c r="G74" s="131">
        <v>0.45</v>
      </c>
      <c r="H74" s="129" t="s">
        <v>276</v>
      </c>
      <c r="I74" s="132">
        <v>0.43</v>
      </c>
      <c r="J74" s="96"/>
      <c r="K74" s="96"/>
      <c r="L74" s="96"/>
      <c r="M74" s="96"/>
      <c r="N74" s="96"/>
    </row>
    <row r="75" spans="1:14" x14ac:dyDescent="0.25">
      <c r="A75" s="127" t="s">
        <v>43</v>
      </c>
      <c r="B75" s="128" t="s">
        <v>162</v>
      </c>
      <c r="C75" s="129">
        <v>0.5</v>
      </c>
      <c r="D75" s="129" t="s">
        <v>161</v>
      </c>
      <c r="E75" s="129">
        <v>1.56</v>
      </c>
      <c r="F75" s="130" t="s">
        <v>274</v>
      </c>
      <c r="G75" s="131">
        <v>0.53</v>
      </c>
      <c r="H75" s="129" t="s">
        <v>275</v>
      </c>
      <c r="I75" s="132">
        <v>0.25</v>
      </c>
      <c r="J75" s="96"/>
      <c r="K75" s="96"/>
      <c r="L75" s="96"/>
      <c r="M75" s="96"/>
      <c r="N75" s="96"/>
    </row>
    <row r="76" spans="1:14" x14ac:dyDescent="0.25">
      <c r="A76" s="127" t="s">
        <v>44</v>
      </c>
      <c r="B76" s="128" t="s">
        <v>89</v>
      </c>
      <c r="C76" s="129">
        <v>0.57999999999999996</v>
      </c>
      <c r="D76" s="129" t="s">
        <v>161</v>
      </c>
      <c r="E76" s="129">
        <v>1.56</v>
      </c>
      <c r="F76" s="130" t="s">
        <v>274</v>
      </c>
      <c r="G76" s="131">
        <v>0.3</v>
      </c>
      <c r="H76" s="129" t="s">
        <v>277</v>
      </c>
      <c r="I76" s="132">
        <v>0.25</v>
      </c>
      <c r="J76" s="96"/>
      <c r="K76" s="96"/>
      <c r="L76" s="96"/>
      <c r="M76" s="96"/>
      <c r="N76" s="96"/>
    </row>
    <row r="77" spans="1:14" x14ac:dyDescent="0.25">
      <c r="A77" s="127" t="s">
        <v>47</v>
      </c>
      <c r="B77" s="128" t="s">
        <v>141</v>
      </c>
      <c r="C77" s="129">
        <v>0.37</v>
      </c>
      <c r="D77" s="129" t="s">
        <v>161</v>
      </c>
      <c r="E77" s="129">
        <v>1.3</v>
      </c>
      <c r="F77" s="130" t="s">
        <v>274</v>
      </c>
      <c r="G77" s="131">
        <v>0.55000000000000004</v>
      </c>
      <c r="H77" s="129" t="s">
        <v>152</v>
      </c>
      <c r="I77" s="132">
        <v>0.43</v>
      </c>
      <c r="J77" s="96"/>
      <c r="K77" s="96"/>
      <c r="L77" s="96"/>
      <c r="M77" s="96"/>
      <c r="N77" s="96"/>
    </row>
    <row r="78" spans="1:14" x14ac:dyDescent="0.25">
      <c r="A78" s="127" t="s">
        <v>45</v>
      </c>
      <c r="B78" s="128" t="s">
        <v>96</v>
      </c>
      <c r="C78" s="129">
        <v>0.37</v>
      </c>
      <c r="D78" s="129" t="s">
        <v>161</v>
      </c>
      <c r="E78" s="129">
        <v>1.3</v>
      </c>
      <c r="F78" s="130" t="s">
        <v>274</v>
      </c>
      <c r="G78" s="131">
        <v>0.55000000000000004</v>
      </c>
      <c r="H78" s="129" t="s">
        <v>152</v>
      </c>
      <c r="I78" s="132">
        <v>0.43</v>
      </c>
      <c r="J78" s="96"/>
      <c r="K78" s="96"/>
      <c r="L78" s="96"/>
      <c r="M78" s="96"/>
      <c r="N78" s="96"/>
    </row>
    <row r="79" spans="1:14" x14ac:dyDescent="0.25">
      <c r="A79" s="127" t="s">
        <v>46</v>
      </c>
      <c r="B79" s="128" t="s">
        <v>95</v>
      </c>
      <c r="C79" s="129">
        <v>0.38</v>
      </c>
      <c r="D79" s="129" t="s">
        <v>161</v>
      </c>
      <c r="E79" s="129">
        <v>1.3</v>
      </c>
      <c r="F79" s="130" t="s">
        <v>274</v>
      </c>
      <c r="G79" s="131">
        <v>0.55000000000000004</v>
      </c>
      <c r="H79" s="129" t="s">
        <v>153</v>
      </c>
      <c r="I79" s="132">
        <v>0.43</v>
      </c>
      <c r="J79" s="96"/>
      <c r="K79" s="96"/>
      <c r="L79" s="96"/>
      <c r="M79" s="96"/>
      <c r="N79" s="96"/>
    </row>
    <row r="80" spans="1:14" x14ac:dyDescent="0.25">
      <c r="A80" s="127" t="s">
        <v>48</v>
      </c>
      <c r="B80" s="128" t="s">
        <v>94</v>
      </c>
      <c r="C80" s="129">
        <v>0.36</v>
      </c>
      <c r="D80" s="129" t="s">
        <v>161</v>
      </c>
      <c r="E80" s="129">
        <v>1.3</v>
      </c>
      <c r="F80" s="130" t="s">
        <v>274</v>
      </c>
      <c r="G80" s="131">
        <v>0.55000000000000004</v>
      </c>
      <c r="H80" s="129" t="s">
        <v>153</v>
      </c>
      <c r="I80" s="132">
        <v>0.43</v>
      </c>
      <c r="J80" s="96"/>
      <c r="K80" s="96"/>
      <c r="L80" s="96"/>
      <c r="M80" s="96"/>
      <c r="N80" s="96"/>
    </row>
    <row r="81" spans="1:14" x14ac:dyDescent="0.25">
      <c r="A81" s="127" t="s">
        <v>49</v>
      </c>
      <c r="B81" s="128" t="s">
        <v>142</v>
      </c>
      <c r="C81" s="129">
        <v>0.37</v>
      </c>
      <c r="D81" s="129" t="s">
        <v>161</v>
      </c>
      <c r="E81" s="129">
        <v>1.56</v>
      </c>
      <c r="F81" s="130" t="s">
        <v>274</v>
      </c>
      <c r="G81" s="131">
        <v>0.43</v>
      </c>
      <c r="H81" s="129" t="s">
        <v>278</v>
      </c>
      <c r="I81" s="132">
        <v>0.25</v>
      </c>
      <c r="J81" s="96"/>
      <c r="K81" s="96"/>
      <c r="L81" s="96"/>
      <c r="M81" s="96"/>
      <c r="N81" s="96"/>
    </row>
    <row r="82" spans="1:14" x14ac:dyDescent="0.25">
      <c r="A82" s="127" t="s">
        <v>158</v>
      </c>
      <c r="B82" s="128" t="s">
        <v>159</v>
      </c>
      <c r="C82" s="129">
        <v>0.35</v>
      </c>
      <c r="D82" s="129" t="s">
        <v>160</v>
      </c>
      <c r="E82" s="129">
        <v>1.3</v>
      </c>
      <c r="F82" s="130" t="s">
        <v>274</v>
      </c>
      <c r="G82" s="131">
        <v>0.55000000000000004</v>
      </c>
      <c r="H82" s="129" t="s">
        <v>153</v>
      </c>
      <c r="I82" s="132">
        <v>0.43</v>
      </c>
      <c r="J82" s="96"/>
      <c r="K82" s="96"/>
      <c r="L82" s="96"/>
      <c r="M82" s="96"/>
      <c r="N82" s="96"/>
    </row>
    <row r="83" spans="1:14" x14ac:dyDescent="0.25">
      <c r="A83" s="127" t="s">
        <v>156</v>
      </c>
      <c r="B83" s="128" t="s">
        <v>157</v>
      </c>
      <c r="C83" s="129">
        <v>0.34</v>
      </c>
      <c r="D83" s="129" t="s">
        <v>161</v>
      </c>
      <c r="E83" s="129">
        <v>1.3</v>
      </c>
      <c r="F83" s="130" t="s">
        <v>274</v>
      </c>
      <c r="G83" s="131">
        <v>0.55000000000000004</v>
      </c>
      <c r="H83" s="129" t="s">
        <v>153</v>
      </c>
      <c r="I83" s="132">
        <v>0.43</v>
      </c>
      <c r="J83" s="96"/>
      <c r="K83" s="96"/>
      <c r="L83" s="96"/>
      <c r="M83" s="96"/>
      <c r="N83" s="96"/>
    </row>
    <row r="84" spans="1:14" x14ac:dyDescent="0.25">
      <c r="A84" s="127" t="s">
        <v>92</v>
      </c>
      <c r="B84" s="128" t="s">
        <v>93</v>
      </c>
      <c r="C84" s="129">
        <v>0.31</v>
      </c>
      <c r="D84" s="129" t="s">
        <v>161</v>
      </c>
      <c r="E84" s="129">
        <v>1.3</v>
      </c>
      <c r="F84" s="130" t="s">
        <v>274</v>
      </c>
      <c r="G84" s="131">
        <v>0.55000000000000004</v>
      </c>
      <c r="H84" s="129" t="s">
        <v>153</v>
      </c>
      <c r="I84" s="132">
        <v>0.43</v>
      </c>
      <c r="J84" s="96"/>
      <c r="K84" s="96"/>
      <c r="L84" s="96"/>
      <c r="M84" s="96"/>
      <c r="N84" s="96"/>
    </row>
    <row r="85" spans="1:14" x14ac:dyDescent="0.25">
      <c r="A85" s="127" t="s">
        <v>50</v>
      </c>
      <c r="B85" s="128" t="s">
        <v>143</v>
      </c>
      <c r="C85" s="129">
        <v>0.43</v>
      </c>
      <c r="D85" s="129" t="s">
        <v>161</v>
      </c>
      <c r="E85" s="129">
        <v>1.56</v>
      </c>
      <c r="F85" s="130" t="s">
        <v>274</v>
      </c>
      <c r="G85" s="131">
        <v>0.53</v>
      </c>
      <c r="H85" s="129" t="s">
        <v>275</v>
      </c>
      <c r="I85" s="132">
        <v>0.25</v>
      </c>
      <c r="J85" s="96"/>
      <c r="K85" s="96"/>
      <c r="L85" s="96"/>
      <c r="M85" s="96"/>
      <c r="N85" s="96"/>
    </row>
    <row r="86" spans="1:14" x14ac:dyDescent="0.25">
      <c r="A86" s="127" t="s">
        <v>51</v>
      </c>
      <c r="B86" s="128" t="s">
        <v>91</v>
      </c>
      <c r="C86" s="129">
        <v>0.38</v>
      </c>
      <c r="D86" s="129" t="s">
        <v>161</v>
      </c>
      <c r="E86" s="129">
        <v>1.56</v>
      </c>
      <c r="F86" s="130" t="s">
        <v>274</v>
      </c>
      <c r="G86" s="131">
        <v>0.6</v>
      </c>
      <c r="H86" s="129" t="s">
        <v>279</v>
      </c>
      <c r="I86" s="132">
        <v>0.25</v>
      </c>
      <c r="J86" s="96"/>
      <c r="K86" s="96"/>
      <c r="L86" s="96"/>
      <c r="M86" s="96"/>
      <c r="N86" s="96"/>
    </row>
    <row r="87" spans="1:14" x14ac:dyDescent="0.25">
      <c r="A87" s="282" t="s">
        <v>321</v>
      </c>
      <c r="B87" s="283" t="s">
        <v>322</v>
      </c>
      <c r="C87" s="284">
        <v>0.41</v>
      </c>
      <c r="D87" s="284" t="s">
        <v>323</v>
      </c>
      <c r="E87" s="284">
        <v>1.56</v>
      </c>
      <c r="F87" s="285" t="s">
        <v>274</v>
      </c>
      <c r="G87" s="286">
        <v>0.43</v>
      </c>
      <c r="H87" s="284" t="s">
        <v>278</v>
      </c>
      <c r="I87" s="287">
        <v>0.25</v>
      </c>
      <c r="J87" s="96"/>
      <c r="K87" s="96"/>
      <c r="L87" s="96"/>
      <c r="M87" s="96"/>
      <c r="N87" s="96"/>
    </row>
    <row r="88" spans="1:14" x14ac:dyDescent="0.25">
      <c r="A88" s="127" t="s">
        <v>148</v>
      </c>
      <c r="B88" s="135"/>
      <c r="C88" s="129">
        <v>0.42</v>
      </c>
      <c r="D88" s="129" t="s">
        <v>161</v>
      </c>
      <c r="E88" s="129">
        <v>1.3</v>
      </c>
      <c r="F88" s="130" t="s">
        <v>274</v>
      </c>
      <c r="G88" s="136"/>
      <c r="H88" s="135"/>
      <c r="I88" s="137"/>
    </row>
    <row r="89" spans="1:14" ht="15.75" thickBot="1" x14ac:dyDescent="0.3">
      <c r="A89" s="138" t="s">
        <v>149</v>
      </c>
      <c r="B89" s="139"/>
      <c r="C89" s="140">
        <v>0.56999999999999995</v>
      </c>
      <c r="D89" s="141" t="s">
        <v>161</v>
      </c>
      <c r="E89" s="140">
        <v>1.56</v>
      </c>
      <c r="F89" s="140" t="s">
        <v>274</v>
      </c>
      <c r="G89" s="139"/>
      <c r="H89" s="139"/>
      <c r="I89" s="142"/>
    </row>
    <row r="93" spans="1:14" x14ac:dyDescent="0.25">
      <c r="A93" s="127" t="s">
        <v>208</v>
      </c>
    </row>
    <row r="94" spans="1:14" x14ac:dyDescent="0.25">
      <c r="A94" s="127" t="s">
        <v>209</v>
      </c>
    </row>
    <row r="95" spans="1:14" x14ac:dyDescent="0.25">
      <c r="A95" s="127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J22" sqref="J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7"/>
      <c r="J3" s="227"/>
      <c r="K3" s="227"/>
      <c r="L3" s="227"/>
      <c r="M3" s="227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7"/>
      <c r="J4" s="227"/>
      <c r="K4" s="227"/>
      <c r="L4" s="227"/>
      <c r="M4" s="227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3" t="s">
        <v>207</v>
      </c>
      <c r="B5" s="144" t="s">
        <v>250</v>
      </c>
      <c r="C5" s="145" t="str">
        <f>Calculateur!S2</f>
        <v>ΔStock moyen de long terme (tCO₂/ha)</v>
      </c>
      <c r="D5" s="145" t="str">
        <f>Calculateur!T2</f>
        <v>Δstock CO₂ 30 ans (tCO₂/ha)</v>
      </c>
      <c r="E5" s="145" t="s">
        <v>228</v>
      </c>
      <c r="F5" s="145" t="s">
        <v>239</v>
      </c>
      <c r="G5" s="145" t="s">
        <v>240</v>
      </c>
      <c r="H5" s="146" t="s">
        <v>241</v>
      </c>
      <c r="I5" s="147" t="s">
        <v>242</v>
      </c>
      <c r="J5" s="148" t="s">
        <v>243</v>
      </c>
      <c r="K5" s="149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0" t="str">
        <f>IF('Données projet'!$B$9="","",'Données projet'!$B$9)</f>
        <v>Chêne pubescent</v>
      </c>
      <c r="B6" s="151">
        <f>'Données projet'!D9</f>
        <v>3.7239999999999998</v>
      </c>
      <c r="C6" s="152">
        <f ca="1">IF(OR('Données projet'!B9="",'Données projet'!C9="",'Données projet'!C9=0%),0,Calculateur!S3)</f>
        <v>516.30971934066179</v>
      </c>
      <c r="D6" s="152">
        <f>IF(OR('Données projet'!B9="",'Données projet'!C9="",'Données projet'!C9=0%),0,Calculateur!T3)</f>
        <v>290.84286505723571</v>
      </c>
      <c r="E6" s="152">
        <f ca="1">MIN(C6,D6)</f>
        <v>290.84286505723571</v>
      </c>
      <c r="F6" s="152">
        <f ca="1">E6*B6</f>
        <v>1083.0988294731458</v>
      </c>
      <c r="G6" s="152">
        <f ca="1">F6*(100%-'Données projet'!$C$24)*(100%-'Données projet'!$C$25)*(100%-'Données projet'!$C$26)*(100%-'Données projet'!$C$27)</f>
        <v>974.78894652583119</v>
      </c>
      <c r="H6" s="153">
        <f>IF(OR('Données projet'!B9="",'Données projet'!C9="",'Données projet'!C9=0%),0,AVERAGE(Calculateur!$AC$3:$AC$33)*B6)</f>
        <v>0</v>
      </c>
      <c r="I6" s="154">
        <f>H6*(100%-'Données projet'!$C$24)*(100%-'Données projet'!$C$25)*(100%-'Données projet'!$C$26)*(100%-'Données projet'!$C$27)</f>
        <v>0</v>
      </c>
      <c r="J6" s="155">
        <f>IF(OR('Données projet'!B9="",'Données projet'!C9="",'Données projet'!C9=0%),0,SUM(Calculateur!$V$3:$V$33)*VLOOKUP('Données projet'!$B$9,Paramètres!$A$1:$I$89,9,0)*B6)</f>
        <v>26.998999999999999</v>
      </c>
      <c r="K6" s="156">
        <f>J6*(100%-'Données projet'!$C$24)*(100%-'Données projet'!$C$25)*(100%-'Données projet'!$C$26)*(100%-'Données projet'!$C$27)</f>
        <v>24.299099999999999</v>
      </c>
      <c r="L6" s="157">
        <f ca="1">G6+I6+K6</f>
        <v>999.08804652583115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58" t="str">
        <f>IF('Données projet'!$B$10="","",'Données projet'!$B$10)</f>
        <v>Chêne chevelu</v>
      </c>
      <c r="B7" s="159">
        <f>'Données projet'!D10</f>
        <v>1.2874400000000001</v>
      </c>
      <c r="C7" s="152">
        <f ca="1">IF(OR('Données projet'!B10="",'Données projet'!C10="",'Données projet'!C10=0%),0,Calculateur!AN3)</f>
        <v>529.00505223594837</v>
      </c>
      <c r="D7" s="152">
        <f>IF(OR('Données projet'!B10="",'Données projet'!C10="",'Données projet'!C10=0%),0,Calculateur!AO3)</f>
        <v>321.23004033257985</v>
      </c>
      <c r="E7" s="152">
        <f t="shared" ref="E7:E15" ca="1" si="0">MIN(C7,D7)</f>
        <v>321.23004033257985</v>
      </c>
      <c r="F7" s="152">
        <f t="shared" ref="F7:F15" ca="1" si="1">E7*B7</f>
        <v>413.56440312577666</v>
      </c>
      <c r="G7" s="152">
        <f ca="1">F7*(100%-'Données projet'!$C$24)*(100%-'Données projet'!$C$25)*(100%-'Données projet'!$C$26)*(100%-'Données projet'!$C$27)</f>
        <v>372.207962813199</v>
      </c>
      <c r="H7" s="160">
        <f>IF(OR('Données projet'!B10="",'Données projet'!C10="",'Données projet'!C10=0%),0,AVERAGE(Calculateur!$AX$3:$AX$33)*B7)</f>
        <v>0</v>
      </c>
      <c r="I7" s="154">
        <f>H7*(100%-'Données projet'!$C$24)*(100%-'Données projet'!$C$25)*(100%-'Données projet'!$C$26)*(100%-'Données projet'!$C$27)</f>
        <v>0</v>
      </c>
      <c r="J7" s="155">
        <f>IF(OR('Données projet'!B10="",'Données projet'!C10="",'Données projet'!C10=0%),0,SUM(Calculateur!$AQ$3:$AQ$33)*VLOOKUP('Données projet'!$B$10,Paramètres!$A$1:$I$89,9,0)*B7)</f>
        <v>9.078102564102565</v>
      </c>
      <c r="K7" s="156">
        <f>J7*(100%-'Données projet'!$C$24)*(100%-'Données projet'!$C$25)*(100%-'Données projet'!$C$26)*(100%-'Données projet'!$C$27)</f>
        <v>8.1702923076923089</v>
      </c>
      <c r="L7" s="157">
        <f t="shared" ref="L7:L15" ca="1" si="2">G7+I7+K7</f>
        <v>380.37825512089131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58" t="str">
        <f>IF('Données projet'!$B$11="","",'Données projet'!$B$11)</f>
        <v>Erable champêtre</v>
      </c>
      <c r="B8" s="159">
        <f>'Données projet'!D11</f>
        <v>1.2342400000000002</v>
      </c>
      <c r="C8" s="152">
        <f ca="1">IF(OR('Données projet'!B11="",'Données projet'!C11="",'Données projet'!C11=0%),0,Calculateur!BI3)</f>
        <v>363.28611056308665</v>
      </c>
      <c r="D8" s="152">
        <f>IF(OR('Données projet'!B11="",'Données projet'!C11="",'Données projet'!C11=0%),0,Calculateur!BJ3)</f>
        <v>389.43647559455974</v>
      </c>
      <c r="E8" s="152">
        <f t="shared" ca="1" si="0"/>
        <v>363.28611056308665</v>
      </c>
      <c r="F8" s="152">
        <f t="shared" ca="1" si="1"/>
        <v>448.38224910138416</v>
      </c>
      <c r="G8" s="152">
        <f ca="1">F8*(100%-'Données projet'!$C$24)*(100%-'Données projet'!$C$25)*(100%-'Données projet'!$C$26)*(100%-'Données projet'!$C$27)</f>
        <v>403.54402419124574</v>
      </c>
      <c r="H8" s="160">
        <f>IF(OR('Données projet'!B11="",'Données projet'!C11="",'Données projet'!C11=0%),0,AVERAGE(Calculateur!$BS$3:$BS$33)*B8)</f>
        <v>0</v>
      </c>
      <c r="I8" s="154">
        <f>H8*(100%-'Données projet'!$C$24)*(100%-'Données projet'!$C$25)*(100%-'Données projet'!$C$26)*(100%-'Données projet'!$C$27)</f>
        <v>0</v>
      </c>
      <c r="J8" s="155">
        <f>IF(OR('Données projet'!B11="",'Données projet'!C11="",'Données projet'!C11=0%),0,SUM(Calculateur!$BL$3:$BL$33)*VLOOKUP('Données projet'!$B$11,Paramètres!$A$1:$I$89,9,0)*B8)</f>
        <v>30.578296000000005</v>
      </c>
      <c r="K8" s="156">
        <f>J8*(100%-'Données projet'!$C$24)*(100%-'Données projet'!$C$25)*(100%-'Données projet'!$C$26)*(100%-'Données projet'!$C$27)</f>
        <v>27.520466400000004</v>
      </c>
      <c r="L8" s="157">
        <f t="shared" ca="1" si="2"/>
        <v>431.06449059124577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58" t="str">
        <f>IF('Données projet'!$B$12="","",'Données projet'!$B$12)</f>
        <v>Cormier</v>
      </c>
      <c r="B9" s="159">
        <f>'Données projet'!D12</f>
        <v>1.0640000000000001</v>
      </c>
      <c r="C9" s="152">
        <f ca="1">IF(OR('Données projet'!B12="",'Données projet'!C12="",'Données projet'!C12=0%),0,Calculateur!CD3)</f>
        <v>542.90832990875208</v>
      </c>
      <c r="D9" s="152">
        <f>IF(OR('Données projet'!B12="",'Données projet'!C12="",'Données projet'!C12=0%),0,Calculateur!CE3)</f>
        <v>304.94365539329362</v>
      </c>
      <c r="E9" s="152">
        <f t="shared" ca="1" si="0"/>
        <v>304.94365539329362</v>
      </c>
      <c r="F9" s="152">
        <f t="shared" ca="1" si="1"/>
        <v>324.46004933846444</v>
      </c>
      <c r="G9" s="152">
        <f ca="1">F9*(100%-'Données projet'!$C$24)*(100%-'Données projet'!$C$25)*(100%-'Données projet'!$C$26)*(100%-'Données projet'!$C$27)</f>
        <v>292.01404440461801</v>
      </c>
      <c r="H9" s="160">
        <f>IF(OR('Données projet'!B12="",'Données projet'!C12="",'Données projet'!C12=0%),0,AVERAGE(Calculateur!$CN$3:$CN$33)*B9)</f>
        <v>0</v>
      </c>
      <c r="I9" s="154">
        <f>H9*(100%-'Données projet'!$C$24)*(100%-'Données projet'!$C$25)*(100%-'Données projet'!$C$26)*(100%-'Données projet'!$C$27)</f>
        <v>0</v>
      </c>
      <c r="J9" s="155">
        <f>IF(OR('Données projet'!B12="",'Données projet'!C12="",'Données projet'!C12=0%),0,SUM(Calculateur!$CG$3:$CG$33)*VLOOKUP('Données projet'!$B$12,Paramètres!$A$1:$I$89,9,0)*B9)</f>
        <v>7.7140000000000004</v>
      </c>
      <c r="K9" s="156">
        <f>J9*(100%-'Données projet'!$C$24)*(100%-'Données projet'!$C$25)*(100%-'Données projet'!$C$26)*(100%-'Données projet'!$C$27)</f>
        <v>6.9426000000000005</v>
      </c>
      <c r="L9" s="157">
        <f t="shared" ca="1" si="2"/>
        <v>298.95664440461803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58" t="str">
        <f>IF('Données projet'!$B$13="","",'Données projet'!$B$13)</f>
        <v>Cèdre de l'Atlas</v>
      </c>
      <c r="B10" s="159">
        <f>'Données projet'!D13</f>
        <v>0.89376000000000011</v>
      </c>
      <c r="C10" s="152">
        <f ca="1">IF(OR('Données projet'!B13="",'Données projet'!C13="",'Données projet'!C13=0%),0,Calculateur!CY3)</f>
        <v>277.77877239988635</v>
      </c>
      <c r="D10" s="152">
        <f>IF(OR('Données projet'!B13="",'Données projet'!C13="",'Données projet'!C13=0%),0,Calculateur!CZ3)</f>
        <v>164.65640238394164</v>
      </c>
      <c r="E10" s="152">
        <f t="shared" ca="1" si="0"/>
        <v>164.65640238394164</v>
      </c>
      <c r="F10" s="152">
        <f t="shared" ca="1" si="1"/>
        <v>147.16330619467169</v>
      </c>
      <c r="G10" s="152">
        <f ca="1">F10*(100%-'Données projet'!$C$24)*(100%-'Données projet'!$C$25)*(100%-'Données projet'!$C$26)*(100%-'Données projet'!$C$27)</f>
        <v>132.44697557520453</v>
      </c>
      <c r="H10" s="160">
        <f>IF(OR('Données projet'!B13="",'Données projet'!C13="",'Données projet'!C13=0%),0,AVERAGE(Calculateur!$DI$3:$DI$33)*B10)</f>
        <v>0</v>
      </c>
      <c r="I10" s="154">
        <f>H10*(100%-'Données projet'!$C$24)*(100%-'Données projet'!$C$25)*(100%-'Données projet'!$C$26)*(100%-'Données projet'!$C$27)</f>
        <v>0</v>
      </c>
      <c r="J10" s="155">
        <f>IF(OR('Données projet'!B13="",'Données projet'!C13="",'Données projet'!C13=0%),0,SUM(Calculateur!$DB$3:$DB$33)*VLOOKUP('Données projet'!$B$13,Paramètres!$A$1:$I$89,9,0)*B10)</f>
        <v>0</v>
      </c>
      <c r="K10" s="156">
        <f>J10*(100%-'Données projet'!$C$24)*(100%-'Données projet'!$C$25)*(100%-'Données projet'!$C$26)*(100%-'Données projet'!$C$27)</f>
        <v>0</v>
      </c>
      <c r="L10" s="157">
        <f t="shared" ca="1" si="2"/>
        <v>132.44697557520453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58" t="str">
        <f>IF('Données projet'!$B$14="","",'Données projet'!$B$14)</f>
        <v>Micocoulier de Provence</v>
      </c>
      <c r="B11" s="159">
        <f>'Données projet'!D14</f>
        <v>0.61712000000000011</v>
      </c>
      <c r="C11" s="152">
        <f ca="1">IF(OR('Données projet'!B14="",'Données projet'!C14="",'Données projet'!C14=0%),0,Calculateur!DT3)</f>
        <v>354.30160274624632</v>
      </c>
      <c r="D11" s="152">
        <f>IF(OR('Données projet'!B14="",'Données projet'!C14="",'Données projet'!C14=0%),0,Calculateur!DU3)</f>
        <v>218.8005329382452</v>
      </c>
      <c r="E11" s="152">
        <f t="shared" ca="1" si="0"/>
        <v>218.8005329382452</v>
      </c>
      <c r="F11" s="152">
        <f t="shared" ca="1" si="1"/>
        <v>135.0261848868499</v>
      </c>
      <c r="G11" s="152">
        <f ca="1">F11*(100%-'Données projet'!$C$24)*(100%-'Données projet'!$C$25)*(100%-'Données projet'!$C$26)*(100%-'Données projet'!$C$27)</f>
        <v>121.52356639816492</v>
      </c>
      <c r="H11" s="160">
        <f>IF(OR('Données projet'!B14="",'Données projet'!C14="",'Données projet'!C14=0%),0,AVERAGE(Calculateur!$ED$3:$ED$33)*B11)</f>
        <v>0</v>
      </c>
      <c r="I11" s="154">
        <f>H11*(100%-'Données projet'!$C$24)*(100%-'Données projet'!$C$25)*(100%-'Données projet'!$C$26)*(100%-'Données projet'!$C$27)</f>
        <v>0</v>
      </c>
      <c r="J11" s="155">
        <f>IF(OR('Données projet'!B14="",'Données projet'!C14="",'Données projet'!C14=0%),0,SUM(Calculateur!$DW$3:$DW$33)*VLOOKUP('Données projet'!$B$14,Paramètres!$A$1:$I$89,9,0)*B11)</f>
        <v>2.6702307692307694</v>
      </c>
      <c r="K11" s="156">
        <f>J11*(100%-'Données projet'!$C$24)*(100%-'Données projet'!$C$25)*(100%-'Données projet'!$C$26)*(100%-'Données projet'!$C$27)</f>
        <v>2.4032076923076926</v>
      </c>
      <c r="L11" s="157">
        <f t="shared" ca="1" si="2"/>
        <v>123.92677409047261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58" t="str">
        <f>IF('Données projet'!$B$15="","",'Données projet'!$B$15)</f>
        <v>Alisier torminal</v>
      </c>
      <c r="B12" s="159">
        <f>'Données projet'!D15</f>
        <v>0.53200000000000003</v>
      </c>
      <c r="C12" s="152">
        <f ca="1">IF(OR('Données projet'!B15="",'Données projet'!C15="",'Données projet'!C15=0%),0,Calculateur!EO3)</f>
        <v>496.33873798282525</v>
      </c>
      <c r="D12" s="152">
        <f>IF(OR('Données projet'!B15="",'Données projet'!C15="",'Données projet'!C15=0%),0,Calculateur!EP3)</f>
        <v>280.25465074992246</v>
      </c>
      <c r="E12" s="152">
        <f t="shared" ca="1" si="0"/>
        <v>280.25465074992246</v>
      </c>
      <c r="F12" s="152">
        <f t="shared" ca="1" si="1"/>
        <v>149.09547419895875</v>
      </c>
      <c r="G12" s="152">
        <f ca="1">F12*(100%-'Données projet'!$C$24)*(100%-'Données projet'!$C$25)*(100%-'Données projet'!$C$26)*(100%-'Données projet'!$C$27)</f>
        <v>134.1859267790629</v>
      </c>
      <c r="H12" s="160">
        <f>IF(OR('Données projet'!B15="",'Données projet'!C15="",'Données projet'!C15=0%),0,AVERAGE(Calculateur!$EY$3:$EY$33)*B12)</f>
        <v>0</v>
      </c>
      <c r="I12" s="154">
        <f>H12*(100%-'Données projet'!$C$24)*(100%-'Données projet'!$C$25)*(100%-'Données projet'!$C$26)*(100%-'Données projet'!$C$27)</f>
        <v>0</v>
      </c>
      <c r="J12" s="155">
        <f>IF(OR('Données projet'!B15="",'Données projet'!C15="",'Données projet'!C15=0%),0,SUM(Calculateur!$ER$3:$ER$33)*VLOOKUP('Données projet'!$B$15,Paramètres!$A$1:$I$89,9,0)*B12)</f>
        <v>3.8570000000000002</v>
      </c>
      <c r="K12" s="156">
        <f>J12*(100%-'Données projet'!$C$24)*(100%-'Données projet'!$C$25)*(100%-'Données projet'!$C$26)*(100%-'Données projet'!$C$27)</f>
        <v>3.4713000000000003</v>
      </c>
      <c r="L12" s="157">
        <f t="shared" ca="1" si="2"/>
        <v>137.65722677906291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58" t="str">
        <f>IF('Données projet'!$B$16="","",'Données projet'!$B$16)</f>
        <v>Noyer</v>
      </c>
      <c r="B13" s="159">
        <f>'Données projet'!D16</f>
        <v>0.53200000000000003</v>
      </c>
      <c r="C13" s="152">
        <f ca="1">IF(OR('Données projet'!B16="",'Données projet'!C16="",'Données projet'!C16=0%),0,Calculateur!FJ3)</f>
        <v>341.66430955115521</v>
      </c>
      <c r="D13" s="152">
        <f>IF(OR('Données projet'!B16="",'Données projet'!C16="",'Données projet'!C16=0%),0,Calculateur!FK3)</f>
        <v>366.15174925159192</v>
      </c>
      <c r="E13" s="152">
        <f t="shared" ca="1" si="0"/>
        <v>341.66430955115521</v>
      </c>
      <c r="F13" s="152">
        <f t="shared" ca="1" si="1"/>
        <v>181.76541268121457</v>
      </c>
      <c r="G13" s="152">
        <f ca="1">F13*(100%-'Données projet'!$C$24)*(100%-'Données projet'!$C$25)*(100%-'Données projet'!$C$26)*(100%-'Données projet'!$C$27)</f>
        <v>163.58887141309313</v>
      </c>
      <c r="H13" s="160">
        <f>IF(OR('Données projet'!B16="",'Données projet'!C16="",'Données projet'!C16=0%),0,AVERAGE(Calculateur!$FT$3:$FT$33)*B13)</f>
        <v>0</v>
      </c>
      <c r="I13" s="154">
        <f>H13*(100%-'Données projet'!$C$24)*(100%-'Données projet'!$C$25)*(100%-'Données projet'!$C$26)*(100%-'Données projet'!$C$27)</f>
        <v>0</v>
      </c>
      <c r="J13" s="155">
        <f>IF(OR('Données projet'!C16="",'Données projet'!C16=0%),0,SUM(Calculateur!$FM$3:$FM$33)*VLOOKUP('Données projet'!$B$16,Paramètres!$A$1:$I$89,9,0)*B13)</f>
        <v>13.180300000000001</v>
      </c>
      <c r="K13" s="156">
        <f>J13*(100%-'Données projet'!$C$24)*(100%-'Données projet'!$C$25)*(100%-'Données projet'!$C$26)*(100%-'Données projet'!$C$27)</f>
        <v>11.862270000000001</v>
      </c>
      <c r="L13" s="157">
        <f t="shared" ca="1" si="2"/>
        <v>175.45114141309313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58" t="str">
        <f>IF('Données projet'!$B$17="","",'Données projet'!$B$17)</f>
        <v>Châtaignier</v>
      </c>
      <c r="B14" s="159">
        <f>'Données projet'!D17</f>
        <v>0.22344000000000003</v>
      </c>
      <c r="C14" s="152">
        <f ca="1">IF(OR('Données projet'!B17="",'Données projet'!C17="",'Données projet'!C17=0%),0,Calculateur!GE3)</f>
        <v>314.58662400031631</v>
      </c>
      <c r="D14" s="152">
        <f>IF(OR('Données projet'!B17="",'Données projet'!C17="",'Données projet'!C17=0%),0,Calculateur!GF3)</f>
        <v>336.99073123405981</v>
      </c>
      <c r="E14" s="152">
        <f t="shared" ca="1" si="0"/>
        <v>314.58662400031631</v>
      </c>
      <c r="F14" s="152">
        <f t="shared" ca="1" si="1"/>
        <v>70.291235266630679</v>
      </c>
      <c r="G14" s="152">
        <f ca="1">F14*(100%-'Données projet'!$C$24)*(100%-'Données projet'!$C$25)*(100%-'Données projet'!$C$26)*(100%-'Données projet'!$C$27)</f>
        <v>63.262111739967615</v>
      </c>
      <c r="H14" s="160">
        <f>IF(OR('Données projet'!B17="",'Données projet'!C17="",'Données projet'!C17=0%),0,AVERAGE(Calculateur!$GO$3:$GO$33)*B14)</f>
        <v>0</v>
      </c>
      <c r="I14" s="154">
        <f>H14*(100%-'Données projet'!$C$24)*(100%-'Données projet'!$C$25)*(100%-'Données projet'!$C$26)*(100%-'Données projet'!$C$27)</f>
        <v>0</v>
      </c>
      <c r="J14" s="155">
        <f>IF(OR('Données projet'!B17="",'Données projet'!C17="",'Données projet'!C17=0%),0,SUM(Calculateur!$GH$3:$GH$33)*VLOOKUP('Données projet'!$B$17,Paramètres!$A$1:$I$89,9,0)*B14)</f>
        <v>5.5357260000000004</v>
      </c>
      <c r="K14" s="156">
        <f>J14*(100%-'Données projet'!$C$24)*(100%-'Données projet'!$C$25)*(100%-'Données projet'!$C$26)*(100%-'Données projet'!$C$27)</f>
        <v>4.9821534000000005</v>
      </c>
      <c r="L14" s="157">
        <f t="shared" ca="1" si="2"/>
        <v>68.244265139967609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1" t="str">
        <f>IF('Données projet'!B18="","",'Données projet'!B18)</f>
        <v/>
      </c>
      <c r="B15" s="162">
        <f>'Données projet'!D18</f>
        <v>0</v>
      </c>
      <c r="C15" s="163">
        <f>IF(OR('Données projet'!B18="",'Données projet'!C18="",'Données projet'!C18=0%),0,Calculateur!GZ3)</f>
        <v>0</v>
      </c>
      <c r="D15" s="163">
        <f>IF(OR('Données projet'!B18="",'Données projet'!C18="",'Données projet'!C18=0%),0,Calculateur!HA3)</f>
        <v>0</v>
      </c>
      <c r="E15" s="163">
        <f t="shared" si="0"/>
        <v>0</v>
      </c>
      <c r="F15" s="164">
        <f t="shared" si="1"/>
        <v>0</v>
      </c>
      <c r="G15" s="164">
        <f>F15*(100%-'Données projet'!$C$24)*(100%-'Données projet'!$C$25)*(100%-'Données projet'!$C$26)*(100%-'Données projet'!$C$27)</f>
        <v>0</v>
      </c>
      <c r="H15" s="165">
        <f>IF(OR('Données projet'!B18="",'Données projet'!C18="",'Données projet'!C18=0%),0,AVERAGE(Calculateur!$HJ$3:$HJ$33)*B15)</f>
        <v>0</v>
      </c>
      <c r="I15" s="166">
        <f>H15*(100%-'Données projet'!$C$24)*(100%-'Données projet'!$C$25)*(100%-'Données projet'!$C$26)*(100%-'Données projet'!$C$27)</f>
        <v>0</v>
      </c>
      <c r="J15" s="167">
        <f>IF(OR('Données projet'!B18="",'Données projet'!C18="",'Données projet'!C18=0%),0,SUM(Calculateur!$HC$3:$HC$33)*VLOOKUP('Données projet'!$B$18,Paramètres!$A$1:$I$89,9,0)*B15)</f>
        <v>0</v>
      </c>
      <c r="K15" s="168">
        <f>J15*(100%-'Données projet'!$C$24)*(100%-'Données projet'!$C$25)*(100%-'Données projet'!$C$26)*(100%-'Données projet'!$C$27)</f>
        <v>0</v>
      </c>
      <c r="L15" s="169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2"/>
      <c r="B16" s="229"/>
      <c r="C16" s="230"/>
      <c r="D16" s="25"/>
      <c r="E16" s="25"/>
      <c r="F16" s="170">
        <f t="shared" ref="F16:L16" ca="1" si="3">SUM(F6:F15)</f>
        <v>2952.8471442670966</v>
      </c>
      <c r="G16" s="171">
        <f t="shared" ca="1" si="3"/>
        <v>2657.5624298403873</v>
      </c>
      <c r="H16" s="172">
        <f t="shared" si="3"/>
        <v>0</v>
      </c>
      <c r="I16" s="172">
        <f t="shared" si="3"/>
        <v>0</v>
      </c>
      <c r="J16" s="173">
        <f t="shared" si="3"/>
        <v>99.612655333333336</v>
      </c>
      <c r="K16" s="173">
        <f t="shared" si="3"/>
        <v>89.651389800000004</v>
      </c>
      <c r="L16" s="174">
        <f t="shared" ca="1" si="3"/>
        <v>2747.2138196403866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2"/>
      <c r="B17" s="229"/>
      <c r="C17" s="230"/>
      <c r="D17" s="227"/>
      <c r="E17" s="227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2"/>
      <c r="B18" s="229"/>
      <c r="C18" s="230"/>
      <c r="D18" s="227"/>
      <c r="E18" s="227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7"/>
      <c r="J19" s="227"/>
      <c r="K19" s="227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7"/>
      <c r="J20" s="227"/>
      <c r="K20" s="227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5" t="str">
        <f>A6</f>
        <v>Chêne pubescent</v>
      </c>
      <c r="B21" s="5"/>
      <c r="C21" s="5"/>
      <c r="D21" s="5"/>
      <c r="E21" s="5"/>
      <c r="F21" s="5"/>
      <c r="G21" s="5"/>
      <c r="H21" s="5"/>
      <c r="I21" s="227"/>
      <c r="J21" s="227"/>
      <c r="K21" s="227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7"/>
      <c r="J22" s="227"/>
      <c r="K22" s="227"/>
      <c r="L22" s="227"/>
      <c r="M22" s="227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7"/>
      <c r="J23" s="227"/>
      <c r="K23" s="227"/>
      <c r="L23" s="227"/>
      <c r="M23" s="227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7"/>
      <c r="J24" s="227"/>
      <c r="K24" s="227"/>
      <c r="L24" s="227"/>
      <c r="M24" s="227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7"/>
      <c r="J25" s="227"/>
      <c r="K25" s="227"/>
      <c r="L25" s="227"/>
      <c r="M25" s="227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7"/>
      <c r="J26" s="227"/>
      <c r="K26" s="227"/>
      <c r="L26" s="227"/>
      <c r="M26" s="227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7"/>
      <c r="J27" s="227"/>
      <c r="K27" s="227"/>
      <c r="L27" s="227"/>
      <c r="M27" s="227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7"/>
      <c r="J28" s="227"/>
      <c r="K28" s="227"/>
      <c r="L28" s="227"/>
      <c r="M28" s="227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7"/>
      <c r="J29" s="227"/>
      <c r="K29" s="227"/>
      <c r="L29" s="227"/>
      <c r="M29" s="227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7"/>
      <c r="J30" s="227"/>
      <c r="K30" s="227"/>
      <c r="L30" s="227"/>
      <c r="M30" s="227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7"/>
      <c r="J31" s="227"/>
      <c r="K31" s="227"/>
      <c r="L31" s="227"/>
      <c r="M31" s="227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7"/>
      <c r="J32" s="227"/>
      <c r="K32" s="227"/>
      <c r="L32" s="227"/>
      <c r="M32" s="227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7"/>
      <c r="J33" s="227"/>
      <c r="K33" s="227"/>
      <c r="L33" s="227"/>
      <c r="M33" s="227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7"/>
      <c r="J34" s="227"/>
      <c r="K34" s="227"/>
      <c r="L34" s="227"/>
      <c r="M34" s="227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7"/>
      <c r="J35" s="227"/>
      <c r="K35" s="227"/>
      <c r="L35" s="227"/>
      <c r="M35" s="227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7"/>
      <c r="J36" s="227"/>
      <c r="K36" s="227"/>
      <c r="L36" s="227"/>
      <c r="M36" s="227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7"/>
      <c r="J37" s="227"/>
      <c r="K37" s="227"/>
      <c r="L37" s="227"/>
      <c r="M37" s="227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7"/>
      <c r="J38" s="227"/>
      <c r="K38" s="227"/>
      <c r="L38" s="227"/>
      <c r="M38" s="227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5" t="str">
        <f>A7</f>
        <v>Chêne chevelu</v>
      </c>
      <c r="B39" s="5"/>
      <c r="C39" s="5"/>
      <c r="D39" s="5"/>
      <c r="E39" s="5"/>
      <c r="F39" s="5"/>
      <c r="G39" s="5"/>
      <c r="H39" s="5"/>
      <c r="I39" s="227"/>
      <c r="J39" s="227"/>
      <c r="K39" s="227"/>
      <c r="L39" s="227"/>
      <c r="M39" s="227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7"/>
      <c r="J40" s="227"/>
      <c r="K40" s="227"/>
      <c r="L40" s="227"/>
      <c r="M40" s="227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7"/>
      <c r="J41" s="227"/>
      <c r="K41" s="227"/>
      <c r="L41" s="227"/>
      <c r="M41" s="227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7"/>
      <c r="J42" s="227"/>
      <c r="K42" s="227"/>
      <c r="L42" s="227"/>
      <c r="M42" s="227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7"/>
      <c r="J43" s="227"/>
      <c r="K43" s="227"/>
      <c r="L43" s="227"/>
      <c r="M43" s="227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7"/>
      <c r="J44" s="227"/>
      <c r="K44" s="227"/>
      <c r="L44" s="227"/>
      <c r="M44" s="227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7"/>
      <c r="J45" s="227"/>
      <c r="K45" s="227"/>
      <c r="L45" s="227"/>
      <c r="M45" s="227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7"/>
      <c r="J46" s="227"/>
      <c r="K46" s="227"/>
      <c r="L46" s="227"/>
      <c r="M46" s="227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7"/>
      <c r="J47" s="227"/>
      <c r="K47" s="227"/>
      <c r="L47" s="227"/>
      <c r="M47" s="227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7"/>
      <c r="J48" s="227"/>
      <c r="K48" s="227"/>
      <c r="L48" s="227"/>
      <c r="M48" s="227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7"/>
      <c r="J49" s="227"/>
      <c r="K49" s="227"/>
      <c r="L49" s="227"/>
      <c r="M49" s="227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7"/>
      <c r="J50" s="227"/>
      <c r="K50" s="227"/>
      <c r="L50" s="227"/>
      <c r="M50" s="227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7"/>
      <c r="J51" s="227"/>
      <c r="K51" s="227"/>
      <c r="L51" s="227"/>
      <c r="M51" s="227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7"/>
      <c r="J52" s="227"/>
      <c r="K52" s="227"/>
      <c r="L52" s="227"/>
      <c r="M52" s="227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7"/>
      <c r="J53" s="227"/>
      <c r="K53" s="227"/>
      <c r="L53" s="227"/>
      <c r="M53" s="227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7"/>
      <c r="J54" s="227"/>
      <c r="K54" s="227"/>
      <c r="L54" s="227"/>
      <c r="M54" s="227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7"/>
      <c r="J55" s="227"/>
      <c r="K55" s="227"/>
      <c r="L55" s="227"/>
      <c r="M55" s="227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7"/>
      <c r="J56" s="227"/>
      <c r="K56" s="227"/>
      <c r="L56" s="227"/>
      <c r="M56" s="227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5" t="str">
        <f>A8</f>
        <v>Erable champêtre</v>
      </c>
      <c r="B57" s="5"/>
      <c r="C57" s="5"/>
      <c r="D57" s="5"/>
      <c r="E57" s="5"/>
      <c r="F57" s="5"/>
      <c r="G57" s="5"/>
      <c r="H57" s="5"/>
      <c r="I57" s="227"/>
      <c r="J57" s="227"/>
      <c r="K57" s="227"/>
      <c r="L57" s="227"/>
      <c r="M57" s="227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7"/>
      <c r="J58" s="227"/>
      <c r="K58" s="227"/>
      <c r="L58" s="227"/>
      <c r="M58" s="227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7"/>
      <c r="J59" s="227"/>
      <c r="K59" s="227"/>
      <c r="L59" s="227"/>
      <c r="M59" s="227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7"/>
      <c r="J60" s="227"/>
      <c r="K60" s="227"/>
      <c r="L60" s="227"/>
      <c r="M60" s="227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7"/>
      <c r="J61" s="227"/>
      <c r="K61" s="227"/>
      <c r="L61" s="227"/>
      <c r="M61" s="227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7"/>
      <c r="J62" s="227"/>
      <c r="K62" s="227"/>
      <c r="L62" s="227"/>
      <c r="M62" s="227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7"/>
      <c r="J63" s="227"/>
      <c r="K63" s="227"/>
      <c r="L63" s="227"/>
      <c r="M63" s="227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7"/>
      <c r="J64" s="227"/>
      <c r="K64" s="227"/>
      <c r="L64" s="227"/>
      <c r="M64" s="227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7"/>
      <c r="J65" s="227"/>
      <c r="K65" s="227"/>
      <c r="L65" s="227"/>
      <c r="M65" s="227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7"/>
      <c r="J66" s="227"/>
      <c r="K66" s="227"/>
      <c r="L66" s="227"/>
      <c r="M66" s="227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7"/>
      <c r="J67" s="227"/>
      <c r="K67" s="227"/>
      <c r="L67" s="227"/>
      <c r="M67" s="227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7"/>
      <c r="J68" s="227"/>
      <c r="K68" s="227"/>
      <c r="L68" s="227"/>
      <c r="M68" s="227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7"/>
      <c r="J69" s="227"/>
      <c r="K69" s="227"/>
      <c r="L69" s="227"/>
      <c r="M69" s="227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7"/>
      <c r="J70" s="227"/>
      <c r="K70" s="227"/>
      <c r="L70" s="227"/>
      <c r="M70" s="227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7"/>
      <c r="J71" s="227"/>
      <c r="K71" s="227"/>
      <c r="L71" s="227"/>
      <c r="M71" s="227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7"/>
      <c r="J72" s="227"/>
      <c r="K72" s="227"/>
      <c r="L72" s="227"/>
      <c r="M72" s="227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7"/>
      <c r="J73" s="227"/>
      <c r="K73" s="227"/>
      <c r="L73" s="227"/>
      <c r="M73" s="227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7"/>
      <c r="J74" s="227"/>
      <c r="K74" s="227"/>
      <c r="L74" s="227"/>
      <c r="M74" s="227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7"/>
      <c r="J75" s="227"/>
      <c r="K75" s="227"/>
      <c r="L75" s="227"/>
      <c r="M75" s="227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5" t="str">
        <f>A9</f>
        <v>Cormier</v>
      </c>
      <c r="B76" s="5"/>
      <c r="C76" s="5"/>
      <c r="D76" s="5"/>
      <c r="E76" s="5"/>
      <c r="F76" s="5"/>
      <c r="G76" s="5"/>
      <c r="H76" s="5"/>
      <c r="I76" s="227"/>
      <c r="J76" s="227"/>
      <c r="K76" s="227"/>
      <c r="L76" s="227"/>
      <c r="M76" s="227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7"/>
      <c r="J77" s="227"/>
      <c r="K77" s="227"/>
      <c r="L77" s="227"/>
      <c r="M77" s="227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7"/>
      <c r="J78" s="227"/>
      <c r="K78" s="227"/>
      <c r="L78" s="227"/>
      <c r="M78" s="227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7"/>
      <c r="J79" s="227"/>
      <c r="K79" s="227"/>
      <c r="L79" s="227"/>
      <c r="M79" s="227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7"/>
      <c r="J80" s="227"/>
      <c r="K80" s="227"/>
      <c r="L80" s="227"/>
      <c r="M80" s="227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7"/>
      <c r="J81" s="227"/>
      <c r="K81" s="227"/>
      <c r="L81" s="227"/>
      <c r="M81" s="227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7"/>
      <c r="J82" s="227"/>
      <c r="K82" s="227"/>
      <c r="L82" s="227"/>
      <c r="M82" s="227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7"/>
      <c r="J83" s="227"/>
      <c r="K83" s="227"/>
      <c r="L83" s="227"/>
      <c r="M83" s="227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7"/>
      <c r="J84" s="227"/>
      <c r="K84" s="227"/>
      <c r="L84" s="227"/>
      <c r="M84" s="227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7"/>
      <c r="J85" s="227"/>
      <c r="K85" s="227"/>
      <c r="L85" s="227"/>
      <c r="M85" s="227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7"/>
      <c r="J86" s="227"/>
      <c r="K86" s="227"/>
      <c r="L86" s="227"/>
      <c r="M86" s="227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7"/>
      <c r="J87" s="227"/>
      <c r="K87" s="227"/>
      <c r="L87" s="227"/>
      <c r="M87" s="227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7"/>
      <c r="J88" s="227"/>
      <c r="K88" s="227"/>
      <c r="L88" s="227"/>
      <c r="M88" s="227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7"/>
      <c r="J89" s="227"/>
      <c r="K89" s="227"/>
      <c r="L89" s="227"/>
      <c r="M89" s="227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7"/>
      <c r="J90" s="227"/>
      <c r="K90" s="227"/>
      <c r="L90" s="227"/>
      <c r="M90" s="227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7"/>
      <c r="J91" s="227"/>
      <c r="K91" s="227"/>
      <c r="L91" s="227"/>
      <c r="M91" s="227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7"/>
      <c r="J92" s="227"/>
      <c r="K92" s="227"/>
      <c r="L92" s="227"/>
      <c r="M92" s="227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7"/>
      <c r="J93" s="227"/>
      <c r="K93" s="227"/>
      <c r="L93" s="227"/>
      <c r="M93" s="227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5" t="str">
        <f>A10</f>
        <v>Cèdre de l'Atlas</v>
      </c>
      <c r="B94" s="5"/>
      <c r="C94" s="5"/>
      <c r="D94" s="5"/>
      <c r="E94" s="5"/>
      <c r="F94" s="5"/>
      <c r="G94" s="5"/>
      <c r="H94" s="5"/>
      <c r="I94" s="227"/>
      <c r="J94" s="227"/>
      <c r="K94" s="227"/>
      <c r="L94" s="227"/>
      <c r="M94" s="227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7"/>
      <c r="J95" s="227"/>
      <c r="K95" s="227"/>
      <c r="L95" s="227"/>
      <c r="M95" s="227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7"/>
      <c r="J96" s="227"/>
      <c r="K96" s="227"/>
      <c r="L96" s="227"/>
      <c r="M96" s="227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7"/>
      <c r="J97" s="227"/>
      <c r="K97" s="227"/>
      <c r="L97" s="227"/>
      <c r="M97" s="227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7"/>
      <c r="J98" s="227"/>
      <c r="K98" s="227"/>
      <c r="L98" s="227"/>
      <c r="M98" s="227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7"/>
      <c r="J99" s="227"/>
      <c r="K99" s="227"/>
      <c r="L99" s="227"/>
      <c r="M99" s="227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7"/>
      <c r="J100" s="227"/>
      <c r="K100" s="227"/>
      <c r="L100" s="227"/>
      <c r="M100" s="227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7"/>
      <c r="J101" s="227"/>
      <c r="K101" s="227"/>
      <c r="L101" s="227"/>
      <c r="M101" s="227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7"/>
      <c r="J102" s="227"/>
      <c r="K102" s="227"/>
      <c r="L102" s="227"/>
      <c r="M102" s="227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7"/>
      <c r="J103" s="227"/>
      <c r="K103" s="227"/>
      <c r="L103" s="227"/>
      <c r="M103" s="227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7"/>
      <c r="J104" s="227"/>
      <c r="K104" s="227"/>
      <c r="L104" s="227"/>
      <c r="M104" s="227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7"/>
      <c r="J105" s="227"/>
      <c r="K105" s="227"/>
      <c r="L105" s="227"/>
      <c r="M105" s="227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7"/>
      <c r="J106" s="227"/>
      <c r="K106" s="227"/>
      <c r="L106" s="227"/>
      <c r="M106" s="227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7"/>
      <c r="J107" s="227"/>
      <c r="K107" s="227"/>
      <c r="L107" s="227"/>
      <c r="M107" s="227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7"/>
      <c r="J108" s="227"/>
      <c r="K108" s="227"/>
      <c r="L108" s="227"/>
      <c r="M108" s="227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7"/>
      <c r="J109" s="227"/>
      <c r="K109" s="227"/>
      <c r="L109" s="227"/>
      <c r="M109" s="227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7"/>
      <c r="J110" s="227"/>
      <c r="K110" s="227"/>
      <c r="L110" s="227"/>
      <c r="M110" s="227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7"/>
      <c r="J111" s="227"/>
      <c r="K111" s="227"/>
      <c r="L111" s="227"/>
      <c r="M111" s="227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5" t="str">
        <f>A11</f>
        <v>Micocoulier de Provence</v>
      </c>
      <c r="B112" s="5"/>
      <c r="C112" s="5"/>
      <c r="D112" s="5"/>
      <c r="E112" s="5"/>
      <c r="F112" s="5"/>
      <c r="G112" s="5"/>
      <c r="H112" s="5"/>
      <c r="I112" s="227"/>
      <c r="J112" s="227"/>
      <c r="K112" s="227"/>
      <c r="L112" s="227"/>
      <c r="M112" s="227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7"/>
      <c r="J113" s="227"/>
      <c r="K113" s="227"/>
      <c r="L113" s="227"/>
      <c r="M113" s="227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7"/>
      <c r="J114" s="227"/>
      <c r="K114" s="227"/>
      <c r="L114" s="227"/>
      <c r="M114" s="227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7"/>
      <c r="J115" s="227"/>
      <c r="K115" s="227"/>
      <c r="L115" s="227"/>
      <c r="M115" s="227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7"/>
      <c r="J116" s="227"/>
      <c r="K116" s="227"/>
      <c r="L116" s="227"/>
      <c r="M116" s="227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7"/>
      <c r="J117" s="227"/>
      <c r="K117" s="227"/>
      <c r="L117" s="227"/>
      <c r="M117" s="227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7"/>
      <c r="J118" s="227"/>
      <c r="K118" s="227"/>
      <c r="L118" s="227"/>
      <c r="M118" s="227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7"/>
      <c r="J119" s="227"/>
      <c r="K119" s="227"/>
      <c r="L119" s="227"/>
      <c r="M119" s="227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7"/>
      <c r="J120" s="227"/>
      <c r="K120" s="227"/>
      <c r="L120" s="227"/>
      <c r="M120" s="227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7"/>
      <c r="J121" s="227"/>
      <c r="K121" s="227"/>
      <c r="L121" s="227"/>
      <c r="M121" s="227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7"/>
      <c r="J122" s="227"/>
      <c r="K122" s="227"/>
      <c r="L122" s="227"/>
      <c r="M122" s="227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7"/>
      <c r="J123" s="227"/>
      <c r="K123" s="227"/>
      <c r="L123" s="227"/>
      <c r="M123" s="227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7"/>
      <c r="J124" s="227"/>
      <c r="K124" s="227"/>
      <c r="L124" s="227"/>
      <c r="M124" s="227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7"/>
      <c r="J125" s="227"/>
      <c r="K125" s="227"/>
      <c r="L125" s="227"/>
      <c r="M125" s="227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7"/>
      <c r="J126" s="227"/>
      <c r="K126" s="227"/>
      <c r="L126" s="227"/>
      <c r="M126" s="227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7"/>
      <c r="J127" s="227"/>
      <c r="K127" s="227"/>
      <c r="L127" s="227"/>
      <c r="M127" s="227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7"/>
      <c r="J128" s="227"/>
      <c r="K128" s="227"/>
      <c r="L128" s="227"/>
      <c r="M128" s="227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7"/>
      <c r="J129" s="227"/>
      <c r="K129" s="227"/>
      <c r="L129" s="227"/>
      <c r="M129" s="227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5" t="str">
        <f>A12</f>
        <v>Alisier torminal</v>
      </c>
      <c r="B130" s="5"/>
      <c r="C130" s="5"/>
      <c r="D130" s="5"/>
      <c r="E130" s="5"/>
      <c r="F130" s="5"/>
      <c r="G130" s="5"/>
      <c r="H130" s="5"/>
      <c r="I130" s="227"/>
      <c r="J130" s="227"/>
      <c r="K130" s="227"/>
      <c r="L130" s="227"/>
      <c r="M130" s="227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7"/>
      <c r="J131" s="227"/>
      <c r="K131" s="227"/>
      <c r="L131" s="227"/>
      <c r="M131" s="227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7"/>
      <c r="J132" s="227"/>
      <c r="K132" s="227"/>
      <c r="L132" s="227"/>
      <c r="M132" s="227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7"/>
      <c r="J133" s="227"/>
      <c r="K133" s="227"/>
      <c r="L133" s="227"/>
      <c r="M133" s="227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7"/>
      <c r="J134" s="227"/>
      <c r="K134" s="227"/>
      <c r="L134" s="227"/>
      <c r="M134" s="227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7"/>
      <c r="J135" s="227"/>
      <c r="K135" s="227"/>
      <c r="L135" s="227"/>
      <c r="M135" s="227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7"/>
      <c r="J136" s="227"/>
      <c r="K136" s="227"/>
      <c r="L136" s="227"/>
      <c r="M136" s="227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7"/>
      <c r="J137" s="227"/>
      <c r="K137" s="227"/>
      <c r="L137" s="227"/>
      <c r="M137" s="227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7"/>
      <c r="J138" s="227"/>
      <c r="K138" s="227"/>
      <c r="L138" s="227"/>
      <c r="M138" s="227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7"/>
      <c r="J139" s="227"/>
      <c r="K139" s="227"/>
      <c r="L139" s="227"/>
      <c r="M139" s="227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7"/>
      <c r="J140" s="227"/>
      <c r="K140" s="227"/>
      <c r="L140" s="227"/>
      <c r="M140" s="227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7"/>
      <c r="J141" s="227"/>
      <c r="K141" s="227"/>
      <c r="L141" s="227"/>
      <c r="M141" s="227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7"/>
      <c r="J142" s="227"/>
      <c r="K142" s="227"/>
      <c r="L142" s="227"/>
      <c r="M142" s="227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7"/>
      <c r="J143" s="227"/>
      <c r="K143" s="227"/>
      <c r="L143" s="227"/>
      <c r="M143" s="227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7"/>
      <c r="J144" s="227"/>
      <c r="K144" s="227"/>
      <c r="L144" s="227"/>
      <c r="M144" s="227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7"/>
      <c r="J145" s="227"/>
      <c r="K145" s="227"/>
      <c r="L145" s="227"/>
      <c r="M145" s="227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7"/>
      <c r="J146" s="227"/>
      <c r="K146" s="227"/>
      <c r="L146" s="227"/>
      <c r="M146" s="227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7"/>
      <c r="J147" s="227"/>
      <c r="K147" s="227"/>
      <c r="L147" s="227"/>
      <c r="M147" s="227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5" t="str">
        <f>A13</f>
        <v>Noyer</v>
      </c>
      <c r="B148" s="5"/>
      <c r="C148" s="5"/>
      <c r="D148" s="5"/>
      <c r="E148" s="5"/>
      <c r="F148" s="5"/>
      <c r="G148" s="5"/>
      <c r="H148" s="5"/>
      <c r="I148" s="227"/>
      <c r="J148" s="227"/>
      <c r="K148" s="227"/>
      <c r="L148" s="227"/>
      <c r="M148" s="227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7"/>
      <c r="J149" s="227"/>
      <c r="K149" s="227"/>
      <c r="L149" s="227"/>
      <c r="M149" s="227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7"/>
      <c r="J150" s="227"/>
      <c r="K150" s="227"/>
      <c r="L150" s="227"/>
      <c r="M150" s="227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7"/>
      <c r="J151" s="227"/>
      <c r="K151" s="227"/>
      <c r="L151" s="227"/>
      <c r="M151" s="227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7"/>
      <c r="J152" s="227"/>
      <c r="K152" s="227"/>
      <c r="L152" s="227"/>
      <c r="M152" s="227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7"/>
      <c r="J153" s="227"/>
      <c r="K153" s="227"/>
      <c r="L153" s="227"/>
      <c r="M153" s="227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7"/>
      <c r="J154" s="227"/>
      <c r="K154" s="227"/>
      <c r="L154" s="227"/>
      <c r="M154" s="227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7"/>
      <c r="J155" s="227"/>
      <c r="K155" s="227"/>
      <c r="L155" s="227"/>
      <c r="M155" s="227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7"/>
      <c r="J156" s="227"/>
      <c r="K156" s="227"/>
      <c r="L156" s="227"/>
      <c r="M156" s="227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7"/>
      <c r="J157" s="227"/>
      <c r="K157" s="227"/>
      <c r="L157" s="227"/>
      <c r="M157" s="227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7"/>
      <c r="J158" s="227"/>
      <c r="K158" s="227"/>
      <c r="L158" s="227"/>
      <c r="M158" s="227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7"/>
      <c r="J159" s="227"/>
      <c r="K159" s="227"/>
      <c r="L159" s="227"/>
      <c r="M159" s="227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7"/>
      <c r="J160" s="227"/>
      <c r="K160" s="227"/>
      <c r="L160" s="227"/>
      <c r="M160" s="227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7"/>
      <c r="J161" s="227"/>
      <c r="K161" s="227"/>
      <c r="L161" s="227"/>
      <c r="M161" s="227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7"/>
      <c r="J162" s="227"/>
      <c r="K162" s="227"/>
      <c r="L162" s="227"/>
      <c r="M162" s="227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7"/>
      <c r="J163" s="227"/>
      <c r="K163" s="227"/>
      <c r="L163" s="227"/>
      <c r="M163" s="227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7"/>
      <c r="J164" s="227"/>
      <c r="K164" s="227"/>
      <c r="L164" s="227"/>
      <c r="M164" s="227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7"/>
      <c r="J165" s="227"/>
      <c r="K165" s="227"/>
      <c r="L165" s="227"/>
      <c r="M165" s="227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5" t="str">
        <f>A14</f>
        <v>Châtaignier</v>
      </c>
      <c r="B166" s="5"/>
      <c r="C166" s="5"/>
      <c r="D166" s="5"/>
      <c r="E166" s="5"/>
      <c r="F166" s="5"/>
      <c r="G166" s="5"/>
      <c r="H166" s="5"/>
      <c r="I166" s="227"/>
      <c r="J166" s="227"/>
      <c r="K166" s="227"/>
      <c r="L166" s="227"/>
      <c r="M166" s="227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7"/>
      <c r="J167" s="227"/>
      <c r="K167" s="227"/>
      <c r="L167" s="227"/>
      <c r="M167" s="227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7"/>
      <c r="J168" s="227"/>
      <c r="K168" s="227"/>
      <c r="L168" s="227"/>
      <c r="M168" s="227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7"/>
      <c r="J169" s="227"/>
      <c r="K169" s="227"/>
      <c r="L169" s="227"/>
      <c r="M169" s="227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7"/>
      <c r="J170" s="227"/>
      <c r="K170" s="227"/>
      <c r="L170" s="227"/>
      <c r="M170" s="227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7"/>
      <c r="J171" s="227"/>
      <c r="K171" s="227"/>
      <c r="L171" s="227"/>
      <c r="M171" s="227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7"/>
      <c r="J172" s="227"/>
      <c r="K172" s="227"/>
      <c r="L172" s="227"/>
      <c r="M172" s="227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7"/>
      <c r="J173" s="227"/>
      <c r="K173" s="227"/>
      <c r="L173" s="227"/>
      <c r="M173" s="227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7"/>
      <c r="J174" s="227"/>
      <c r="K174" s="227"/>
      <c r="L174" s="227"/>
      <c r="M174" s="227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7"/>
      <c r="J175" s="227"/>
      <c r="K175" s="227"/>
      <c r="L175" s="227"/>
      <c r="M175" s="227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7"/>
      <c r="J176" s="227"/>
      <c r="K176" s="227"/>
      <c r="L176" s="227"/>
      <c r="M176" s="227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7"/>
      <c r="J177" s="227"/>
      <c r="K177" s="227"/>
      <c r="L177" s="227"/>
      <c r="M177" s="227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7"/>
      <c r="J178" s="227"/>
      <c r="K178" s="227"/>
      <c r="L178" s="227"/>
      <c r="M178" s="227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7"/>
      <c r="J179" s="227"/>
      <c r="K179" s="227"/>
      <c r="L179" s="227"/>
      <c r="M179" s="227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7"/>
      <c r="J180" s="227"/>
      <c r="K180" s="227"/>
      <c r="L180" s="227"/>
      <c r="M180" s="227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7"/>
      <c r="J181" s="227"/>
      <c r="K181" s="227"/>
      <c r="L181" s="227"/>
      <c r="M181" s="227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7"/>
      <c r="J182" s="227"/>
      <c r="K182" s="227"/>
      <c r="L182" s="227"/>
      <c r="M182" s="227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7"/>
      <c r="J183" s="227"/>
      <c r="K183" s="227"/>
      <c r="L183" s="227"/>
      <c r="M183" s="227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5" t="str">
        <f>A15</f>
        <v/>
      </c>
      <c r="B184" s="5"/>
      <c r="C184" s="5"/>
      <c r="D184" s="5"/>
      <c r="E184" s="5"/>
      <c r="F184" s="5"/>
      <c r="G184" s="5"/>
      <c r="H184" s="5"/>
      <c r="I184" s="227"/>
      <c r="J184" s="227"/>
      <c r="K184" s="227"/>
      <c r="L184" s="227"/>
      <c r="M184" s="227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7"/>
      <c r="J185" s="227"/>
      <c r="K185" s="227"/>
      <c r="L185" s="227"/>
      <c r="M185" s="227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7"/>
      <c r="J186" s="227"/>
      <c r="K186" s="227"/>
      <c r="L186" s="227"/>
      <c r="M186" s="227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7"/>
      <c r="J187" s="227"/>
      <c r="K187" s="227"/>
      <c r="L187" s="227"/>
      <c r="M187" s="227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7"/>
      <c r="J188" s="227"/>
      <c r="K188" s="227"/>
      <c r="L188" s="227"/>
      <c r="M188" s="227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7"/>
      <c r="J189" s="227"/>
      <c r="K189" s="227"/>
      <c r="L189" s="227"/>
      <c r="M189" s="227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7"/>
      <c r="J190" s="227"/>
      <c r="K190" s="227"/>
      <c r="L190" s="227"/>
      <c r="M190" s="227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7"/>
      <c r="J191" s="227"/>
      <c r="K191" s="227"/>
      <c r="L191" s="227"/>
      <c r="M191" s="227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7"/>
      <c r="J192" s="227"/>
      <c r="K192" s="227"/>
      <c r="L192" s="227"/>
      <c r="M192" s="227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7"/>
      <c r="J193" s="227"/>
      <c r="K193" s="227"/>
      <c r="L193" s="227"/>
      <c r="M193" s="227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7"/>
      <c r="J194" s="227"/>
      <c r="K194" s="227"/>
      <c r="L194" s="227"/>
      <c r="M194" s="227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7"/>
      <c r="J195" s="227"/>
      <c r="K195" s="227"/>
      <c r="L195" s="227"/>
      <c r="M195" s="227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7"/>
      <c r="J196" s="227"/>
      <c r="K196" s="227"/>
      <c r="L196" s="227"/>
      <c r="M196" s="227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7"/>
      <c r="J197" s="227"/>
      <c r="K197" s="227"/>
      <c r="L197" s="227"/>
      <c r="M197" s="227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7"/>
      <c r="J198" s="227"/>
      <c r="K198" s="227"/>
      <c r="L198" s="227"/>
      <c r="M198" s="227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7"/>
      <c r="J199" s="227"/>
      <c r="K199" s="227"/>
      <c r="L199" s="227"/>
      <c r="M199" s="227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7"/>
      <c r="J200" s="227"/>
      <c r="K200" s="227"/>
      <c r="L200" s="227"/>
      <c r="M200" s="227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7"/>
      <c r="J201" s="227"/>
      <c r="K201" s="227"/>
      <c r="L201" s="227"/>
      <c r="M201" s="227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7"/>
      <c r="J202" s="227"/>
      <c r="K202" s="227"/>
      <c r="L202" s="227"/>
      <c r="M202" s="227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7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I1" zoomScale="80" zoomScaleNormal="80" workbookViewId="0">
      <selection activeCell="U31" sqref="U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8" customFormat="1" x14ac:dyDescent="0.25">
      <c r="A3" s="95"/>
      <c r="B3" s="95"/>
      <c r="C3" s="95"/>
      <c r="D3" s="95"/>
      <c r="E3" s="95"/>
      <c r="F3" s="176"/>
      <c r="G3" s="176"/>
      <c r="H3" s="177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</row>
    <row r="4" spans="1:42" s="198" customFormat="1" x14ac:dyDescent="0.25">
      <c r="A4" s="95"/>
      <c r="B4" s="95"/>
      <c r="C4" s="95"/>
      <c r="D4" s="95"/>
      <c r="E4" s="95"/>
      <c r="G4" s="176"/>
      <c r="H4" s="338" t="s">
        <v>315</v>
      </c>
      <c r="I4" s="338"/>
      <c r="K4" s="335" t="s">
        <v>253</v>
      </c>
      <c r="L4" s="336"/>
      <c r="M4" s="264">
        <v>4.4999999999999998E-2</v>
      </c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s="198" customFormat="1" x14ac:dyDescent="0.25">
      <c r="A5" s="95"/>
      <c r="B5" s="95"/>
      <c r="C5" s="95"/>
      <c r="D5" s="95"/>
      <c r="E5" s="95"/>
      <c r="G5" s="176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</row>
    <row r="6" spans="1:42" s="198" customFormat="1" ht="15.75" thickBot="1" x14ac:dyDescent="0.3">
      <c r="A6" s="95"/>
      <c r="B6" s="95"/>
      <c r="C6" s="95"/>
      <c r="D6" s="95"/>
      <c r="E6" s="95"/>
      <c r="F6" s="225"/>
      <c r="G6" s="176"/>
      <c r="H6" s="178"/>
      <c r="I6" s="178"/>
      <c r="J6" s="178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s="198" customFormat="1" ht="27.75" customHeight="1" thickBot="1" x14ac:dyDescent="0.45">
      <c r="A7" s="271"/>
      <c r="B7" s="272"/>
      <c r="C7" s="272"/>
      <c r="D7" s="272"/>
      <c r="E7" s="273"/>
      <c r="F7" s="273" t="s">
        <v>192</v>
      </c>
      <c r="G7" s="274"/>
      <c r="H7" s="272"/>
      <c r="I7" s="272"/>
      <c r="J7" s="275"/>
      <c r="K7" s="269"/>
      <c r="L7" s="270"/>
      <c r="M7" s="270"/>
      <c r="N7" s="276" t="s">
        <v>191</v>
      </c>
      <c r="O7" s="276"/>
      <c r="P7" s="277"/>
      <c r="Q7" s="278"/>
      <c r="R7" s="327" t="s">
        <v>310</v>
      </c>
      <c r="S7" s="328"/>
      <c r="T7" s="328"/>
      <c r="U7" s="328"/>
      <c r="V7" s="329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</row>
    <row r="8" spans="1:42" x14ac:dyDescent="0.25">
      <c r="A8" s="25"/>
      <c r="C8" s="25"/>
      <c r="D8" s="25"/>
      <c r="E8" s="25"/>
      <c r="F8" s="217"/>
      <c r="G8" s="217"/>
      <c r="H8" s="5"/>
      <c r="I8" s="5"/>
      <c r="J8" s="210"/>
      <c r="K8" s="221"/>
      <c r="L8" s="25"/>
      <c r="M8" s="25"/>
      <c r="N8" s="25"/>
      <c r="O8" s="25"/>
      <c r="P8" s="25"/>
      <c r="Q8" s="261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6" t="s">
        <v>311</v>
      </c>
      <c r="C9" s="25"/>
      <c r="D9" s="25"/>
      <c r="E9" s="25"/>
      <c r="F9" s="257"/>
      <c r="G9" s="256" t="s">
        <v>314</v>
      </c>
      <c r="J9" s="210"/>
      <c r="K9" s="221"/>
      <c r="O9" s="25"/>
      <c r="P9" s="25"/>
      <c r="Q9" s="261"/>
      <c r="R9" s="25"/>
      <c r="S9" s="5"/>
      <c r="T9" s="181" t="s">
        <v>262</v>
      </c>
      <c r="U9" s="184" t="s">
        <v>249</v>
      </c>
      <c r="V9" s="181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6" t="s">
        <v>317</v>
      </c>
      <c r="C10" s="25"/>
      <c r="D10" s="25"/>
      <c r="E10" s="25"/>
      <c r="F10" s="257"/>
      <c r="G10" s="256" t="s">
        <v>316</v>
      </c>
      <c r="J10" s="210"/>
      <c r="K10" s="221"/>
      <c r="O10" s="25"/>
      <c r="P10" s="25"/>
      <c r="Q10" s="261"/>
      <c r="R10" s="25"/>
      <c r="S10" s="181" t="str">
        <f>B14</f>
        <v>Chêne pubescent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627.2613399164585</v>
      </c>
      <c r="U10" s="186">
        <f>'Données projet'!D9</f>
        <v>3.7239999999999998</v>
      </c>
      <c r="V10" s="185">
        <f>U10*T10</f>
        <v>2335.9212298488915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6" t="s">
        <v>312</v>
      </c>
      <c r="B11" s="25"/>
      <c r="C11" s="25"/>
      <c r="D11" s="25"/>
      <c r="E11" s="25"/>
      <c r="F11" s="257"/>
      <c r="G11" s="256" t="s">
        <v>313</v>
      </c>
      <c r="J11" s="210"/>
      <c r="K11" s="221"/>
      <c r="M11" s="5"/>
      <c r="N11" s="5"/>
      <c r="O11" s="25"/>
      <c r="P11" s="25"/>
      <c r="Q11" s="261"/>
      <c r="R11" s="25"/>
      <c r="S11" s="181" t="str">
        <f>B45</f>
        <v>Chêne chevelu</v>
      </c>
      <c r="T11" s="26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496.26320163946804</v>
      </c>
      <c r="U11" s="186">
        <f>'Données projet'!D10</f>
        <v>1.2874400000000001</v>
      </c>
      <c r="V11" s="185">
        <f t="shared" ref="V11" si="0">U11*T11</f>
        <v>638.90909631871682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7"/>
      <c r="G12" s="1"/>
      <c r="J12" s="210"/>
      <c r="K12" s="221"/>
      <c r="L12" s="213"/>
      <c r="M12" s="25"/>
      <c r="N12" s="25"/>
      <c r="O12" s="25"/>
      <c r="P12" s="25"/>
      <c r="Q12" s="261"/>
      <c r="R12" s="25"/>
      <c r="S12" s="181" t="str">
        <f>B76</f>
        <v>Erable champêtre</v>
      </c>
      <c r="T12" s="26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1683.8493794567451</v>
      </c>
      <c r="U12" s="186">
        <f>'Données projet'!D11</f>
        <v>1.2342400000000002</v>
      </c>
      <c r="V12" s="185">
        <f t="shared" ref="V12:V19" si="1">U12*T12</f>
        <v>2078.2742581006933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7"/>
      <c r="J13" s="25"/>
      <c r="K13" s="221"/>
      <c r="L13" s="180" t="s">
        <v>257</v>
      </c>
      <c r="M13" s="25"/>
      <c r="N13" s="25"/>
      <c r="O13" s="25"/>
      <c r="P13" s="25"/>
      <c r="Q13" s="261"/>
      <c r="R13" s="25"/>
      <c r="S13" s="181" t="str">
        <f>B107</f>
        <v>Cormier</v>
      </c>
      <c r="T13" s="26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627.2613399164585</v>
      </c>
      <c r="U13" s="186">
        <f>'Données projet'!D12</f>
        <v>1.0640000000000001</v>
      </c>
      <c r="V13" s="185">
        <f t="shared" si="1"/>
        <v>667.40606567111183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2" t="str">
        <f>IF('Données projet'!$B$9="","",'Données projet'!$B$9)</f>
        <v>Chêne pubescent</v>
      </c>
      <c r="C14" s="5"/>
      <c r="D14" s="5"/>
      <c r="E14" s="5"/>
      <c r="F14" s="257"/>
      <c r="G14" s="217"/>
      <c r="H14" s="181" t="s">
        <v>178</v>
      </c>
      <c r="I14" s="181" t="s">
        <v>290</v>
      </c>
      <c r="J14" s="211"/>
      <c r="K14" s="179"/>
      <c r="L14" s="213"/>
      <c r="M14" s="25"/>
      <c r="N14" s="25"/>
      <c r="O14" s="5"/>
      <c r="P14" s="5"/>
      <c r="Q14" s="262"/>
      <c r="R14" s="5"/>
      <c r="S14" s="181" t="str">
        <f>B138</f>
        <v>Cèdre de l'Atlas</v>
      </c>
      <c r="T14" s="26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1243.2240223501499</v>
      </c>
      <c r="U14" s="186">
        <f>'Données projet'!D13</f>
        <v>0.89376000000000011</v>
      </c>
      <c r="V14" s="185">
        <f t="shared" si="1"/>
        <v>1111.1439022156701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7"/>
      <c r="G15" s="339" t="s">
        <v>318</v>
      </c>
      <c r="H15" s="199">
        <v>0</v>
      </c>
      <c r="I15" s="200">
        <v>0</v>
      </c>
      <c r="J15" s="212"/>
      <c r="K15" s="221"/>
      <c r="L15" s="213"/>
      <c r="M15" s="25"/>
      <c r="N15" s="25"/>
      <c r="O15" s="25"/>
      <c r="P15" s="25"/>
      <c r="Q15" s="261"/>
      <c r="R15" s="25"/>
      <c r="S15" s="181" t="str">
        <f>B169</f>
        <v>Micocoulier de Provence</v>
      </c>
      <c r="T15" s="26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267.93882047025818</v>
      </c>
      <c r="U15" s="186">
        <f>'Données projet'!D14</f>
        <v>0.61712000000000011</v>
      </c>
      <c r="V15" s="185">
        <f t="shared" si="1"/>
        <v>165.35040488860577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3" t="s">
        <v>180</v>
      </c>
      <c r="B16" s="51" t="s">
        <v>256</v>
      </c>
      <c r="C16" s="51" t="s">
        <v>255</v>
      </c>
      <c r="D16" s="253" t="s">
        <v>252</v>
      </c>
      <c r="E16" s="253" t="s">
        <v>320</v>
      </c>
      <c r="F16" s="257"/>
      <c r="G16" s="339"/>
      <c r="H16" s="199"/>
      <c r="I16" s="200"/>
      <c r="J16" s="212"/>
      <c r="K16" s="221"/>
      <c r="L16" s="335" t="s">
        <v>254</v>
      </c>
      <c r="M16" s="336"/>
      <c r="N16" s="2"/>
      <c r="O16" s="25"/>
      <c r="P16" s="25"/>
      <c r="Q16" s="261"/>
      <c r="R16" s="25"/>
      <c r="S16" s="181" t="str">
        <f>B200</f>
        <v>Alisier torminal</v>
      </c>
      <c r="T16" s="26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627.2613399164585</v>
      </c>
      <c r="U16" s="186">
        <f>'Données projet'!D15</f>
        <v>0.53200000000000003</v>
      </c>
      <c r="V16" s="185">
        <f t="shared" si="1"/>
        <v>333.70303283555592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6">
        <v>0</v>
      </c>
      <c r="B17" s="209" t="s">
        <v>132</v>
      </c>
      <c r="C17" s="208" t="s">
        <v>132</v>
      </c>
      <c r="D17" s="207" t="s">
        <v>132</v>
      </c>
      <c r="E17" s="202"/>
      <c r="F17" s="257"/>
      <c r="G17" s="339"/>
      <c r="J17" s="212"/>
      <c r="K17" s="221"/>
      <c r="L17" s="293" t="s">
        <v>289</v>
      </c>
      <c r="M17" s="295"/>
      <c r="N17" s="183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1"/>
      <c r="R17" s="25"/>
      <c r="S17" s="181" t="str">
        <f>B231</f>
        <v>Noyer</v>
      </c>
      <c r="T17" s="26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1515.596829214463</v>
      </c>
      <c r="U17" s="186">
        <f>'Données projet'!D16</f>
        <v>0.53200000000000003</v>
      </c>
      <c r="V17" s="185">
        <f t="shared" si="1"/>
        <v>806.29751314209432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6">
        <v>1</v>
      </c>
      <c r="B18" s="209" t="s">
        <v>132</v>
      </c>
      <c r="C18" s="208" t="s">
        <v>132</v>
      </c>
      <c r="D18" s="207" t="s">
        <v>132</v>
      </c>
      <c r="E18" s="202"/>
      <c r="F18" s="257"/>
      <c r="G18" s="339"/>
      <c r="J18" s="212"/>
      <c r="K18" s="221"/>
      <c r="L18" s="293" t="s">
        <v>255</v>
      </c>
      <c r="M18" s="295"/>
      <c r="N18" s="201"/>
      <c r="O18" s="25"/>
      <c r="P18" s="25"/>
      <c r="Q18" s="261"/>
      <c r="R18" s="25"/>
      <c r="S18" s="181" t="str">
        <f>B262</f>
        <v>Châtaignier</v>
      </c>
      <c r="T18" s="26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1515.596829214463</v>
      </c>
      <c r="U18" s="186">
        <f>'Données projet'!D17</f>
        <v>0.22344000000000003</v>
      </c>
      <c r="V18" s="185">
        <f t="shared" si="1"/>
        <v>338.64495551967968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6">
        <v>2</v>
      </c>
      <c r="B19" s="209" t="s">
        <v>132</v>
      </c>
      <c r="C19" s="208" t="s">
        <v>132</v>
      </c>
      <c r="D19" s="207" t="s">
        <v>132</v>
      </c>
      <c r="E19" s="202"/>
      <c r="F19" s="257"/>
      <c r="G19" s="339"/>
      <c r="H19" s="228" t="s">
        <v>178</v>
      </c>
      <c r="I19" s="228" t="s">
        <v>287</v>
      </c>
      <c r="J19" s="256"/>
      <c r="K19" s="179"/>
      <c r="L19" s="335" t="s">
        <v>288</v>
      </c>
      <c r="M19" s="336"/>
      <c r="N19" s="187">
        <f>N17*N18</f>
        <v>0</v>
      </c>
      <c r="O19" s="25"/>
      <c r="P19" s="5"/>
      <c r="Q19" s="262"/>
      <c r="R19" s="5"/>
      <c r="S19" s="181" t="str">
        <f>B293</f>
        <v/>
      </c>
      <c r="T19" s="26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6">
        <f>'Données projet'!D18</f>
        <v>0</v>
      </c>
      <c r="V19" s="185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6">
        <v>3</v>
      </c>
      <c r="B20" s="209" t="s">
        <v>132</v>
      </c>
      <c r="C20" s="208" t="s">
        <v>132</v>
      </c>
      <c r="D20" s="207" t="s">
        <v>132</v>
      </c>
      <c r="E20" s="202"/>
      <c r="F20" s="257"/>
      <c r="G20" s="339"/>
      <c r="H20" s="199">
        <v>0</v>
      </c>
      <c r="I20" s="200">
        <v>7000</v>
      </c>
      <c r="J20" s="5"/>
      <c r="K20" s="179"/>
      <c r="O20" s="25"/>
      <c r="P20" s="5"/>
      <c r="Q20" s="262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6">
        <v>4</v>
      </c>
      <c r="B21" s="209" t="s">
        <v>132</v>
      </c>
      <c r="C21" s="208" t="s">
        <v>132</v>
      </c>
      <c r="D21" s="207" t="s">
        <v>132</v>
      </c>
      <c r="E21" s="202"/>
      <c r="F21" s="257"/>
      <c r="H21" s="199"/>
      <c r="I21" s="200"/>
      <c r="K21" s="179"/>
      <c r="O21" s="25"/>
      <c r="P21" s="5"/>
      <c r="Q21" s="262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6">
        <v>5</v>
      </c>
      <c r="B22" s="209" t="s">
        <v>132</v>
      </c>
      <c r="C22" s="208" t="s">
        <v>132</v>
      </c>
      <c r="D22" s="207" t="s">
        <v>132</v>
      </c>
      <c r="E22" s="202"/>
      <c r="F22" s="257"/>
      <c r="H22" s="199"/>
      <c r="I22" s="200"/>
      <c r="K22" s="179"/>
      <c r="O22" s="25"/>
      <c r="P22" s="5"/>
      <c r="Q22" s="262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88">
        <f>'Données projet'!A36</f>
        <v>20</v>
      </c>
      <c r="B23" s="189">
        <f>'Données projet'!D36</f>
        <v>0</v>
      </c>
      <c r="C23" s="202"/>
      <c r="D23" s="190">
        <f>B23*C23</f>
        <v>0</v>
      </c>
      <c r="E23" s="202"/>
      <c r="F23" s="257"/>
      <c r="H23" s="199"/>
      <c r="I23" s="200"/>
      <c r="K23" s="221"/>
      <c r="L23" s="337" t="s">
        <v>260</v>
      </c>
      <c r="M23" s="337"/>
      <c r="N23" s="337"/>
      <c r="O23" s="25"/>
      <c r="P23" s="25"/>
      <c r="Q23" s="261"/>
      <c r="R23" s="25"/>
      <c r="S23" s="181" t="s">
        <v>264</v>
      </c>
      <c r="T23" s="33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-66004.349541458985</v>
      </c>
      <c r="U23" s="332"/>
      <c r="V23" s="33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88">
        <f>'Données projet'!A37</f>
        <v>25</v>
      </c>
      <c r="B24" s="189">
        <f>'Données projet'!D37</f>
        <v>0</v>
      </c>
      <c r="C24" s="200"/>
      <c r="D24" s="190">
        <f t="shared" ref="D24:D42" si="2">B24*C24</f>
        <v>0</v>
      </c>
      <c r="E24" s="202"/>
      <c r="F24" s="260"/>
      <c r="H24" s="199"/>
      <c r="I24" s="200"/>
      <c r="K24" s="221"/>
      <c r="O24" s="25"/>
      <c r="P24" s="25"/>
      <c r="Q24" s="261"/>
      <c r="R24" s="25"/>
      <c r="S24" s="181" t="s">
        <v>261</v>
      </c>
      <c r="T24" s="333">
        <f ca="1">'Scénario référence'!$B$8*$M$30*'Données projet'!$C$5+('Scénario référence'!B9+'Scénario référence'!B10+'Scénario référence'!F8+'Scénario référence'!F9)*$N$19/(1+M4)^N16*'Données projet'!$C$5</f>
        <v>96038.108011903299</v>
      </c>
      <c r="U24" s="333"/>
      <c r="V24" s="33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88">
        <f>'Données projet'!A38</f>
        <v>30</v>
      </c>
      <c r="B25" s="189">
        <f>'Données projet'!D38</f>
        <v>29</v>
      </c>
      <c r="C25" s="200">
        <v>10</v>
      </c>
      <c r="D25" s="190">
        <f t="shared" si="2"/>
        <v>290</v>
      </c>
      <c r="E25" s="202"/>
      <c r="F25" s="260"/>
      <c r="G25" s="1"/>
      <c r="H25" s="199"/>
      <c r="I25" s="200"/>
      <c r="K25" s="221"/>
      <c r="L25" s="267" t="s">
        <v>285</v>
      </c>
      <c r="M25" s="267"/>
      <c r="N25" s="267"/>
      <c r="O25" s="267"/>
      <c r="P25" s="201">
        <v>400</v>
      </c>
      <c r="Q25" s="261"/>
      <c r="R25" s="25"/>
      <c r="S25" s="194" t="s">
        <v>266</v>
      </c>
      <c r="T25" s="334">
        <f ca="1">T23-T24</f>
        <v>-162042.4575533623</v>
      </c>
      <c r="U25" s="334"/>
      <c r="V25" s="33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88">
        <f>'Données projet'!A39</f>
        <v>35</v>
      </c>
      <c r="B26" s="189">
        <f>'Données projet'!D39</f>
        <v>0</v>
      </c>
      <c r="C26" s="200"/>
      <c r="D26" s="190">
        <f t="shared" si="2"/>
        <v>0</v>
      </c>
      <c r="E26" s="202"/>
      <c r="F26" s="260"/>
      <c r="G26" s="255"/>
      <c r="H26" s="199"/>
      <c r="I26" s="200"/>
      <c r="K26" s="221"/>
      <c r="L26" s="321" t="s">
        <v>258</v>
      </c>
      <c r="M26" s="322"/>
      <c r="N26" s="322"/>
      <c r="O26" s="322"/>
      <c r="P26" s="323"/>
      <c r="Q26" s="261"/>
      <c r="R26" s="25"/>
      <c r="S26" s="194" t="s">
        <v>265</v>
      </c>
      <c r="T26" s="331" t="str">
        <f ca="1">IF(T25&lt;0,"Votre projet est additionnel","Votre projet n'est pas additionnel")</f>
        <v>Votre projet est additionnel</v>
      </c>
      <c r="U26" s="331"/>
      <c r="V26" s="33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88">
        <f>'Données projet'!A40</f>
        <v>40</v>
      </c>
      <c r="B27" s="189">
        <f>'Données projet'!D40</f>
        <v>42</v>
      </c>
      <c r="C27" s="200">
        <v>15</v>
      </c>
      <c r="D27" s="190">
        <f t="shared" si="2"/>
        <v>630</v>
      </c>
      <c r="E27" s="202"/>
      <c r="F27" s="260"/>
      <c r="G27" s="255"/>
      <c r="H27" s="199"/>
      <c r="I27" s="200"/>
      <c r="K27" s="221"/>
      <c r="L27" s="324"/>
      <c r="M27" s="325"/>
      <c r="N27" s="325"/>
      <c r="O27" s="325"/>
      <c r="P27" s="326"/>
      <c r="Q27" s="261"/>
      <c r="R27" s="25"/>
      <c r="S27" s="330" t="s">
        <v>267</v>
      </c>
      <c r="T27" s="330"/>
      <c r="U27" s="330"/>
      <c r="V27" s="33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88">
        <f>'Données projet'!A41</f>
        <v>45</v>
      </c>
      <c r="B28" s="189">
        <f>'Données projet'!D41</f>
        <v>0</v>
      </c>
      <c r="C28" s="200"/>
      <c r="D28" s="190">
        <f t="shared" si="2"/>
        <v>0</v>
      </c>
      <c r="E28" s="202"/>
      <c r="F28" s="260"/>
      <c r="G28" s="218"/>
      <c r="H28" s="199"/>
      <c r="I28" s="200"/>
      <c r="K28" s="221"/>
      <c r="Q28" s="261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88">
        <f>'Données projet'!A42</f>
        <v>50</v>
      </c>
      <c r="B29" s="189">
        <f>'Données projet'!D42</f>
        <v>42</v>
      </c>
      <c r="C29" s="200">
        <v>20</v>
      </c>
      <c r="D29" s="190">
        <f t="shared" si="2"/>
        <v>840</v>
      </c>
      <c r="E29" s="202"/>
      <c r="F29" s="260"/>
      <c r="G29" s="214"/>
      <c r="H29" s="199"/>
      <c r="I29" s="200"/>
      <c r="K29" s="221"/>
      <c r="O29" s="25"/>
      <c r="P29" s="25"/>
      <c r="Q29" s="261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88">
        <f>'Données projet'!A43</f>
        <v>55</v>
      </c>
      <c r="B30" s="189">
        <f>'Données projet'!D43</f>
        <v>0</v>
      </c>
      <c r="C30" s="200"/>
      <c r="D30" s="190">
        <f t="shared" si="2"/>
        <v>0</v>
      </c>
      <c r="E30" s="202"/>
      <c r="F30" s="260"/>
      <c r="G30" s="214"/>
      <c r="H30" s="199"/>
      <c r="I30" s="200"/>
      <c r="K30" s="191"/>
      <c r="L30" s="181" t="s">
        <v>259</v>
      </c>
      <c r="M30" s="192">
        <f ca="1">SUM(OFFSET($P$33,0,0,MIN('Données projet'!$E$9:$E$18)+1,1))</f>
        <v>9026.1379710435431</v>
      </c>
      <c r="O30" s="5"/>
      <c r="P30" s="5"/>
      <c r="Q30" s="262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88">
        <f>'Données projet'!A44</f>
        <v>60</v>
      </c>
      <c r="B31" s="189">
        <f>'Données projet'!D44</f>
        <v>42</v>
      </c>
      <c r="C31" s="200">
        <v>25</v>
      </c>
      <c r="D31" s="190">
        <f t="shared" si="2"/>
        <v>1050</v>
      </c>
      <c r="E31" s="202"/>
      <c r="F31" s="260"/>
      <c r="G31" s="214"/>
      <c r="H31" s="199"/>
      <c r="I31" s="200"/>
      <c r="K31" s="179"/>
      <c r="Q31" s="261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88">
        <f>'Données projet'!A45</f>
        <v>65</v>
      </c>
      <c r="B32" s="189">
        <f>'Données projet'!D45</f>
        <v>0</v>
      </c>
      <c r="C32" s="200"/>
      <c r="D32" s="190">
        <f t="shared" si="2"/>
        <v>0</v>
      </c>
      <c r="E32" s="202"/>
      <c r="F32" s="260"/>
      <c r="G32" s="214"/>
      <c r="H32" s="199"/>
      <c r="I32" s="200"/>
      <c r="K32" s="179"/>
      <c r="N32" s="5"/>
      <c r="O32" s="266" t="s">
        <v>178</v>
      </c>
      <c r="P32" s="266" t="s">
        <v>252</v>
      </c>
      <c r="Q32" s="261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88">
        <f>'Données projet'!A46</f>
        <v>70</v>
      </c>
      <c r="B33" s="189">
        <f>'Données projet'!D46</f>
        <v>42</v>
      </c>
      <c r="C33" s="200">
        <v>30</v>
      </c>
      <c r="D33" s="190">
        <f t="shared" si="2"/>
        <v>1260</v>
      </c>
      <c r="E33" s="202"/>
      <c r="F33" s="260"/>
      <c r="G33" s="214"/>
      <c r="H33" s="199"/>
      <c r="I33" s="200"/>
      <c r="K33" s="179"/>
      <c r="L33" s="5"/>
      <c r="M33" s="5"/>
      <c r="N33" s="5"/>
      <c r="O33" s="203">
        <v>0</v>
      </c>
      <c r="P33" s="193">
        <f t="shared" ref="P33:P64" si="3">$P$25/(1+$M$4)^O33</f>
        <v>400</v>
      </c>
      <c r="Q33" s="261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88">
        <f>'Données projet'!A47</f>
        <v>75</v>
      </c>
      <c r="B34" s="189">
        <f>'Données projet'!D47</f>
        <v>0</v>
      </c>
      <c r="C34" s="200"/>
      <c r="D34" s="190">
        <f t="shared" si="2"/>
        <v>0</v>
      </c>
      <c r="E34" s="202"/>
      <c r="F34" s="260"/>
      <c r="G34" s="214"/>
      <c r="H34" s="199"/>
      <c r="I34" s="200"/>
      <c r="K34" s="179"/>
      <c r="L34" s="280"/>
      <c r="M34" s="280"/>
      <c r="N34" s="281"/>
      <c r="O34" s="203">
        <f>IF(O33+1&lt;=MIN('Données projet'!$E$9:$E$18),O33+1,"STOP")</f>
        <v>1</v>
      </c>
      <c r="P34" s="193">
        <f t="shared" si="3"/>
        <v>382.7751196172249</v>
      </c>
      <c r="Q34" s="261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88">
        <f>'Données projet'!A48</f>
        <v>80</v>
      </c>
      <c r="B35" s="189">
        <f>'Données projet'!D48</f>
        <v>42</v>
      </c>
      <c r="C35" s="200">
        <v>35</v>
      </c>
      <c r="D35" s="190">
        <f t="shared" si="2"/>
        <v>1470</v>
      </c>
      <c r="E35" s="202"/>
      <c r="F35" s="260"/>
      <c r="G35" s="214"/>
      <c r="H35" s="199"/>
      <c r="I35" s="200"/>
      <c r="K35" s="179"/>
      <c r="L35" s="280"/>
      <c r="M35" s="280"/>
      <c r="N35" s="281"/>
      <c r="O35" s="203">
        <f>IF(O34+1&lt;=MIN('Données projet'!$E$9:$E$18),O34+1,"STOP")</f>
        <v>2</v>
      </c>
      <c r="P35" s="193">
        <f t="shared" si="3"/>
        <v>366.2919804949521</v>
      </c>
      <c r="Q35" s="261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88">
        <f>'Données projet'!A49</f>
        <v>90</v>
      </c>
      <c r="B36" s="189">
        <f>'Données projet'!D49</f>
        <v>42</v>
      </c>
      <c r="C36" s="202">
        <v>40</v>
      </c>
      <c r="D36" s="190">
        <f t="shared" si="2"/>
        <v>1680</v>
      </c>
      <c r="E36" s="202"/>
      <c r="F36" s="260"/>
      <c r="G36" s="214"/>
      <c r="H36" s="199"/>
      <c r="I36" s="200"/>
      <c r="K36" s="179"/>
      <c r="L36" s="25"/>
      <c r="M36" s="25"/>
      <c r="N36" s="25"/>
      <c r="O36" s="203">
        <f>IF(O35+1&lt;=MIN('Données projet'!$E$9:$E$18),O35+1,"STOP")</f>
        <v>3</v>
      </c>
      <c r="P36" s="193">
        <f t="shared" si="3"/>
        <v>350.51864162196375</v>
      </c>
      <c r="Q36" s="261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88">
        <f>'Données projet'!A50</f>
        <v>100</v>
      </c>
      <c r="B37" s="189">
        <f>'Données projet'!D50</f>
        <v>42</v>
      </c>
      <c r="C37" s="202">
        <v>45</v>
      </c>
      <c r="D37" s="190">
        <f t="shared" si="2"/>
        <v>1890</v>
      </c>
      <c r="E37" s="202"/>
      <c r="F37" s="260"/>
      <c r="G37" s="214"/>
      <c r="H37" s="199"/>
      <c r="I37" s="200"/>
      <c r="K37" s="179"/>
      <c r="L37" s="25"/>
      <c r="M37" s="25"/>
      <c r="N37" s="25"/>
      <c r="O37" s="203">
        <f>IF(O36+1&lt;=MIN('Données projet'!$E$9:$E$18),O36+1,"STOP")</f>
        <v>4</v>
      </c>
      <c r="P37" s="193">
        <f t="shared" si="3"/>
        <v>335.42453743728595</v>
      </c>
      <c r="Q37" s="261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88">
        <f>'Données projet'!A51</f>
        <v>110</v>
      </c>
      <c r="B38" s="189">
        <f>'Données projet'!D51</f>
        <v>39</v>
      </c>
      <c r="C38" s="202">
        <v>50</v>
      </c>
      <c r="D38" s="190">
        <f t="shared" si="2"/>
        <v>1950</v>
      </c>
      <c r="E38" s="202"/>
      <c r="F38" s="260"/>
      <c r="G38" s="214"/>
      <c r="H38" s="199"/>
      <c r="I38" s="200"/>
      <c r="K38" s="179"/>
      <c r="L38" s="25"/>
      <c r="M38" s="25"/>
      <c r="N38" s="25"/>
      <c r="O38" s="203">
        <f>IF(O37+1&lt;=MIN('Données projet'!$E$9:$E$18),O37+1,"STOP")</f>
        <v>5</v>
      </c>
      <c r="P38" s="193">
        <f t="shared" si="3"/>
        <v>320.98041860027365</v>
      </c>
      <c r="Q38" s="261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88">
        <f>'Données projet'!A52</f>
        <v>120</v>
      </c>
      <c r="B39" s="189">
        <f>'Données projet'!D52</f>
        <v>35</v>
      </c>
      <c r="C39" s="202">
        <v>60</v>
      </c>
      <c r="D39" s="190">
        <f t="shared" si="2"/>
        <v>2100</v>
      </c>
      <c r="E39" s="202"/>
      <c r="F39" s="260"/>
      <c r="G39" s="214"/>
      <c r="H39" s="199"/>
      <c r="I39" s="200"/>
      <c r="K39" s="221"/>
      <c r="L39" s="25"/>
      <c r="M39" s="25"/>
      <c r="N39" s="25"/>
      <c r="O39" s="203">
        <f>IF(O38+1&lt;=MIN('Données projet'!$E$9:$E$18),O38+1,"STOP")</f>
        <v>6</v>
      </c>
      <c r="P39" s="193">
        <f t="shared" si="3"/>
        <v>307.15829531126673</v>
      </c>
      <c r="Q39" s="261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88">
        <f>'Données projet'!A53</f>
        <v>130</v>
      </c>
      <c r="B40" s="189">
        <f>'Données projet'!D53</f>
        <v>31</v>
      </c>
      <c r="C40" s="202">
        <v>70</v>
      </c>
      <c r="D40" s="190">
        <f t="shared" si="2"/>
        <v>2170</v>
      </c>
      <c r="E40" s="202"/>
      <c r="F40" s="260"/>
      <c r="G40" s="214"/>
      <c r="H40" s="199"/>
      <c r="I40" s="200"/>
      <c r="K40" s="221"/>
      <c r="L40" s="25"/>
      <c r="M40" s="25"/>
      <c r="N40" s="25"/>
      <c r="O40" s="203">
        <f>IF(O39+1&lt;=MIN('Données projet'!$E$9:$E$18),O39+1,"STOP")</f>
        <v>7</v>
      </c>
      <c r="P40" s="193">
        <f t="shared" si="3"/>
        <v>293.9313830729825</v>
      </c>
      <c r="Q40" s="261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88">
        <f>'Données projet'!A54</f>
        <v>140</v>
      </c>
      <c r="B41" s="189">
        <f>'Données projet'!D54</f>
        <v>27</v>
      </c>
      <c r="C41" s="202">
        <v>80</v>
      </c>
      <c r="D41" s="190">
        <f t="shared" si="2"/>
        <v>2160</v>
      </c>
      <c r="E41" s="202"/>
      <c r="F41" s="260"/>
      <c r="G41" s="214"/>
      <c r="H41" s="199"/>
      <c r="I41" s="200"/>
      <c r="K41" s="221"/>
      <c r="L41" s="25"/>
      <c r="M41" s="25"/>
      <c r="N41" s="25"/>
      <c r="O41" s="203">
        <f>IF(O40+1&lt;=MIN('Données projet'!$E$9:$E$18),O40+1,"STOP")</f>
        <v>8</v>
      </c>
      <c r="P41" s="193">
        <f t="shared" si="3"/>
        <v>281.27405078754316</v>
      </c>
      <c r="Q41" s="261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88">
        <f>'Données projet'!A55</f>
        <v>150</v>
      </c>
      <c r="B42" s="189">
        <f>'Données projet'!D55</f>
        <v>293</v>
      </c>
      <c r="C42" s="202">
        <v>200</v>
      </c>
      <c r="D42" s="190">
        <f t="shared" si="2"/>
        <v>58600</v>
      </c>
      <c r="E42" s="202"/>
      <c r="F42" s="260"/>
      <c r="G42" s="214"/>
      <c r="H42" s="199"/>
      <c r="I42" s="200"/>
      <c r="K42" s="221"/>
      <c r="L42" s="25"/>
      <c r="M42" s="25"/>
      <c r="N42" s="25"/>
      <c r="O42" s="203">
        <f>IF(O41+1&lt;=MIN('Données projet'!$E$9:$E$18),O41+1,"STOP")</f>
        <v>9</v>
      </c>
      <c r="P42" s="193">
        <f t="shared" si="3"/>
        <v>269.16177108855805</v>
      </c>
      <c r="Q42" s="261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5"/>
      <c r="B43" s="195"/>
      <c r="C43" s="195"/>
      <c r="D43" s="252"/>
      <c r="E43" s="252"/>
      <c r="F43" s="265"/>
      <c r="G43" s="214"/>
      <c r="H43" s="199"/>
      <c r="I43" s="200"/>
      <c r="K43" s="221"/>
      <c r="L43" s="25"/>
      <c r="M43" s="25"/>
      <c r="N43" s="25"/>
      <c r="O43" s="203">
        <f>IF(O42+1&lt;=MIN('Données projet'!$E$9:$E$18),O42+1,"STOP")</f>
        <v>10</v>
      </c>
      <c r="P43" s="193">
        <f t="shared" si="3"/>
        <v>257.57107281201729</v>
      </c>
      <c r="Q43" s="26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7"/>
      <c r="G44" s="214"/>
      <c r="H44" s="199"/>
      <c r="I44" s="200"/>
      <c r="K44" s="221"/>
      <c r="L44" s="25"/>
      <c r="M44" s="25"/>
      <c r="N44" s="25"/>
      <c r="O44" s="203">
        <f>IF(O43+1&lt;=MIN('Données projet'!$E$9:$E$18),O43+1,"STOP")</f>
        <v>11</v>
      </c>
      <c r="P44" s="193">
        <f t="shared" si="3"/>
        <v>246.47949551389218</v>
      </c>
      <c r="Q44" s="26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2" t="str">
        <f>IF('Données projet'!$B$10="","",'Données projet'!$B$10)</f>
        <v>Chêne chevelu</v>
      </c>
      <c r="C45" s="5"/>
      <c r="D45" s="5"/>
      <c r="E45" s="5"/>
      <c r="F45" s="257"/>
      <c r="G45" s="214"/>
      <c r="H45" s="199"/>
      <c r="I45" s="200"/>
      <c r="J45" s="25"/>
      <c r="K45" s="221"/>
      <c r="L45" s="25"/>
      <c r="M45" s="25"/>
      <c r="N45" s="25"/>
      <c r="O45" s="203">
        <f>IF(O44+1&lt;=MIN('Données projet'!$E$9:$E$18),O44+1,"STOP")</f>
        <v>12</v>
      </c>
      <c r="P45" s="193">
        <f t="shared" si="3"/>
        <v>235.86554594630834</v>
      </c>
      <c r="Q45" s="26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7"/>
      <c r="G46" s="214"/>
      <c r="H46" s="199"/>
      <c r="I46" s="200"/>
      <c r="J46" s="25"/>
      <c r="K46" s="221"/>
      <c r="L46" s="216"/>
      <c r="M46" s="216"/>
      <c r="N46" s="216"/>
      <c r="O46" s="203">
        <f>IF(O45+1&lt;=MIN('Données projet'!$E$9:$E$18),O45+1,"STOP")</f>
        <v>13</v>
      </c>
      <c r="P46" s="196">
        <f t="shared" si="3"/>
        <v>225.70865640795054</v>
      </c>
      <c r="Q46" s="26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3" t="s">
        <v>180</v>
      </c>
      <c r="B47" s="51" t="s">
        <v>256</v>
      </c>
      <c r="C47" s="51" t="s">
        <v>255</v>
      </c>
      <c r="D47" s="253" t="s">
        <v>252</v>
      </c>
      <c r="E47" s="253" t="s">
        <v>320</v>
      </c>
      <c r="F47" s="258"/>
      <c r="G47" s="214"/>
      <c r="H47" s="199"/>
      <c r="I47" s="200"/>
      <c r="J47" s="25"/>
      <c r="K47" s="221"/>
      <c r="L47" s="5"/>
      <c r="M47" s="5"/>
      <c r="N47" s="5"/>
      <c r="O47" s="203">
        <f>IF(O46+1&lt;=MIN('Données projet'!$E$9:$E$18),O46+1,"STOP")</f>
        <v>14</v>
      </c>
      <c r="P47" s="193">
        <f t="shared" si="3"/>
        <v>215.98914488799102</v>
      </c>
      <c r="Q47" s="26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6">
        <v>0</v>
      </c>
      <c r="B48" s="209" t="s">
        <v>132</v>
      </c>
      <c r="C48" s="208" t="s">
        <v>132</v>
      </c>
      <c r="D48" s="207" t="s">
        <v>132</v>
      </c>
      <c r="E48" s="202"/>
      <c r="F48" s="258"/>
      <c r="G48" s="214"/>
      <c r="H48" s="199"/>
      <c r="I48" s="200"/>
      <c r="J48" s="25"/>
      <c r="K48" s="221"/>
      <c r="L48" s="5"/>
      <c r="M48" s="5"/>
      <c r="N48" s="5"/>
      <c r="O48" s="203">
        <f>IF(O47+1&lt;=MIN('Données projet'!$E$9:$E$18),O47+1,"STOP")</f>
        <v>15</v>
      </c>
      <c r="P48" s="193">
        <f t="shared" si="3"/>
        <v>206.68817692630716</v>
      </c>
      <c r="Q48" s="26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4" customFormat="1" ht="17.25" customHeight="1" x14ac:dyDescent="0.25">
      <c r="A49" s="206">
        <v>1</v>
      </c>
      <c r="B49" s="209" t="s">
        <v>132</v>
      </c>
      <c r="C49" s="208" t="s">
        <v>132</v>
      </c>
      <c r="D49" s="207" t="s">
        <v>132</v>
      </c>
      <c r="E49" s="202"/>
      <c r="F49" s="258"/>
      <c r="G49" s="215"/>
      <c r="H49" s="199"/>
      <c r="I49" s="200"/>
      <c r="J49" s="216"/>
      <c r="K49" s="223"/>
      <c r="L49" s="5"/>
      <c r="M49" s="5"/>
      <c r="N49" s="5"/>
      <c r="O49" s="203">
        <f>IF(O48+1&lt;=MIN('Données projet'!$E$9:$E$18),O48+1,"STOP")</f>
        <v>16</v>
      </c>
      <c r="P49" s="193">
        <f t="shared" si="3"/>
        <v>197.78772911608351</v>
      </c>
      <c r="Q49" s="263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</row>
    <row r="50" spans="1:56" x14ac:dyDescent="0.25">
      <c r="A50" s="206">
        <v>2</v>
      </c>
      <c r="B50" s="209" t="s">
        <v>132</v>
      </c>
      <c r="C50" s="208" t="s">
        <v>132</v>
      </c>
      <c r="D50" s="207" t="s">
        <v>132</v>
      </c>
      <c r="E50" s="202"/>
      <c r="F50" s="258"/>
      <c r="G50" s="217"/>
      <c r="H50" s="199"/>
      <c r="I50" s="200"/>
      <c r="J50" s="25"/>
      <c r="K50" s="179"/>
      <c r="L50" s="5"/>
      <c r="M50" s="5"/>
      <c r="N50" s="5"/>
      <c r="O50" s="203">
        <f>IF(O49+1&lt;=MIN('Données projet'!$E$9:$E$18),O49+1,"STOP")</f>
        <v>17</v>
      </c>
      <c r="P50" s="193">
        <f t="shared" si="3"/>
        <v>189.27055417807034</v>
      </c>
      <c r="Q50" s="26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6">
        <v>3</v>
      </c>
      <c r="B51" s="209" t="s">
        <v>132</v>
      </c>
      <c r="C51" s="208" t="s">
        <v>132</v>
      </c>
      <c r="D51" s="207" t="s">
        <v>132</v>
      </c>
      <c r="E51" s="202"/>
      <c r="F51" s="258"/>
      <c r="G51" s="217"/>
      <c r="H51" s="199"/>
      <c r="I51" s="200"/>
      <c r="J51" s="25"/>
      <c r="K51" s="179"/>
      <c r="L51" s="5"/>
      <c r="M51" s="5"/>
      <c r="N51" s="5"/>
      <c r="O51" s="203">
        <f>IF(O50+1&lt;=MIN('Données projet'!$E$9:$E$18),O50+1,"STOP")</f>
        <v>18</v>
      </c>
      <c r="P51" s="193">
        <f t="shared" si="3"/>
        <v>181.12014753882332</v>
      </c>
      <c r="Q51" s="26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6">
        <v>4</v>
      </c>
      <c r="B52" s="209" t="s">
        <v>132</v>
      </c>
      <c r="C52" s="208" t="s">
        <v>132</v>
      </c>
      <c r="D52" s="207" t="s">
        <v>132</v>
      </c>
      <c r="E52" s="202"/>
      <c r="F52" s="258"/>
      <c r="G52" s="217"/>
      <c r="H52" s="199"/>
      <c r="I52" s="200"/>
      <c r="J52" s="25"/>
      <c r="K52" s="179"/>
      <c r="L52" s="5"/>
      <c r="M52" s="5"/>
      <c r="N52" s="5"/>
      <c r="O52" s="203">
        <f>IF(O51+1&lt;=MIN('Données projet'!$E$9:$E$18),O51+1,"STOP")</f>
        <v>19</v>
      </c>
      <c r="P52" s="193">
        <f t="shared" si="3"/>
        <v>173.32071534815628</v>
      </c>
      <c r="Q52" s="26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6">
        <v>5</v>
      </c>
      <c r="B53" s="209" t="s">
        <v>132</v>
      </c>
      <c r="C53" s="208" t="s">
        <v>132</v>
      </c>
      <c r="D53" s="207" t="s">
        <v>132</v>
      </c>
      <c r="E53" s="202"/>
      <c r="F53" s="258"/>
      <c r="G53" s="218"/>
      <c r="H53" s="199"/>
      <c r="I53" s="200"/>
      <c r="J53" s="25"/>
      <c r="K53" s="179"/>
      <c r="L53" s="5"/>
      <c r="M53" s="5"/>
      <c r="N53" s="5"/>
      <c r="O53" s="203">
        <f>IF(O52+1&lt;=MIN('Données projet'!$E$9:$E$18),O52+1,"STOP")</f>
        <v>20</v>
      </c>
      <c r="P53" s="193">
        <f t="shared" si="3"/>
        <v>165.85714387383382</v>
      </c>
      <c r="Q53" s="26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88">
        <f>'Données projet'!A62</f>
        <v>15</v>
      </c>
      <c r="B54" s="189">
        <f>'Données projet'!D62</f>
        <v>0</v>
      </c>
      <c r="C54" s="200"/>
      <c r="D54" s="187">
        <f>B54*C54</f>
        <v>0</v>
      </c>
      <c r="E54" s="202"/>
      <c r="F54" s="259"/>
      <c r="G54" s="218"/>
      <c r="H54" s="199"/>
      <c r="I54" s="200"/>
      <c r="J54" s="25"/>
      <c r="K54" s="179"/>
      <c r="L54" s="5"/>
      <c r="M54" s="5"/>
      <c r="N54" s="5"/>
      <c r="O54" s="203">
        <f>IF(O53+1&lt;=MIN('Données projet'!$E$9:$E$18),O53+1,"STOP")</f>
        <v>21</v>
      </c>
      <c r="P54" s="193">
        <f t="shared" si="3"/>
        <v>158.71497021419503</v>
      </c>
      <c r="Q54" s="26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88">
        <f>'Données projet'!A63</f>
        <v>20</v>
      </c>
      <c r="B55" s="189">
        <f>'Données projet'!D63</f>
        <v>10.256410256410255</v>
      </c>
      <c r="C55" s="200">
        <v>10</v>
      </c>
      <c r="D55" s="187">
        <f t="shared" ref="D55:D73" si="4">B55*C55</f>
        <v>102.56410256410255</v>
      </c>
      <c r="E55" s="202"/>
      <c r="F55" s="259"/>
      <c r="G55" s="218"/>
      <c r="H55" s="199"/>
      <c r="I55" s="200"/>
      <c r="J55" s="25"/>
      <c r="K55" s="179"/>
      <c r="L55" s="5"/>
      <c r="M55" s="5"/>
      <c r="N55" s="5"/>
      <c r="O55" s="203">
        <f>IF(O54+1&lt;=MIN('Données projet'!$E$9:$E$18),O54+1,"STOP")</f>
        <v>22</v>
      </c>
      <c r="P55" s="193">
        <f t="shared" si="3"/>
        <v>151.880354271957</v>
      </c>
      <c r="Q55" s="26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88">
        <f>'Données projet'!A64</f>
        <v>25</v>
      </c>
      <c r="B56" s="189">
        <f>'Données projet'!D64</f>
        <v>0</v>
      </c>
      <c r="C56" s="200"/>
      <c r="D56" s="187">
        <f t="shared" si="4"/>
        <v>0</v>
      </c>
      <c r="E56" s="202"/>
      <c r="F56" s="259"/>
      <c r="G56" s="218"/>
      <c r="H56" s="199"/>
      <c r="I56" s="200"/>
      <c r="J56" s="25"/>
      <c r="K56" s="179"/>
      <c r="L56" s="5"/>
      <c r="M56" s="5"/>
      <c r="N56" s="5"/>
      <c r="O56" s="203">
        <f>IF(O55+1&lt;=MIN('Données projet'!$E$9:$E$18),O55+1,"STOP")</f>
        <v>23</v>
      </c>
      <c r="P56" s="193">
        <f t="shared" si="3"/>
        <v>145.3400519348871</v>
      </c>
      <c r="Q56" s="26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88">
        <f>'Données projet'!A65</f>
        <v>30</v>
      </c>
      <c r="B57" s="189">
        <f>'Données projet'!D65</f>
        <v>17.948717948717949</v>
      </c>
      <c r="C57" s="200">
        <v>15</v>
      </c>
      <c r="D57" s="187">
        <f t="shared" si="4"/>
        <v>269.23076923076923</v>
      </c>
      <c r="E57" s="202"/>
      <c r="F57" s="259"/>
      <c r="G57" s="218"/>
      <c r="H57" s="199"/>
      <c r="I57" s="200"/>
      <c r="J57" s="25"/>
      <c r="K57" s="179"/>
      <c r="L57" s="5"/>
      <c r="M57" s="5"/>
      <c r="N57" s="5"/>
      <c r="O57" s="203">
        <f>IF(O56+1&lt;=MIN('Données projet'!$E$9:$E$18),O56+1,"STOP")</f>
        <v>24</v>
      </c>
      <c r="P57" s="193">
        <f t="shared" si="3"/>
        <v>139.08138941137523</v>
      </c>
      <c r="Q57" s="26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88">
        <f>'Données projet'!A66</f>
        <v>35</v>
      </c>
      <c r="B58" s="189">
        <f>'Données projet'!D66</f>
        <v>0</v>
      </c>
      <c r="C58" s="200"/>
      <c r="D58" s="187">
        <f t="shared" si="4"/>
        <v>0</v>
      </c>
      <c r="E58" s="202"/>
      <c r="F58" s="259"/>
      <c r="G58" s="218"/>
      <c r="H58" s="199"/>
      <c r="I58" s="200"/>
      <c r="J58" s="25"/>
      <c r="K58" s="179"/>
      <c r="L58" s="5"/>
      <c r="M58" s="5"/>
      <c r="N58" s="5"/>
      <c r="O58" s="203">
        <f>IF(O57+1&lt;=MIN('Données projet'!$E$9:$E$18),O57+1,"STOP")</f>
        <v>25</v>
      </c>
      <c r="P58" s="193">
        <f t="shared" si="3"/>
        <v>133.09223867117248</v>
      </c>
      <c r="Q58" s="262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88">
        <f>'Données projet'!A67</f>
        <v>40</v>
      </c>
      <c r="B59" s="189">
        <f>'Données projet'!D67</f>
        <v>22.435897435897434</v>
      </c>
      <c r="C59" s="200">
        <v>20</v>
      </c>
      <c r="D59" s="187">
        <f t="shared" si="4"/>
        <v>448.71794871794867</v>
      </c>
      <c r="E59" s="202"/>
      <c r="F59" s="259"/>
      <c r="G59" s="218"/>
      <c r="H59" s="199"/>
      <c r="I59" s="200"/>
      <c r="J59" s="25"/>
      <c r="K59" s="179"/>
      <c r="L59" s="5"/>
      <c r="M59" s="5"/>
      <c r="N59" s="5"/>
      <c r="O59" s="203">
        <f>IF(O58+1&lt;=MIN('Données projet'!$E$9:$E$18),O58+1,"STOP")</f>
        <v>26</v>
      </c>
      <c r="P59" s="193">
        <f t="shared" si="3"/>
        <v>127.36099394370575</v>
      </c>
      <c r="Q59" s="262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88">
        <f>'Données projet'!A68</f>
        <v>45</v>
      </c>
      <c r="B60" s="189">
        <f>'Données projet'!D68</f>
        <v>0</v>
      </c>
      <c r="C60" s="200"/>
      <c r="D60" s="187">
        <f t="shared" si="4"/>
        <v>0</v>
      </c>
      <c r="E60" s="202"/>
      <c r="F60" s="259"/>
      <c r="G60" s="219"/>
      <c r="H60" s="199"/>
      <c r="I60" s="200"/>
      <c r="J60" s="25"/>
      <c r="K60" s="179"/>
      <c r="L60" s="5"/>
      <c r="M60" s="5"/>
      <c r="N60" s="5"/>
      <c r="O60" s="203">
        <f>IF(O59+1&lt;=MIN('Données projet'!$E$9:$E$18),O59+1,"STOP")</f>
        <v>27</v>
      </c>
      <c r="P60" s="193">
        <f t="shared" si="3"/>
        <v>121.87654922842655</v>
      </c>
      <c r="Q60" s="262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88">
        <f>'Données projet'!A69</f>
        <v>50</v>
      </c>
      <c r="B61" s="189">
        <f>'Données projet'!D69</f>
        <v>24.358974358974358</v>
      </c>
      <c r="C61" s="200">
        <v>25</v>
      </c>
      <c r="D61" s="187">
        <f t="shared" si="4"/>
        <v>608.97435897435889</v>
      </c>
      <c r="E61" s="202"/>
      <c r="F61" s="259"/>
      <c r="G61" s="219"/>
      <c r="H61" s="199"/>
      <c r="I61" s="200"/>
      <c r="J61" s="25"/>
      <c r="K61" s="179"/>
      <c r="L61" s="5"/>
      <c r="M61" s="5"/>
      <c r="N61" s="5"/>
      <c r="O61" s="203">
        <f>IF(O60+1&lt;=MIN('Données projet'!$E$9:$E$18),O60+1,"STOP")</f>
        <v>28</v>
      </c>
      <c r="P61" s="193">
        <f t="shared" si="3"/>
        <v>116.62827677361396</v>
      </c>
      <c r="Q61" s="262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88">
        <f>'Données projet'!A70</f>
        <v>55</v>
      </c>
      <c r="B62" s="189">
        <f>'Données projet'!D70</f>
        <v>0</v>
      </c>
      <c r="C62" s="200"/>
      <c r="D62" s="187">
        <f t="shared" si="4"/>
        <v>0</v>
      </c>
      <c r="E62" s="202"/>
      <c r="F62" s="259"/>
      <c r="G62" s="219"/>
      <c r="H62" s="199"/>
      <c r="I62" s="200"/>
      <c r="J62" s="25"/>
      <c r="K62" s="179"/>
      <c r="L62" s="5"/>
      <c r="M62" s="5"/>
      <c r="N62" s="5"/>
      <c r="O62" s="203">
        <f>IF(O61+1&lt;=MIN('Données projet'!$E$9:$E$18),O61+1,"STOP")</f>
        <v>29</v>
      </c>
      <c r="P62" s="193">
        <f t="shared" si="3"/>
        <v>111.60600648192721</v>
      </c>
      <c r="Q62" s="262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88">
        <f>'Données projet'!A71</f>
        <v>60</v>
      </c>
      <c r="B63" s="189">
        <f>'Données projet'!D71</f>
        <v>24.358974358974358</v>
      </c>
      <c r="C63" s="200">
        <v>30</v>
      </c>
      <c r="D63" s="187">
        <f t="shared" si="4"/>
        <v>730.76923076923072</v>
      </c>
      <c r="E63" s="202"/>
      <c r="F63" s="259"/>
      <c r="G63" s="219"/>
      <c r="H63" s="199"/>
      <c r="I63" s="200"/>
      <c r="J63" s="25"/>
      <c r="K63" s="179"/>
      <c r="L63" s="5"/>
      <c r="M63" s="5"/>
      <c r="N63" s="5"/>
      <c r="O63" s="203">
        <f>IF(O62+1&lt;=MIN('Données projet'!$E$9:$E$18),O62+1,"STOP")</f>
        <v>30</v>
      </c>
      <c r="P63" s="193">
        <f t="shared" si="3"/>
        <v>106.8000062028012</v>
      </c>
      <c r="Q63" s="262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88">
        <f>'Données projet'!A72</f>
        <v>65</v>
      </c>
      <c r="B64" s="189">
        <f>'Données projet'!D72</f>
        <v>0</v>
      </c>
      <c r="C64" s="200"/>
      <c r="D64" s="187">
        <f t="shared" si="4"/>
        <v>0</v>
      </c>
      <c r="E64" s="202"/>
      <c r="F64" s="259"/>
      <c r="G64" s="219"/>
      <c r="H64" s="199"/>
      <c r="I64" s="200"/>
      <c r="J64" s="220"/>
      <c r="K64" s="179"/>
      <c r="L64" s="5"/>
      <c r="M64" s="5"/>
      <c r="N64" s="5"/>
      <c r="O64" s="203">
        <f>IF(O63+1&lt;=MIN('Données projet'!$E$9:$E$18),O63+1,"STOP")</f>
        <v>31</v>
      </c>
      <c r="P64" s="193">
        <f t="shared" si="3"/>
        <v>102.20096287349395</v>
      </c>
      <c r="Q64" s="262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88">
        <f>'Données projet'!A73</f>
        <v>70</v>
      </c>
      <c r="B65" s="189">
        <f>'Données projet'!D73</f>
        <v>23.076923076923077</v>
      </c>
      <c r="C65" s="200">
        <v>35</v>
      </c>
      <c r="D65" s="187">
        <f t="shared" si="4"/>
        <v>807.69230769230774</v>
      </c>
      <c r="E65" s="202"/>
      <c r="F65" s="259"/>
      <c r="G65" s="219"/>
      <c r="H65" s="199"/>
      <c r="I65" s="200"/>
      <c r="J65" s="197"/>
      <c r="K65" s="179"/>
      <c r="L65" s="5"/>
      <c r="M65" s="5"/>
      <c r="N65" s="5"/>
      <c r="O65" s="203">
        <f>IF(O64+1&lt;=MIN('Données projet'!$E$9:$E$18),O64+1,"STOP")</f>
        <v>32</v>
      </c>
      <c r="P65" s="193">
        <f t="shared" ref="P65:P96" si="5">$P$25/(1+$M$4)^O65</f>
        <v>97.799964472243076</v>
      </c>
      <c r="Q65" s="262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88">
        <f>'Données projet'!A74</f>
        <v>75</v>
      </c>
      <c r="B66" s="189">
        <f>'Données projet'!D74</f>
        <v>0</v>
      </c>
      <c r="C66" s="200"/>
      <c r="D66" s="187">
        <f t="shared" si="4"/>
        <v>0</v>
      </c>
      <c r="E66" s="202"/>
      <c r="F66" s="259"/>
      <c r="G66" s="219"/>
      <c r="H66" s="199"/>
      <c r="I66" s="200"/>
      <c r="J66" s="197"/>
      <c r="K66" s="179"/>
      <c r="L66" s="5"/>
      <c r="M66" s="5"/>
      <c r="N66" s="5"/>
      <c r="O66" s="203">
        <f>IF(O65+1&lt;=MIN('Données projet'!$E$9:$E$18),O65+1,"STOP")</f>
        <v>33</v>
      </c>
      <c r="P66" s="193">
        <f t="shared" si="5"/>
        <v>93.588482748557979</v>
      </c>
      <c r="Q66" s="262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88">
        <f>'Données projet'!A75</f>
        <v>80</v>
      </c>
      <c r="B67" s="189">
        <f>'Données projet'!D75</f>
        <v>22.435897435897434</v>
      </c>
      <c r="C67" s="200">
        <v>40</v>
      </c>
      <c r="D67" s="187">
        <f t="shared" si="4"/>
        <v>897.43589743589735</v>
      </c>
      <c r="E67" s="202"/>
      <c r="F67" s="259"/>
      <c r="G67" s="219"/>
      <c r="H67" s="199"/>
      <c r="I67" s="200"/>
      <c r="J67" s="197"/>
      <c r="K67" s="179"/>
      <c r="L67" s="5"/>
      <c r="M67" s="5"/>
      <c r="N67" s="5"/>
      <c r="O67" s="203">
        <f>IF(O66+1&lt;=MIN('Données projet'!$E$9:$E$18),O66+1,"STOP")</f>
        <v>34</v>
      </c>
      <c r="P67" s="193">
        <f t="shared" si="5"/>
        <v>89.558356697184678</v>
      </c>
      <c r="Q67" s="262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88">
        <f>'Données projet'!A76</f>
        <v>85</v>
      </c>
      <c r="B68" s="189">
        <f>'Données projet'!D76</f>
        <v>0</v>
      </c>
      <c r="C68" s="200"/>
      <c r="D68" s="187">
        <f t="shared" si="4"/>
        <v>0</v>
      </c>
      <c r="E68" s="202"/>
      <c r="F68" s="259"/>
      <c r="G68" s="219"/>
      <c r="H68" s="199"/>
      <c r="I68" s="200"/>
      <c r="J68" s="197"/>
      <c r="K68" s="179"/>
      <c r="L68" s="5"/>
      <c r="M68" s="5"/>
      <c r="N68" s="5"/>
      <c r="O68" s="203">
        <f>IF(O67+1&lt;=MIN('Données projet'!$E$9:$E$18),O67+1,"STOP")</f>
        <v>35</v>
      </c>
      <c r="P68" s="193">
        <f t="shared" si="5"/>
        <v>85.701776743717389</v>
      </c>
      <c r="Q68" s="262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88">
        <f>'Données projet'!A77</f>
        <v>90</v>
      </c>
      <c r="B69" s="189">
        <f>'Données projet'!D77</f>
        <v>21.153846153846153</v>
      </c>
      <c r="C69" s="200">
        <v>50</v>
      </c>
      <c r="D69" s="187">
        <f t="shared" si="4"/>
        <v>1057.6923076923076</v>
      </c>
      <c r="E69" s="202"/>
      <c r="F69" s="259"/>
      <c r="G69" s="219"/>
      <c r="H69" s="199"/>
      <c r="I69" s="200"/>
      <c r="J69" s="197"/>
      <c r="K69" s="179"/>
      <c r="L69" s="5"/>
      <c r="M69" s="5"/>
      <c r="N69" s="5"/>
      <c r="O69" s="203">
        <f>IF(O68+1&lt;=MIN('Données projet'!$E$9:$E$18),O68+1,"STOP")</f>
        <v>36</v>
      </c>
      <c r="P69" s="193">
        <f t="shared" si="5"/>
        <v>82.011269611212839</v>
      </c>
      <c r="Q69" s="262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88">
        <f>'Données projet'!A78</f>
        <v>100</v>
      </c>
      <c r="B70" s="189">
        <f>'Données projet'!D78</f>
        <v>20.512820512820511</v>
      </c>
      <c r="C70" s="200">
        <v>60</v>
      </c>
      <c r="D70" s="187">
        <f t="shared" si="4"/>
        <v>1230.7692307692307</v>
      </c>
      <c r="E70" s="202"/>
      <c r="F70" s="259"/>
      <c r="G70" s="219"/>
      <c r="H70" s="199"/>
      <c r="I70" s="200"/>
      <c r="J70" s="197"/>
      <c r="K70" s="179"/>
      <c r="L70" s="5"/>
      <c r="M70" s="5"/>
      <c r="N70" s="5"/>
      <c r="O70" s="203">
        <f>IF(O69+1&lt;=MIN('Données projet'!$E$9:$E$18),O69+1,"STOP")</f>
        <v>37</v>
      </c>
      <c r="P70" s="193">
        <f t="shared" si="5"/>
        <v>78.479683838481179</v>
      </c>
      <c r="Q70" s="262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88">
        <f>'Données projet'!A79</f>
        <v>110</v>
      </c>
      <c r="B71" s="189">
        <f>'Données projet'!D79</f>
        <v>19.23076923076923</v>
      </c>
      <c r="C71" s="200">
        <v>70</v>
      </c>
      <c r="D71" s="187">
        <f t="shared" si="4"/>
        <v>1346.1538461538462</v>
      </c>
      <c r="E71" s="202"/>
      <c r="F71" s="259"/>
      <c r="G71" s="219"/>
      <c r="H71" s="199"/>
      <c r="I71" s="200"/>
      <c r="J71" s="197"/>
      <c r="K71" s="179"/>
      <c r="L71" s="5"/>
      <c r="M71" s="5"/>
      <c r="N71" s="5"/>
      <c r="O71" s="203">
        <f>IF(O70+1&lt;=MIN('Données projet'!$E$9:$E$18),O70+1,"STOP")</f>
        <v>38</v>
      </c>
      <c r="P71" s="193">
        <f t="shared" si="5"/>
        <v>75.100175921991578</v>
      </c>
      <c r="Q71" s="262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88">
        <f>'Données projet'!A80</f>
        <v>120</v>
      </c>
      <c r="B72" s="189">
        <f>'Données projet'!D80</f>
        <v>17.948717948717949</v>
      </c>
      <c r="C72" s="200">
        <v>80</v>
      </c>
      <c r="D72" s="187">
        <f t="shared" si="4"/>
        <v>1435.897435897436</v>
      </c>
      <c r="E72" s="202"/>
      <c r="F72" s="259"/>
      <c r="G72" s="219"/>
      <c r="H72" s="199"/>
      <c r="I72" s="200"/>
      <c r="J72" s="5"/>
      <c r="K72" s="179"/>
      <c r="L72" s="5"/>
      <c r="M72" s="5"/>
      <c r="N72" s="5"/>
      <c r="O72" s="203">
        <f>IF(O71+1&lt;=MIN('Données projet'!$E$9:$E$18),O71+1,"STOP")</f>
        <v>39</v>
      </c>
      <c r="P72" s="193">
        <f t="shared" si="5"/>
        <v>71.866197054537395</v>
      </c>
      <c r="Q72" s="262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88">
        <f>'Données projet'!A81</f>
        <v>130</v>
      </c>
      <c r="B73" s="189">
        <f>'Données projet'!D81</f>
        <v>339.10256410256409</v>
      </c>
      <c r="C73" s="200">
        <v>100</v>
      </c>
      <c r="D73" s="187">
        <f t="shared" si="4"/>
        <v>33910.256410256407</v>
      </c>
      <c r="E73" s="202"/>
      <c r="F73" s="259"/>
      <c r="G73" s="219"/>
      <c r="H73" s="199"/>
      <c r="I73" s="200"/>
      <c r="J73" s="5"/>
      <c r="K73" s="179"/>
      <c r="L73" s="5"/>
      <c r="M73" s="5"/>
      <c r="N73" s="5"/>
      <c r="O73" s="203">
        <f>IF(O72+1&lt;=MIN('Données projet'!$E$9:$E$18),O72+1,"STOP")</f>
        <v>40</v>
      </c>
      <c r="P73" s="193">
        <f t="shared" si="5"/>
        <v>68.771480434964033</v>
      </c>
      <c r="Q73" s="262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7"/>
      <c r="G74" s="219"/>
      <c r="H74" s="199"/>
      <c r="I74" s="200"/>
      <c r="J74" s="5"/>
      <c r="K74" s="179"/>
      <c r="L74" s="5"/>
      <c r="M74" s="5"/>
      <c r="N74" s="5"/>
      <c r="O74" s="203">
        <f>IF(O73+1&lt;=MIN('Données projet'!$E$9:$E$18),O73+1,"STOP")</f>
        <v>41</v>
      </c>
      <c r="P74" s="193">
        <f t="shared" si="5"/>
        <v>65.810029124367503</v>
      </c>
      <c r="Q74" s="262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7"/>
      <c r="G75" s="219"/>
      <c r="H75" s="199"/>
      <c r="I75" s="200"/>
      <c r="J75" s="5"/>
      <c r="K75" s="179"/>
      <c r="L75" s="5"/>
      <c r="M75" s="5"/>
      <c r="N75" s="5"/>
      <c r="O75" s="203">
        <f>IF(O74+1&lt;=MIN('Données projet'!$E$9:$E$18),O74+1,"STOP")</f>
        <v>42</v>
      </c>
      <c r="P75" s="193">
        <f t="shared" si="5"/>
        <v>62.976104425232066</v>
      </c>
      <c r="Q75" s="262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2" t="str">
        <f>IF('Données projet'!B11="","",'Données projet'!B11)</f>
        <v>Erable champêtre</v>
      </c>
      <c r="C76" s="5"/>
      <c r="D76" s="5"/>
      <c r="E76" s="5"/>
      <c r="F76" s="257"/>
      <c r="G76" s="219"/>
      <c r="H76" s="199"/>
      <c r="I76" s="200"/>
      <c r="J76" s="5"/>
      <c r="K76" s="179"/>
      <c r="L76" s="5"/>
      <c r="M76" s="5"/>
      <c r="N76" s="5"/>
      <c r="O76" s="203">
        <f>IF(O75+1&lt;=MIN('Données projet'!$E$9:$E$18),O75+1,"STOP")</f>
        <v>43</v>
      </c>
      <c r="P76" s="193">
        <f t="shared" si="5"/>
        <v>60.264214760987628</v>
      </c>
      <c r="Q76" s="262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7"/>
      <c r="G77" s="219"/>
      <c r="H77" s="199"/>
      <c r="I77" s="200"/>
      <c r="J77" s="5"/>
      <c r="K77" s="179"/>
      <c r="L77" s="5"/>
      <c r="M77" s="5"/>
      <c r="N77" s="5"/>
      <c r="O77" s="203">
        <f>IF(O76+1&lt;=MIN('Données projet'!$E$9:$E$18),O76+1,"STOP")</f>
        <v>44</v>
      </c>
      <c r="P77" s="193">
        <f t="shared" si="5"/>
        <v>57.669105034437926</v>
      </c>
      <c r="Q77" s="262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3" t="s">
        <v>180</v>
      </c>
      <c r="B78" s="51" t="s">
        <v>256</v>
      </c>
      <c r="C78" s="51" t="s">
        <v>255</v>
      </c>
      <c r="D78" s="253" t="s">
        <v>252</v>
      </c>
      <c r="E78" s="253" t="s">
        <v>320</v>
      </c>
      <c r="F78" s="258"/>
      <c r="G78" s="219"/>
      <c r="H78" s="199"/>
      <c r="I78" s="200"/>
      <c r="J78" s="5"/>
      <c r="K78" s="179"/>
      <c r="L78" s="5"/>
      <c r="M78" s="5"/>
      <c r="N78" s="5"/>
      <c r="O78" s="203">
        <f>IF(O77+1&lt;=MIN('Données projet'!$E$9:$E$18),O77+1,"STOP")</f>
        <v>45</v>
      </c>
      <c r="P78" s="193">
        <f t="shared" si="5"/>
        <v>55.185746444438202</v>
      </c>
      <c r="Q78" s="262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6">
        <v>0</v>
      </c>
      <c r="B79" s="209" t="s">
        <v>132</v>
      </c>
      <c r="C79" s="208" t="s">
        <v>132</v>
      </c>
      <c r="D79" s="207" t="s">
        <v>132</v>
      </c>
      <c r="E79" s="202"/>
      <c r="F79" s="258"/>
      <c r="G79" s="219"/>
      <c r="H79" s="199"/>
      <c r="I79" s="200"/>
      <c r="J79" s="5"/>
      <c r="K79" s="179"/>
      <c r="L79" s="5"/>
      <c r="M79" s="5"/>
      <c r="N79" s="5"/>
      <c r="O79" s="203">
        <f>IF(O78+1&lt;=MIN('Données projet'!$E$9:$E$18),O78+1,"STOP")</f>
        <v>46</v>
      </c>
      <c r="P79" s="193">
        <f t="shared" si="5"/>
        <v>52.809326741089201</v>
      </c>
      <c r="Q79" s="262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6">
        <v>1</v>
      </c>
      <c r="B80" s="209" t="s">
        <v>132</v>
      </c>
      <c r="C80" s="208" t="s">
        <v>132</v>
      </c>
      <c r="D80" s="207" t="s">
        <v>132</v>
      </c>
      <c r="E80" s="202"/>
      <c r="F80" s="258"/>
      <c r="G80" s="217"/>
      <c r="H80" s="199"/>
      <c r="I80" s="200"/>
      <c r="J80" s="5"/>
      <c r="K80" s="179"/>
      <c r="L80" s="5"/>
      <c r="M80" s="5"/>
      <c r="N80" s="5"/>
      <c r="O80" s="203">
        <f>IF(O79+1&lt;=MIN('Données projet'!$E$9:$E$18),O79+1,"STOP")</f>
        <v>47</v>
      </c>
      <c r="P80" s="193">
        <f t="shared" si="5"/>
        <v>50.535240900563828</v>
      </c>
      <c r="Q80" s="262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6">
        <v>2</v>
      </c>
      <c r="B81" s="209" t="s">
        <v>132</v>
      </c>
      <c r="C81" s="208" t="s">
        <v>132</v>
      </c>
      <c r="D81" s="207" t="s">
        <v>132</v>
      </c>
      <c r="E81" s="202"/>
      <c r="F81" s="258"/>
      <c r="G81" s="217"/>
      <c r="H81" s="199"/>
      <c r="I81" s="200"/>
      <c r="J81" s="5"/>
      <c r="K81" s="179"/>
      <c r="L81" s="5"/>
      <c r="M81" s="5"/>
      <c r="N81" s="5"/>
      <c r="O81" s="203">
        <f>IF(O80+1&lt;=MIN('Données projet'!$E$9:$E$18),O80+1,"STOP")</f>
        <v>48</v>
      </c>
      <c r="P81" s="193">
        <f t="shared" si="5"/>
        <v>48.359082201496506</v>
      </c>
      <c r="Q81" s="262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6">
        <v>3</v>
      </c>
      <c r="B82" s="209" t="s">
        <v>132</v>
      </c>
      <c r="C82" s="208" t="s">
        <v>132</v>
      </c>
      <c r="D82" s="207" t="s">
        <v>132</v>
      </c>
      <c r="E82" s="202"/>
      <c r="F82" s="258"/>
      <c r="G82" s="217"/>
      <c r="H82" s="199"/>
      <c r="I82" s="200"/>
      <c r="J82" s="5"/>
      <c r="K82" s="179"/>
      <c r="L82" s="5"/>
      <c r="M82" s="5"/>
      <c r="N82" s="5"/>
      <c r="O82" s="203">
        <f>IF(O81+1&lt;=MIN('Données projet'!$E$9:$E$18),O81+1,"STOP")</f>
        <v>49</v>
      </c>
      <c r="P82" s="193">
        <f t="shared" si="5"/>
        <v>46.276633685642587</v>
      </c>
      <c r="Q82" s="262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6">
        <v>4</v>
      </c>
      <c r="B83" s="209" t="s">
        <v>132</v>
      </c>
      <c r="C83" s="208" t="s">
        <v>132</v>
      </c>
      <c r="D83" s="207" t="s">
        <v>132</v>
      </c>
      <c r="E83" s="202"/>
      <c r="F83" s="258"/>
      <c r="G83" s="217"/>
      <c r="H83" s="199"/>
      <c r="I83" s="200"/>
      <c r="J83" s="5"/>
      <c r="K83" s="179"/>
      <c r="L83" s="5"/>
      <c r="M83" s="5"/>
      <c r="N83" s="5"/>
      <c r="O83" s="203">
        <f>IF(O82+1&lt;=MIN('Données projet'!$E$9:$E$18),O82+1,"STOP")</f>
        <v>50</v>
      </c>
      <c r="P83" s="193">
        <f t="shared" si="5"/>
        <v>44.283859986260858</v>
      </c>
      <c r="Q83" s="262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6">
        <v>5</v>
      </c>
      <c r="B84" s="209" t="s">
        <v>132</v>
      </c>
      <c r="C84" s="208" t="s">
        <v>132</v>
      </c>
      <c r="D84" s="207" t="s">
        <v>132</v>
      </c>
      <c r="E84" s="202"/>
      <c r="F84" s="258"/>
      <c r="G84" s="218"/>
      <c r="H84" s="199"/>
      <c r="I84" s="200"/>
      <c r="J84" s="5"/>
      <c r="K84" s="179"/>
      <c r="L84" s="5"/>
      <c r="M84" s="5"/>
      <c r="N84" s="5"/>
      <c r="O84" s="203">
        <f>IF(O83+1&lt;=MIN('Données projet'!$E$9:$E$18),O83+1,"STOP")</f>
        <v>51</v>
      </c>
      <c r="P84" s="193">
        <f t="shared" si="5"/>
        <v>42.376899508383602</v>
      </c>
      <c r="Q84" s="262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88">
        <f>'Données projet'!A88</f>
        <v>15</v>
      </c>
      <c r="B85" s="189">
        <f>'Données projet'!D88</f>
        <v>0</v>
      </c>
      <c r="C85" s="200"/>
      <c r="D85" s="187">
        <f>B85*C85</f>
        <v>0</v>
      </c>
      <c r="E85" s="202"/>
      <c r="F85" s="259"/>
      <c r="G85" s="218"/>
      <c r="H85" s="199"/>
      <c r="I85" s="200"/>
      <c r="J85" s="5"/>
      <c r="K85" s="179"/>
      <c r="L85" s="5"/>
      <c r="M85" s="5"/>
      <c r="N85" s="5"/>
      <c r="O85" s="203">
        <f>IF(O84+1&lt;=MIN('Données projet'!$E$9:$E$18),O84+1,"STOP")</f>
        <v>52</v>
      </c>
      <c r="P85" s="193">
        <f t="shared" si="5"/>
        <v>40.552056945821633</v>
      </c>
      <c r="Q85" s="262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88">
        <f>'Données projet'!A89</f>
        <v>20</v>
      </c>
      <c r="B86" s="189">
        <f>'Données projet'!D89</f>
        <v>43.1</v>
      </c>
      <c r="C86" s="200">
        <v>10</v>
      </c>
      <c r="D86" s="187">
        <f t="shared" ref="D86:D104" si="6">B86*C86</f>
        <v>431</v>
      </c>
      <c r="E86" s="202"/>
      <c r="F86" s="259"/>
      <c r="G86" s="218"/>
      <c r="H86" s="199"/>
      <c r="I86" s="200"/>
      <c r="J86" s="5"/>
      <c r="K86" s="179"/>
      <c r="L86" s="5"/>
      <c r="M86" s="5"/>
      <c r="N86" s="5"/>
      <c r="O86" s="203">
        <f>IF(O85+1&lt;=MIN('Données projet'!$E$9:$E$18),O85+1,"STOP")</f>
        <v>53</v>
      </c>
      <c r="P86" s="193">
        <f t="shared" si="5"/>
        <v>38.805796120403478</v>
      </c>
      <c r="Q86" s="262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88">
        <f>'Données projet'!A90</f>
        <v>25</v>
      </c>
      <c r="B87" s="189">
        <f>'Données projet'!D90</f>
        <v>0</v>
      </c>
      <c r="C87" s="200"/>
      <c r="D87" s="187">
        <f t="shared" si="6"/>
        <v>0</v>
      </c>
      <c r="E87" s="202"/>
      <c r="F87" s="259"/>
      <c r="G87" s="218"/>
      <c r="H87" s="199"/>
      <c r="I87" s="200"/>
      <c r="J87" s="5"/>
      <c r="K87" s="179"/>
      <c r="L87" s="5"/>
      <c r="M87" s="5"/>
      <c r="N87" s="5"/>
      <c r="O87" s="203">
        <f>IF(O86+1&lt;=MIN('Données projet'!$E$9:$E$18),O86+1,"STOP")</f>
        <v>54</v>
      </c>
      <c r="P87" s="193">
        <f t="shared" si="5"/>
        <v>37.134733129572716</v>
      </c>
      <c r="Q87" s="262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88">
        <f>'Données projet'!A91</f>
        <v>30</v>
      </c>
      <c r="B88" s="189">
        <f>'Données projet'!D91</f>
        <v>56</v>
      </c>
      <c r="C88" s="200">
        <v>15</v>
      </c>
      <c r="D88" s="187">
        <f t="shared" si="6"/>
        <v>840</v>
      </c>
      <c r="E88" s="202"/>
      <c r="F88" s="259"/>
      <c r="G88" s="218"/>
      <c r="H88" s="199"/>
      <c r="I88" s="200"/>
      <c r="J88" s="5"/>
      <c r="K88" s="179"/>
      <c r="L88" s="5"/>
      <c r="M88" s="5"/>
      <c r="N88" s="5"/>
      <c r="O88" s="203">
        <f>IF(O87+1&lt;=MIN('Données projet'!$E$9:$E$18),O87+1,"STOP")</f>
        <v>55</v>
      </c>
      <c r="P88" s="193">
        <f t="shared" si="5"/>
        <v>35.535629789064799</v>
      </c>
      <c r="Q88" s="262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88">
        <f>'Données projet'!A92</f>
        <v>35</v>
      </c>
      <c r="B89" s="189">
        <f>'Données projet'!D92</f>
        <v>0</v>
      </c>
      <c r="C89" s="200"/>
      <c r="D89" s="187">
        <f t="shared" si="6"/>
        <v>0</v>
      </c>
      <c r="E89" s="202"/>
      <c r="F89" s="259"/>
      <c r="G89" s="218"/>
      <c r="H89" s="199"/>
      <c r="I89" s="200"/>
      <c r="J89" s="5"/>
      <c r="K89" s="179"/>
      <c r="L89" s="5"/>
      <c r="M89" s="5"/>
      <c r="N89" s="5"/>
      <c r="O89" s="203">
        <f>IF(O88+1&lt;=MIN('Données projet'!$E$9:$E$18),O88+1,"STOP")</f>
        <v>56</v>
      </c>
      <c r="P89" s="193">
        <f t="shared" si="5"/>
        <v>34.005387357956749</v>
      </c>
      <c r="Q89" s="262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88">
        <f>'Données projet'!A93</f>
        <v>40</v>
      </c>
      <c r="B90" s="189">
        <f>'Données projet'!D93</f>
        <v>56</v>
      </c>
      <c r="C90" s="200">
        <v>20</v>
      </c>
      <c r="D90" s="187">
        <f t="shared" si="6"/>
        <v>1120</v>
      </c>
      <c r="E90" s="202"/>
      <c r="F90" s="259"/>
      <c r="G90" s="218"/>
      <c r="H90" s="199"/>
      <c r="I90" s="200"/>
      <c r="J90" s="5"/>
      <c r="K90" s="179"/>
      <c r="L90" s="5"/>
      <c r="M90" s="5"/>
      <c r="N90" s="5"/>
      <c r="O90" s="203">
        <f>IF(O89+1&lt;=MIN('Données projet'!$E$9:$E$18),O89+1,"STOP")</f>
        <v>57</v>
      </c>
      <c r="P90" s="193">
        <f t="shared" si="5"/>
        <v>32.541040533929909</v>
      </c>
      <c r="Q90" s="262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88">
        <f>'Données projet'!A94</f>
        <v>45</v>
      </c>
      <c r="B91" s="189">
        <f>'Données projet'!D94</f>
        <v>0</v>
      </c>
      <c r="C91" s="200"/>
      <c r="D91" s="187">
        <f t="shared" si="6"/>
        <v>0</v>
      </c>
      <c r="E91" s="202"/>
      <c r="F91" s="259"/>
      <c r="G91" s="219"/>
      <c r="H91" s="199"/>
      <c r="I91" s="200"/>
      <c r="J91" s="5"/>
      <c r="K91" s="179"/>
      <c r="L91" s="5"/>
      <c r="M91" s="5"/>
      <c r="N91" s="5"/>
      <c r="O91" s="203">
        <f>IF(O90+1&lt;=MIN('Données projet'!$E$9:$E$18),O90+1,"STOP")</f>
        <v>58</v>
      </c>
      <c r="P91" s="193">
        <f t="shared" si="5"/>
        <v>31.139751707109969</v>
      </c>
      <c r="Q91" s="262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88">
        <f>'Données projet'!A95</f>
        <v>50</v>
      </c>
      <c r="B92" s="189">
        <f>'Données projet'!D95</f>
        <v>38.299999999999997</v>
      </c>
      <c r="C92" s="200">
        <v>30</v>
      </c>
      <c r="D92" s="187">
        <f t="shared" si="6"/>
        <v>1149</v>
      </c>
      <c r="E92" s="202"/>
      <c r="F92" s="259"/>
      <c r="G92" s="219"/>
      <c r="H92" s="199"/>
      <c r="I92" s="200"/>
      <c r="J92" s="5"/>
      <c r="K92" s="179"/>
      <c r="L92" s="5"/>
      <c r="M92" s="5"/>
      <c r="N92" s="5"/>
      <c r="O92" s="203">
        <f>IF(O91+1&lt;=MIN('Données projet'!$E$9:$E$18),O91+1,"STOP")</f>
        <v>59</v>
      </c>
      <c r="P92" s="193">
        <f t="shared" si="5"/>
        <v>29.798805461349254</v>
      </c>
      <c r="Q92" s="262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88">
        <f>'Données projet'!A96</f>
        <v>55</v>
      </c>
      <c r="B93" s="189">
        <f>'Données projet'!D96</f>
        <v>0</v>
      </c>
      <c r="C93" s="200"/>
      <c r="D93" s="187">
        <f t="shared" si="6"/>
        <v>0</v>
      </c>
      <c r="E93" s="202"/>
      <c r="F93" s="259"/>
      <c r="G93" s="219"/>
      <c r="H93" s="199"/>
      <c r="I93" s="200"/>
      <c r="J93" s="5"/>
      <c r="K93" s="179"/>
      <c r="L93" s="5"/>
      <c r="M93" s="5"/>
      <c r="N93" s="5"/>
      <c r="O93" s="203">
        <f>IF(O92+1&lt;=MIN('Données projet'!$E$9:$E$18),O92+1,"STOP")</f>
        <v>60</v>
      </c>
      <c r="P93" s="193">
        <f t="shared" si="5"/>
        <v>28.515603312295941</v>
      </c>
      <c r="Q93" s="262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88">
        <f>'Données projet'!A97</f>
        <v>60</v>
      </c>
      <c r="B94" s="189">
        <f>'Données projet'!D97</f>
        <v>25.200000000000003</v>
      </c>
      <c r="C94" s="200">
        <v>40</v>
      </c>
      <c r="D94" s="187">
        <f t="shared" si="6"/>
        <v>1008.0000000000001</v>
      </c>
      <c r="E94" s="202"/>
      <c r="F94" s="259"/>
      <c r="G94" s="219"/>
      <c r="H94" s="199"/>
      <c r="I94" s="200"/>
      <c r="J94" s="5"/>
      <c r="K94" s="179"/>
      <c r="L94" s="5"/>
      <c r="M94" s="5"/>
      <c r="N94" s="5"/>
      <c r="O94" s="203">
        <f>IF(O93+1&lt;=MIN('Données projet'!$E$9:$E$18),O93+1,"STOP")</f>
        <v>61</v>
      </c>
      <c r="P94" s="193">
        <f t="shared" si="5"/>
        <v>27.287658672053528</v>
      </c>
      <c r="Q94" s="262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88">
        <f>'Données projet'!A98</f>
        <v>65</v>
      </c>
      <c r="B95" s="189">
        <f>'Données projet'!D98</f>
        <v>0</v>
      </c>
      <c r="C95" s="200"/>
      <c r="D95" s="187">
        <f t="shared" si="6"/>
        <v>0</v>
      </c>
      <c r="E95" s="202"/>
      <c r="F95" s="259"/>
      <c r="G95" s="219"/>
      <c r="H95" s="199"/>
      <c r="I95" s="200"/>
      <c r="J95" s="5"/>
      <c r="K95" s="179"/>
      <c r="L95" s="5"/>
      <c r="M95" s="5"/>
      <c r="N95" s="5"/>
      <c r="O95" s="203">
        <f>IF(O94+1&lt;=MIN('Données projet'!$E$9:$E$18),O94+1,"STOP")</f>
        <v>62</v>
      </c>
      <c r="P95" s="193">
        <f t="shared" si="5"/>
        <v>26.112592030673245</v>
      </c>
      <c r="Q95" s="262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88">
        <f>'Données projet'!A99</f>
        <v>70</v>
      </c>
      <c r="B96" s="189">
        <f>'Données projet'!D99</f>
        <v>20.9</v>
      </c>
      <c r="C96" s="200">
        <v>50</v>
      </c>
      <c r="D96" s="187">
        <f t="shared" si="6"/>
        <v>1045</v>
      </c>
      <c r="E96" s="202"/>
      <c r="F96" s="259"/>
      <c r="G96" s="219"/>
      <c r="H96" s="199"/>
      <c r="I96" s="200"/>
      <c r="J96" s="5"/>
      <c r="K96" s="179"/>
      <c r="L96" s="5"/>
      <c r="M96" s="5"/>
      <c r="N96" s="5"/>
      <c r="O96" s="203">
        <f>IF(O95+1&lt;=MIN('Données projet'!$E$9:$E$18),O95+1,"STOP")</f>
        <v>63</v>
      </c>
      <c r="P96" s="193">
        <f t="shared" si="5"/>
        <v>24.988126345141854</v>
      </c>
      <c r="Q96" s="262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88">
        <f>'Données projet'!A100</f>
        <v>75</v>
      </c>
      <c r="B97" s="189">
        <f>'Données projet'!D100</f>
        <v>0</v>
      </c>
      <c r="C97" s="200"/>
      <c r="D97" s="187">
        <f t="shared" si="6"/>
        <v>0</v>
      </c>
      <c r="E97" s="202"/>
      <c r="F97" s="259"/>
      <c r="G97" s="219"/>
      <c r="H97" s="199"/>
      <c r="I97" s="200"/>
      <c r="J97" s="5"/>
      <c r="K97" s="179"/>
      <c r="L97" s="5"/>
      <c r="M97" s="5"/>
      <c r="N97" s="5"/>
      <c r="O97" s="203">
        <f>IF(O96+1&lt;=MIN('Données projet'!$E$9:$E$18),O96+1,"STOP")</f>
        <v>64</v>
      </c>
      <c r="P97" s="193">
        <f t="shared" ref="P97:P128" si="7">$P$25/(1+$M$4)^O97</f>
        <v>23.912082626930019</v>
      </c>
      <c r="Q97" s="262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88">
        <f>'Données projet'!A101</f>
        <v>80</v>
      </c>
      <c r="B98" s="189">
        <f>'Données projet'!D101</f>
        <v>284.60000000000002</v>
      </c>
      <c r="C98" s="202">
        <v>100</v>
      </c>
      <c r="D98" s="187">
        <f t="shared" si="6"/>
        <v>28460.000000000004</v>
      </c>
      <c r="E98" s="202"/>
      <c r="F98" s="259"/>
      <c r="G98" s="219"/>
      <c r="H98" s="199"/>
      <c r="I98" s="200"/>
      <c r="J98" s="5"/>
      <c r="K98" s="179"/>
      <c r="L98" s="5"/>
      <c r="M98" s="5"/>
      <c r="N98" s="5"/>
      <c r="O98" s="203">
        <f>IF(O97+1&lt;=MIN('Données projet'!$E$9:$E$18),O97+1,"STOP")</f>
        <v>65</v>
      </c>
      <c r="P98" s="193">
        <f t="shared" si="7"/>
        <v>22.882375719550257</v>
      </c>
      <c r="Q98" s="262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88">
        <f>'Données projet'!A102</f>
        <v>0</v>
      </c>
      <c r="B99" s="189">
        <f>'Données projet'!D102</f>
        <v>0</v>
      </c>
      <c r="C99" s="202"/>
      <c r="D99" s="187">
        <f t="shared" si="6"/>
        <v>0</v>
      </c>
      <c r="E99" s="202"/>
      <c r="F99" s="259"/>
      <c r="G99" s="219"/>
      <c r="H99" s="199"/>
      <c r="I99" s="200"/>
      <c r="J99" s="5"/>
      <c r="K99" s="179"/>
      <c r="L99" s="5"/>
      <c r="M99" s="5"/>
      <c r="N99" s="5"/>
      <c r="O99" s="203">
        <f>IF(O98+1&lt;=MIN('Données projet'!$E$9:$E$18),O98+1,"STOP")</f>
        <v>66</v>
      </c>
      <c r="P99" s="193">
        <f t="shared" si="7"/>
        <v>21.897010257942835</v>
      </c>
      <c r="Q99" s="262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88">
        <f>'Données projet'!A103</f>
        <v>0</v>
      </c>
      <c r="B100" s="189">
        <f>'Données projet'!D103</f>
        <v>0</v>
      </c>
      <c r="C100" s="200"/>
      <c r="D100" s="187">
        <f t="shared" si="6"/>
        <v>0</v>
      </c>
      <c r="E100" s="202"/>
      <c r="F100" s="259"/>
      <c r="G100" s="219"/>
      <c r="H100" s="199"/>
      <c r="I100" s="200"/>
      <c r="J100" s="5"/>
      <c r="K100" s="179"/>
      <c r="L100" s="5"/>
      <c r="M100" s="5"/>
      <c r="N100" s="5"/>
      <c r="O100" s="203">
        <f>IF(O99+1&lt;=MIN('Données projet'!$E$9:$E$18),O99+1,"STOP")</f>
        <v>67</v>
      </c>
      <c r="P100" s="193">
        <f t="shared" si="7"/>
        <v>20.95407680185917</v>
      </c>
      <c r="Q100" s="262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88">
        <f>'Données projet'!A104</f>
        <v>0</v>
      </c>
      <c r="B101" s="189">
        <f>'Données projet'!D104</f>
        <v>0</v>
      </c>
      <c r="C101" s="200"/>
      <c r="D101" s="187">
        <f t="shared" si="6"/>
        <v>0</v>
      </c>
      <c r="E101" s="202"/>
      <c r="F101" s="259"/>
      <c r="G101" s="219"/>
      <c r="H101" s="199"/>
      <c r="I101" s="200"/>
      <c r="J101" s="5"/>
      <c r="K101" s="179"/>
      <c r="L101" s="5"/>
      <c r="M101" s="5"/>
      <c r="N101" s="5"/>
      <c r="O101" s="203">
        <f>IF(O100+1&lt;=MIN('Données projet'!$E$9:$E$18),O100+1,"STOP")</f>
        <v>68</v>
      </c>
      <c r="P101" s="193">
        <f t="shared" si="7"/>
        <v>20.051748135750405</v>
      </c>
      <c r="Q101" s="262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88">
        <f>'Données projet'!A105</f>
        <v>0</v>
      </c>
      <c r="B102" s="189">
        <f>'Données projet'!D105</f>
        <v>0</v>
      </c>
      <c r="C102" s="200"/>
      <c r="D102" s="187">
        <f t="shared" si="6"/>
        <v>0</v>
      </c>
      <c r="E102" s="202"/>
      <c r="F102" s="259"/>
      <c r="G102" s="219"/>
      <c r="H102" s="199"/>
      <c r="I102" s="200"/>
      <c r="J102" s="5"/>
      <c r="K102" s="179"/>
      <c r="L102" s="5"/>
      <c r="M102" s="5"/>
      <c r="N102" s="5"/>
      <c r="O102" s="203">
        <f>IF(O101+1&lt;=MIN('Données projet'!$E$9:$E$18),O101+1,"STOP")</f>
        <v>69</v>
      </c>
      <c r="P102" s="193">
        <f t="shared" si="7"/>
        <v>19.18827572799082</v>
      </c>
      <c r="Q102" s="262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88">
        <f>'Données projet'!A106</f>
        <v>0</v>
      </c>
      <c r="B103" s="189">
        <f>'Données projet'!D106</f>
        <v>0</v>
      </c>
      <c r="C103" s="200"/>
      <c r="D103" s="187">
        <f t="shared" si="6"/>
        <v>0</v>
      </c>
      <c r="E103" s="202"/>
      <c r="F103" s="259"/>
      <c r="G103" s="219"/>
      <c r="H103" s="199"/>
      <c r="I103" s="200"/>
      <c r="J103" s="5"/>
      <c r="K103" s="179"/>
      <c r="L103" s="5"/>
      <c r="M103" s="5"/>
      <c r="N103" s="5"/>
      <c r="O103" s="203">
        <f>IF(O102+1&lt;=MIN('Données projet'!$E$9:$E$18),O102+1,"STOP")</f>
        <v>70</v>
      </c>
      <c r="P103" s="193">
        <f t="shared" si="7"/>
        <v>18.361986342574951</v>
      </c>
      <c r="Q103" s="262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88">
        <f>'Données projet'!A107</f>
        <v>0</v>
      </c>
      <c r="B104" s="189">
        <f>'Données projet'!D107</f>
        <v>0</v>
      </c>
      <c r="C104" s="200"/>
      <c r="D104" s="187">
        <f t="shared" si="6"/>
        <v>0</v>
      </c>
      <c r="E104" s="202"/>
      <c r="F104" s="259"/>
      <c r="G104" s="219"/>
      <c r="H104" s="199"/>
      <c r="I104" s="200"/>
      <c r="J104" s="5"/>
      <c r="K104" s="179"/>
      <c r="L104" s="5"/>
      <c r="M104" s="5"/>
      <c r="N104" s="5"/>
      <c r="O104" s="203">
        <f>IF(O103+1&lt;=MIN('Données projet'!$E$9:$E$18),O103+1,"STOP")</f>
        <v>71</v>
      </c>
      <c r="P104" s="193">
        <f t="shared" si="7"/>
        <v>17.571278796722442</v>
      </c>
      <c r="Q104" s="262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7"/>
      <c r="G105" s="219"/>
      <c r="H105" s="199"/>
      <c r="I105" s="200"/>
      <c r="J105" s="5"/>
      <c r="K105" s="179"/>
      <c r="L105" s="5"/>
      <c r="M105" s="5"/>
      <c r="N105" s="5"/>
      <c r="O105" s="203">
        <f>IF(O104+1&lt;=MIN('Données projet'!$E$9:$E$18),O104+1,"STOP")</f>
        <v>72</v>
      </c>
      <c r="P105" s="193">
        <f t="shared" si="7"/>
        <v>16.814620858107606</v>
      </c>
      <c r="Q105" s="262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7"/>
      <c r="G106" s="219"/>
      <c r="H106" s="199"/>
      <c r="I106" s="200"/>
      <c r="J106" s="5"/>
      <c r="K106" s="179"/>
      <c r="L106" s="5"/>
      <c r="M106" s="5"/>
      <c r="N106" s="5"/>
      <c r="O106" s="203">
        <f>IF(O105+1&lt;=MIN('Données projet'!$E$9:$E$18),O105+1,"STOP")</f>
        <v>73</v>
      </c>
      <c r="P106" s="193">
        <f t="shared" si="7"/>
        <v>16.090546275701058</v>
      </c>
      <c r="Q106" s="262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2" t="str">
        <f>IF('Données projet'!B12="","",'Données projet'!B12)</f>
        <v>Cormier</v>
      </c>
      <c r="C107" s="5"/>
      <c r="D107" s="5"/>
      <c r="E107" s="5"/>
      <c r="F107" s="257"/>
      <c r="G107" s="219"/>
      <c r="H107" s="199"/>
      <c r="I107" s="200"/>
      <c r="J107" s="5"/>
      <c r="K107" s="179"/>
      <c r="L107" s="5"/>
      <c r="M107" s="5"/>
      <c r="N107" s="5"/>
      <c r="O107" s="203">
        <f>IF(O106+1&lt;=MIN('Données projet'!$E$9:$E$18),O106+1,"STOP")</f>
        <v>74</v>
      </c>
      <c r="P107" s="193">
        <f t="shared" si="7"/>
        <v>15.397651938469913</v>
      </c>
      <c r="Q107" s="262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7"/>
      <c r="G108" s="219"/>
      <c r="H108" s="199"/>
      <c r="I108" s="200"/>
      <c r="J108" s="5"/>
      <c r="K108" s="179"/>
      <c r="L108" s="5"/>
      <c r="M108" s="5"/>
      <c r="N108" s="5"/>
      <c r="O108" s="203">
        <f>IF(O107+1&lt;=MIN('Données projet'!$E$9:$E$18),O107+1,"STOP")</f>
        <v>75</v>
      </c>
      <c r="P108" s="193">
        <f t="shared" si="7"/>
        <v>14.73459515643054</v>
      </c>
      <c r="Q108" s="262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3" t="s">
        <v>180</v>
      </c>
      <c r="B109" s="51" t="s">
        <v>256</v>
      </c>
      <c r="C109" s="51" t="s">
        <v>255</v>
      </c>
      <c r="D109" s="253" t="s">
        <v>252</v>
      </c>
      <c r="E109" s="253" t="s">
        <v>320</v>
      </c>
      <c r="F109" s="258"/>
      <c r="G109" s="219"/>
      <c r="H109" s="199"/>
      <c r="I109" s="200"/>
      <c r="J109" s="5"/>
      <c r="K109" s="179"/>
      <c r="L109" s="5"/>
      <c r="M109" s="5"/>
      <c r="N109" s="5"/>
      <c r="O109" s="203">
        <f>IF(O108+1&lt;=MIN('Données projet'!$E$9:$E$18),O108+1,"STOP")</f>
        <v>76</v>
      </c>
      <c r="P109" s="193">
        <f t="shared" si="7"/>
        <v>14.100091058785209</v>
      </c>
      <c r="Q109" s="262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6">
        <v>0</v>
      </c>
      <c r="B110" s="209" t="s">
        <v>132</v>
      </c>
      <c r="C110" s="208" t="s">
        <v>132</v>
      </c>
      <c r="D110" s="207" t="s">
        <v>132</v>
      </c>
      <c r="E110" s="202"/>
      <c r="F110" s="258"/>
      <c r="G110" s="219"/>
      <c r="H110" s="199"/>
      <c r="I110" s="200"/>
      <c r="J110" s="5"/>
      <c r="K110" s="179"/>
      <c r="L110" s="5"/>
      <c r="M110" s="5"/>
      <c r="N110" s="5"/>
      <c r="O110" s="203">
        <f>IF(O109+1&lt;=MIN('Données projet'!$E$9:$E$18),O109+1,"STOP")</f>
        <v>77</v>
      </c>
      <c r="P110" s="193">
        <f t="shared" si="7"/>
        <v>13.492910104100678</v>
      </c>
      <c r="Q110" s="262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6">
        <v>1</v>
      </c>
      <c r="B111" s="209" t="s">
        <v>132</v>
      </c>
      <c r="C111" s="208" t="s">
        <v>132</v>
      </c>
      <c r="D111" s="207" t="s">
        <v>132</v>
      </c>
      <c r="E111" s="202"/>
      <c r="F111" s="258"/>
      <c r="G111" s="217"/>
      <c r="H111" s="199"/>
      <c r="I111" s="200"/>
      <c r="J111" s="5"/>
      <c r="K111" s="179"/>
      <c r="L111" s="5"/>
      <c r="M111" s="5"/>
      <c r="N111" s="5"/>
      <c r="O111" s="203">
        <f>IF(O110+1&lt;=MIN('Données projet'!$E$9:$E$18),O110+1,"STOP")</f>
        <v>78</v>
      </c>
      <c r="P111" s="193">
        <f t="shared" si="7"/>
        <v>12.911875697704001</v>
      </c>
      <c r="Q111" s="262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6">
        <v>2</v>
      </c>
      <c r="B112" s="209" t="s">
        <v>132</v>
      </c>
      <c r="C112" s="208" t="s">
        <v>132</v>
      </c>
      <c r="D112" s="207" t="s">
        <v>132</v>
      </c>
      <c r="E112" s="202"/>
      <c r="F112" s="258"/>
      <c r="G112" s="217"/>
      <c r="H112" s="199"/>
      <c r="I112" s="200"/>
      <c r="J112" s="5"/>
      <c r="K112" s="179"/>
      <c r="L112" s="5"/>
      <c r="M112" s="5"/>
      <c r="N112" s="5"/>
      <c r="O112" s="203">
        <f>IF(O111+1&lt;=MIN('Données projet'!$E$9:$E$18),O111+1,"STOP")</f>
        <v>79</v>
      </c>
      <c r="P112" s="193">
        <f t="shared" si="7"/>
        <v>12.355861911678469</v>
      </c>
      <c r="Q112" s="262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6">
        <v>3</v>
      </c>
      <c r="B113" s="209" t="s">
        <v>132</v>
      </c>
      <c r="C113" s="208" t="s">
        <v>132</v>
      </c>
      <c r="D113" s="207" t="s">
        <v>132</v>
      </c>
      <c r="E113" s="202"/>
      <c r="F113" s="258"/>
      <c r="G113" s="217"/>
      <c r="H113" s="199"/>
      <c r="I113" s="200"/>
      <c r="J113" s="5"/>
      <c r="K113" s="179"/>
      <c r="L113" s="5"/>
      <c r="M113" s="5"/>
      <c r="N113" s="5"/>
      <c r="O113" s="203">
        <f>IF(O112+1&lt;=MIN('Données projet'!$E$9:$E$18),O112+1,"STOP")</f>
        <v>80</v>
      </c>
      <c r="P113" s="193">
        <f t="shared" si="7"/>
        <v>11.823791303041601</v>
      </c>
      <c r="Q113" s="262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6">
        <v>4</v>
      </c>
      <c r="B114" s="209" t="s">
        <v>132</v>
      </c>
      <c r="C114" s="208" t="s">
        <v>132</v>
      </c>
      <c r="D114" s="207" t="s">
        <v>132</v>
      </c>
      <c r="E114" s="202"/>
      <c r="F114" s="258"/>
      <c r="G114" s="217"/>
      <c r="H114" s="199"/>
      <c r="I114" s="200"/>
      <c r="J114" s="5"/>
      <c r="K114" s="179"/>
      <c r="L114" s="5"/>
      <c r="M114" s="5"/>
      <c r="N114" s="5"/>
      <c r="O114" s="203" t="str">
        <f>IF(O113+1&lt;=MIN('Données projet'!$E$9:$E$18),O113+1,"STOP")</f>
        <v>STOP</v>
      </c>
      <c r="P114" s="193" t="e">
        <f t="shared" si="7"/>
        <v>#VALUE!</v>
      </c>
      <c r="Q114" s="262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6">
        <v>5</v>
      </c>
      <c r="B115" s="209" t="s">
        <v>132</v>
      </c>
      <c r="C115" s="208" t="s">
        <v>132</v>
      </c>
      <c r="D115" s="207" t="s">
        <v>132</v>
      </c>
      <c r="E115" s="202"/>
      <c r="F115" s="258"/>
      <c r="G115" s="218"/>
      <c r="H115" s="199"/>
      <c r="I115" s="200"/>
      <c r="J115" s="5"/>
      <c r="K115" s="179"/>
      <c r="L115" s="5"/>
      <c r="M115" s="5"/>
      <c r="N115" s="5"/>
      <c r="O115" s="203" t="e">
        <f>IF(O114+1&lt;=MIN('Données projet'!$E$9:$E$18),O114+1,"STOP")</f>
        <v>#VALUE!</v>
      </c>
      <c r="P115" s="193" t="e">
        <f t="shared" si="7"/>
        <v>#VALUE!</v>
      </c>
      <c r="Q115" s="262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88">
        <f>'Données projet'!A114</f>
        <v>20</v>
      </c>
      <c r="B116" s="189">
        <f>'Données projet'!D114</f>
        <v>0</v>
      </c>
      <c r="C116" s="200"/>
      <c r="D116" s="187">
        <f>B116*C116</f>
        <v>0</v>
      </c>
      <c r="E116" s="202"/>
      <c r="F116" s="259"/>
      <c r="G116" s="218"/>
      <c r="H116" s="199"/>
      <c r="I116" s="200"/>
      <c r="J116" s="5"/>
      <c r="K116" s="179"/>
      <c r="L116" s="5"/>
      <c r="M116" s="5"/>
      <c r="N116" s="5"/>
      <c r="O116" s="203" t="e">
        <f>IF(O115+1&lt;=MIN('Données projet'!$E$9:$E$18),O115+1,"STOP")</f>
        <v>#VALUE!</v>
      </c>
      <c r="P116" s="193" t="e">
        <f t="shared" si="7"/>
        <v>#VALUE!</v>
      </c>
      <c r="Q116" s="262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88">
        <f>'Données projet'!A115</f>
        <v>25</v>
      </c>
      <c r="B117" s="189">
        <f>'Données projet'!D115</f>
        <v>0</v>
      </c>
      <c r="C117" s="200"/>
      <c r="D117" s="187">
        <f t="shared" ref="D117:D135" si="8">B117*C117</f>
        <v>0</v>
      </c>
      <c r="E117" s="202"/>
      <c r="F117" s="259"/>
      <c r="G117" s="218"/>
      <c r="H117" s="199"/>
      <c r="I117" s="200"/>
      <c r="J117" s="5"/>
      <c r="K117" s="179"/>
      <c r="L117" s="5"/>
      <c r="M117" s="5"/>
      <c r="N117" s="5"/>
      <c r="O117" s="203" t="e">
        <f>IF(O116+1&lt;=MIN('Données projet'!$E$9:$E$18),O116+1,"STOP")</f>
        <v>#VALUE!</v>
      </c>
      <c r="P117" s="193" t="e">
        <f t="shared" si="7"/>
        <v>#VALUE!</v>
      </c>
      <c r="Q117" s="262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88">
        <f>'Données projet'!A116</f>
        <v>30</v>
      </c>
      <c r="B118" s="189">
        <f>'Données projet'!D116</f>
        <v>29</v>
      </c>
      <c r="C118" s="200">
        <v>10</v>
      </c>
      <c r="D118" s="187">
        <f t="shared" si="8"/>
        <v>290</v>
      </c>
      <c r="E118" s="202"/>
      <c r="F118" s="259"/>
      <c r="G118" s="218"/>
      <c r="H118" s="199"/>
      <c r="I118" s="200"/>
      <c r="J118" s="5"/>
      <c r="K118" s="179"/>
      <c r="L118" s="5"/>
      <c r="M118" s="5"/>
      <c r="N118" s="5"/>
      <c r="O118" s="203" t="e">
        <f>IF(O117+1&lt;=MIN('Données projet'!$E$9:$E$18),O117+1,"STOP")</f>
        <v>#VALUE!</v>
      </c>
      <c r="P118" s="193" t="e">
        <f t="shared" si="7"/>
        <v>#VALUE!</v>
      </c>
      <c r="Q118" s="262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88">
        <f>'Données projet'!A117</f>
        <v>35</v>
      </c>
      <c r="B119" s="189">
        <f>'Données projet'!D117</f>
        <v>0</v>
      </c>
      <c r="C119" s="200"/>
      <c r="D119" s="187">
        <f t="shared" si="8"/>
        <v>0</v>
      </c>
      <c r="E119" s="202"/>
      <c r="F119" s="259"/>
      <c r="G119" s="218"/>
      <c r="H119" s="199"/>
      <c r="I119" s="200"/>
      <c r="J119" s="5"/>
      <c r="K119" s="179"/>
      <c r="L119" s="5"/>
      <c r="M119" s="5"/>
      <c r="N119" s="5"/>
      <c r="O119" s="203" t="e">
        <f>IF(O118+1&lt;=MIN('Données projet'!$E$9:$E$18),O118+1,"STOP")</f>
        <v>#VALUE!</v>
      </c>
      <c r="P119" s="193" t="e">
        <f t="shared" si="7"/>
        <v>#VALUE!</v>
      </c>
      <c r="Q119" s="262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88">
        <f>'Données projet'!A118</f>
        <v>40</v>
      </c>
      <c r="B120" s="189">
        <f>'Données projet'!D118</f>
        <v>42</v>
      </c>
      <c r="C120" s="200">
        <v>15</v>
      </c>
      <c r="D120" s="187">
        <f t="shared" si="8"/>
        <v>630</v>
      </c>
      <c r="E120" s="202"/>
      <c r="F120" s="259"/>
      <c r="G120" s="218"/>
      <c r="H120" s="199"/>
      <c r="I120" s="200"/>
      <c r="J120" s="5"/>
      <c r="K120" s="179"/>
      <c r="L120" s="5"/>
      <c r="M120" s="5"/>
      <c r="N120" s="5"/>
      <c r="O120" s="203" t="e">
        <f>IF(O119+1&lt;=MIN('Données projet'!$E$9:$E$18),O119+1,"STOP")</f>
        <v>#VALUE!</v>
      </c>
      <c r="P120" s="193" t="e">
        <f t="shared" si="7"/>
        <v>#VALUE!</v>
      </c>
      <c r="Q120" s="262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88">
        <f>'Données projet'!A119</f>
        <v>45</v>
      </c>
      <c r="B121" s="189">
        <f>'Données projet'!D119</f>
        <v>0</v>
      </c>
      <c r="C121" s="200"/>
      <c r="D121" s="187">
        <f t="shared" si="8"/>
        <v>0</v>
      </c>
      <c r="E121" s="202"/>
      <c r="F121" s="259"/>
      <c r="G121" s="218"/>
      <c r="H121" s="199"/>
      <c r="I121" s="200"/>
      <c r="J121" s="5"/>
      <c r="K121" s="179"/>
      <c r="L121" s="5"/>
      <c r="M121" s="5"/>
      <c r="N121" s="5"/>
      <c r="O121" s="203" t="e">
        <f>IF(O120+1&lt;=MIN('Données projet'!$E$9:$E$18),O120+1,"STOP")</f>
        <v>#VALUE!</v>
      </c>
      <c r="P121" s="193" t="e">
        <f t="shared" si="7"/>
        <v>#VALUE!</v>
      </c>
      <c r="Q121" s="262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88">
        <f>'Données projet'!A120</f>
        <v>50</v>
      </c>
      <c r="B122" s="189">
        <f>'Données projet'!D120</f>
        <v>42</v>
      </c>
      <c r="C122" s="200">
        <v>20</v>
      </c>
      <c r="D122" s="187">
        <f t="shared" si="8"/>
        <v>840</v>
      </c>
      <c r="E122" s="202"/>
      <c r="F122" s="259"/>
      <c r="G122" s="219"/>
      <c r="H122" s="199"/>
      <c r="I122" s="200"/>
      <c r="J122" s="5"/>
      <c r="K122" s="179"/>
      <c r="L122" s="5"/>
      <c r="M122" s="5"/>
      <c r="N122" s="5"/>
      <c r="O122" s="203" t="e">
        <f>IF(O121+1&lt;=MIN('Données projet'!$E$9:$E$18),O121+1,"STOP")</f>
        <v>#VALUE!</v>
      </c>
      <c r="P122" s="193" t="e">
        <f t="shared" si="7"/>
        <v>#VALUE!</v>
      </c>
      <c r="Q122" s="262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88">
        <f>'Données projet'!A121</f>
        <v>55</v>
      </c>
      <c r="B123" s="189">
        <f>'Données projet'!D121</f>
        <v>0</v>
      </c>
      <c r="C123" s="200"/>
      <c r="D123" s="187">
        <f t="shared" si="8"/>
        <v>0</v>
      </c>
      <c r="E123" s="202"/>
      <c r="F123" s="259"/>
      <c r="G123" s="219"/>
      <c r="H123" s="199"/>
      <c r="I123" s="200"/>
      <c r="J123" s="5"/>
      <c r="K123" s="179"/>
      <c r="L123" s="5"/>
      <c r="M123" s="5"/>
      <c r="N123" s="5"/>
      <c r="O123" s="203" t="e">
        <f>IF(O122+1&lt;=MIN('Données projet'!$E$9:$E$18),O122+1,"STOP")</f>
        <v>#VALUE!</v>
      </c>
      <c r="P123" s="193" t="e">
        <f t="shared" si="7"/>
        <v>#VALUE!</v>
      </c>
      <c r="Q123" s="262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88">
        <f>'Données projet'!A122</f>
        <v>60</v>
      </c>
      <c r="B124" s="189">
        <f>'Données projet'!D122</f>
        <v>42</v>
      </c>
      <c r="C124" s="200">
        <v>25</v>
      </c>
      <c r="D124" s="187">
        <f t="shared" si="8"/>
        <v>1050</v>
      </c>
      <c r="E124" s="202"/>
      <c r="F124" s="259"/>
      <c r="G124" s="219"/>
      <c r="H124" s="199"/>
      <c r="I124" s="200"/>
      <c r="J124" s="5"/>
      <c r="K124" s="179"/>
      <c r="L124" s="5"/>
      <c r="M124" s="5"/>
      <c r="N124" s="5"/>
      <c r="O124" s="203" t="e">
        <f>IF(O123+1&lt;=MIN('Données projet'!$E$9:$E$18),O123+1,"STOP")</f>
        <v>#VALUE!</v>
      </c>
      <c r="P124" s="193" t="e">
        <f t="shared" si="7"/>
        <v>#VALUE!</v>
      </c>
      <c r="Q124" s="262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88">
        <f>'Données projet'!A123</f>
        <v>65</v>
      </c>
      <c r="B125" s="189">
        <f>'Données projet'!D123</f>
        <v>0</v>
      </c>
      <c r="C125" s="200"/>
      <c r="D125" s="187">
        <f t="shared" si="8"/>
        <v>0</v>
      </c>
      <c r="E125" s="202"/>
      <c r="F125" s="259"/>
      <c r="G125" s="219"/>
      <c r="H125" s="199"/>
      <c r="I125" s="200"/>
      <c r="J125" s="5"/>
      <c r="K125" s="179"/>
      <c r="L125" s="5"/>
      <c r="M125" s="5"/>
      <c r="N125" s="5"/>
      <c r="O125" s="203" t="e">
        <f>IF(O124+1&lt;=MIN('Données projet'!$E$9:$E$18),O124+1,"STOP")</f>
        <v>#VALUE!</v>
      </c>
      <c r="P125" s="193" t="e">
        <f t="shared" si="7"/>
        <v>#VALUE!</v>
      </c>
      <c r="Q125" s="262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88">
        <f>'Données projet'!A124</f>
        <v>70</v>
      </c>
      <c r="B126" s="189">
        <f>'Données projet'!D124</f>
        <v>42</v>
      </c>
      <c r="C126" s="200">
        <v>30</v>
      </c>
      <c r="D126" s="187">
        <f t="shared" si="8"/>
        <v>1260</v>
      </c>
      <c r="E126" s="202"/>
      <c r="F126" s="259"/>
      <c r="G126" s="219"/>
      <c r="H126" s="199"/>
      <c r="I126" s="200"/>
      <c r="J126" s="5"/>
      <c r="K126" s="179"/>
      <c r="L126" s="5"/>
      <c r="M126" s="5"/>
      <c r="N126" s="5"/>
      <c r="O126" s="203" t="e">
        <f>IF(O125+1&lt;=MIN('Données projet'!$E$9:$E$18),O125+1,"STOP")</f>
        <v>#VALUE!</v>
      </c>
      <c r="P126" s="193" t="e">
        <f t="shared" si="7"/>
        <v>#VALUE!</v>
      </c>
      <c r="Q126" s="262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88">
        <f>'Données projet'!A125</f>
        <v>75</v>
      </c>
      <c r="B127" s="189">
        <f>'Données projet'!D125</f>
        <v>0</v>
      </c>
      <c r="C127" s="200"/>
      <c r="D127" s="187">
        <f t="shared" si="8"/>
        <v>0</v>
      </c>
      <c r="E127" s="202"/>
      <c r="F127" s="259"/>
      <c r="G127" s="219"/>
      <c r="H127" s="199"/>
      <c r="I127" s="200"/>
      <c r="J127" s="5"/>
      <c r="K127" s="179"/>
      <c r="L127" s="5"/>
      <c r="M127" s="5"/>
      <c r="N127" s="5"/>
      <c r="O127" s="203" t="e">
        <f>IF(O126+1&lt;=MIN('Données projet'!$E$9:$E$18),O126+1,"STOP")</f>
        <v>#VALUE!</v>
      </c>
      <c r="P127" s="193" t="e">
        <f t="shared" si="7"/>
        <v>#VALUE!</v>
      </c>
      <c r="Q127" s="262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88">
        <f>'Données projet'!A126</f>
        <v>80</v>
      </c>
      <c r="B128" s="189">
        <f>'Données projet'!D126</f>
        <v>42</v>
      </c>
      <c r="C128" s="200">
        <v>35</v>
      </c>
      <c r="D128" s="187">
        <f t="shared" si="8"/>
        <v>1470</v>
      </c>
      <c r="E128" s="202"/>
      <c r="F128" s="259"/>
      <c r="G128" s="219"/>
      <c r="H128" s="199"/>
      <c r="I128" s="200"/>
      <c r="J128" s="5"/>
      <c r="K128" s="179"/>
      <c r="L128" s="5"/>
      <c r="M128" s="5"/>
      <c r="N128" s="5"/>
      <c r="O128" s="203" t="e">
        <f>IF(O127+1&lt;=MIN('Données projet'!$E$9:$E$18),O127+1,"STOP")</f>
        <v>#VALUE!</v>
      </c>
      <c r="P128" s="193" t="e">
        <f t="shared" si="7"/>
        <v>#VALUE!</v>
      </c>
      <c r="Q128" s="262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88">
        <f>'Données projet'!A127</f>
        <v>90</v>
      </c>
      <c r="B129" s="189">
        <f>'Données projet'!D127</f>
        <v>42</v>
      </c>
      <c r="C129" s="202">
        <v>40</v>
      </c>
      <c r="D129" s="187">
        <f t="shared" si="8"/>
        <v>1680</v>
      </c>
      <c r="E129" s="202"/>
      <c r="F129" s="259"/>
      <c r="G129" s="219"/>
      <c r="H129" s="199"/>
      <c r="I129" s="200"/>
      <c r="J129" s="5"/>
      <c r="K129" s="179"/>
      <c r="L129" s="5"/>
      <c r="M129" s="5"/>
      <c r="N129" s="5"/>
      <c r="O129" s="203" t="e">
        <f>IF(O128+1&lt;=MIN('Données projet'!$E$9:$E$18),O128+1,"STOP")</f>
        <v>#VALUE!</v>
      </c>
      <c r="P129" s="193" t="e">
        <f t="shared" ref="P129:P132" si="9">$P$25/(1+$M$4)^O129</f>
        <v>#VALUE!</v>
      </c>
      <c r="Q129" s="262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88">
        <f>'Données projet'!A128</f>
        <v>100</v>
      </c>
      <c r="B130" s="189">
        <f>'Données projet'!D128</f>
        <v>42</v>
      </c>
      <c r="C130" s="202">
        <v>45</v>
      </c>
      <c r="D130" s="187">
        <f t="shared" si="8"/>
        <v>1890</v>
      </c>
      <c r="E130" s="202"/>
      <c r="F130" s="259"/>
      <c r="G130" s="219"/>
      <c r="H130" s="199"/>
      <c r="I130" s="200"/>
      <c r="J130" s="5"/>
      <c r="K130" s="179"/>
      <c r="L130" s="5"/>
      <c r="M130" s="5"/>
      <c r="N130" s="5"/>
      <c r="O130" s="203" t="e">
        <f>IF(O129+1&lt;=MIN('Données projet'!$E$9:$E$18),O129+1,"STOP")</f>
        <v>#VALUE!</v>
      </c>
      <c r="P130" s="193" t="e">
        <f t="shared" si="9"/>
        <v>#VALUE!</v>
      </c>
      <c r="Q130" s="262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88">
        <f>'Données projet'!A129</f>
        <v>110</v>
      </c>
      <c r="B131" s="189">
        <f>'Données projet'!D129</f>
        <v>39</v>
      </c>
      <c r="C131" s="202">
        <v>50</v>
      </c>
      <c r="D131" s="187">
        <f t="shared" si="8"/>
        <v>1950</v>
      </c>
      <c r="E131" s="202"/>
      <c r="F131" s="259"/>
      <c r="G131" s="219"/>
      <c r="H131" s="199"/>
      <c r="I131" s="200"/>
      <c r="J131" s="5"/>
      <c r="K131" s="179"/>
      <c r="L131" s="5"/>
      <c r="M131" s="5"/>
      <c r="N131" s="5"/>
      <c r="O131" s="203" t="e">
        <f>IF(O130+1&lt;=MIN('Données projet'!$E$9:$E$18),O130+1,"STOP")</f>
        <v>#VALUE!</v>
      </c>
      <c r="P131" s="193" t="e">
        <f t="shared" si="9"/>
        <v>#VALUE!</v>
      </c>
      <c r="Q131" s="262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88">
        <f>'Données projet'!A130</f>
        <v>120</v>
      </c>
      <c r="B132" s="189">
        <f>'Données projet'!D130</f>
        <v>35</v>
      </c>
      <c r="C132" s="202">
        <v>60</v>
      </c>
      <c r="D132" s="187">
        <f t="shared" si="8"/>
        <v>2100</v>
      </c>
      <c r="E132" s="202"/>
      <c r="F132" s="259"/>
      <c r="G132" s="219"/>
      <c r="H132" s="199"/>
      <c r="I132" s="200"/>
      <c r="J132" s="5"/>
      <c r="K132" s="179"/>
      <c r="L132" s="5"/>
      <c r="M132" s="5"/>
      <c r="N132" s="5"/>
      <c r="O132" s="203" t="e">
        <f>IF(O131+1&lt;=MIN('Données projet'!$E$9:$E$18),O131+1,"STOP")</f>
        <v>#VALUE!</v>
      </c>
      <c r="P132" s="193" t="e">
        <f t="shared" si="9"/>
        <v>#VALUE!</v>
      </c>
      <c r="Q132" s="262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88">
        <f>'Données projet'!A131</f>
        <v>130</v>
      </c>
      <c r="B133" s="189">
        <f>'Données projet'!D131</f>
        <v>31</v>
      </c>
      <c r="C133" s="202">
        <v>70</v>
      </c>
      <c r="D133" s="187">
        <f t="shared" si="8"/>
        <v>2170</v>
      </c>
      <c r="E133" s="202"/>
      <c r="F133" s="259"/>
      <c r="G133" s="219"/>
      <c r="H133" s="199"/>
      <c r="I133" s="200"/>
      <c r="J133" s="5"/>
      <c r="K133" s="179"/>
      <c r="Q133" s="262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88">
        <f>'Données projet'!A132</f>
        <v>140</v>
      </c>
      <c r="B134" s="189">
        <f>'Données projet'!D132</f>
        <v>27</v>
      </c>
      <c r="C134" s="202">
        <v>80</v>
      </c>
      <c r="D134" s="187">
        <f t="shared" si="8"/>
        <v>2160</v>
      </c>
      <c r="E134" s="202"/>
      <c r="F134" s="259"/>
      <c r="G134" s="219"/>
      <c r="H134" s="199"/>
      <c r="I134" s="200"/>
      <c r="J134" s="5"/>
      <c r="K134" s="179"/>
      <c r="Q134" s="262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88">
        <f>'Données projet'!A133</f>
        <v>150</v>
      </c>
      <c r="B135" s="189">
        <f>'Données projet'!D133</f>
        <v>293</v>
      </c>
      <c r="C135" s="202">
        <v>200</v>
      </c>
      <c r="D135" s="187">
        <f t="shared" si="8"/>
        <v>58600</v>
      </c>
      <c r="E135" s="202"/>
      <c r="F135" s="259"/>
      <c r="G135" s="219"/>
      <c r="H135" s="199"/>
      <c r="I135" s="200"/>
      <c r="J135" s="5"/>
      <c r="K135" s="179"/>
      <c r="Q135" s="262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7"/>
      <c r="G136" s="219"/>
      <c r="H136" s="199"/>
      <c r="I136" s="200"/>
      <c r="J136" s="5"/>
      <c r="K136" s="179"/>
      <c r="L136" s="5"/>
      <c r="M136" s="5"/>
      <c r="N136" s="5"/>
      <c r="Q136" s="262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7"/>
      <c r="G137" s="219"/>
      <c r="H137" s="199"/>
      <c r="I137" s="200"/>
      <c r="J137" s="5"/>
      <c r="K137" s="179"/>
      <c r="L137" s="5"/>
      <c r="M137" s="5"/>
      <c r="N137" s="5"/>
      <c r="Q137" s="262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2" t="str">
        <f>IF('Données projet'!B13="","",'Données projet'!B13)</f>
        <v>Cèdre de l'Atlas</v>
      </c>
      <c r="C138" s="5"/>
      <c r="D138" s="5"/>
      <c r="E138" s="5"/>
      <c r="F138" s="257"/>
      <c r="G138" s="219"/>
      <c r="H138" s="199"/>
      <c r="I138" s="200"/>
      <c r="J138" s="5"/>
      <c r="K138" s="179"/>
      <c r="L138" s="5"/>
      <c r="M138" s="5"/>
      <c r="N138" s="5"/>
      <c r="Q138" s="262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7"/>
      <c r="G139" s="219"/>
      <c r="H139" s="199"/>
      <c r="I139" s="200"/>
      <c r="J139" s="5"/>
      <c r="K139" s="179"/>
      <c r="L139" s="5"/>
      <c r="M139" s="5"/>
      <c r="N139" s="5"/>
      <c r="Q139" s="262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3" t="s">
        <v>180</v>
      </c>
      <c r="B140" s="51" t="s">
        <v>256</v>
      </c>
      <c r="C140" s="51" t="s">
        <v>255</v>
      </c>
      <c r="D140" s="253" t="s">
        <v>252</v>
      </c>
      <c r="E140" s="253" t="s">
        <v>320</v>
      </c>
      <c r="F140" s="258"/>
      <c r="G140" s="219"/>
      <c r="H140" s="199"/>
      <c r="I140" s="200"/>
      <c r="J140" s="5"/>
      <c r="K140" s="179"/>
      <c r="L140" s="5"/>
      <c r="M140" s="5"/>
      <c r="N140" s="5"/>
      <c r="Q140" s="262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6">
        <v>0</v>
      </c>
      <c r="B141" s="209" t="s">
        <v>132</v>
      </c>
      <c r="C141" s="208" t="s">
        <v>132</v>
      </c>
      <c r="D141" s="207" t="s">
        <v>132</v>
      </c>
      <c r="E141" s="202"/>
      <c r="F141" s="258"/>
      <c r="G141" s="219"/>
      <c r="H141" s="199"/>
      <c r="I141" s="200"/>
      <c r="J141" s="5"/>
      <c r="K141" s="179"/>
      <c r="L141" s="5"/>
      <c r="M141" s="5"/>
      <c r="N141" s="5"/>
      <c r="Q141" s="262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6">
        <v>1</v>
      </c>
      <c r="B142" s="209" t="s">
        <v>132</v>
      </c>
      <c r="C142" s="208" t="s">
        <v>132</v>
      </c>
      <c r="D142" s="207" t="s">
        <v>132</v>
      </c>
      <c r="E142" s="202"/>
      <c r="F142" s="258"/>
      <c r="G142" s="217"/>
      <c r="H142" s="199"/>
      <c r="I142" s="200"/>
      <c r="J142" s="5"/>
      <c r="K142" s="179"/>
      <c r="L142" s="5"/>
      <c r="M142" s="5"/>
      <c r="N142" s="5"/>
      <c r="Q142" s="262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6">
        <v>2</v>
      </c>
      <c r="B143" s="209" t="s">
        <v>132</v>
      </c>
      <c r="C143" s="208" t="s">
        <v>132</v>
      </c>
      <c r="D143" s="207" t="s">
        <v>132</v>
      </c>
      <c r="E143" s="202"/>
      <c r="F143" s="258"/>
      <c r="G143" s="217"/>
      <c r="H143" s="199"/>
      <c r="I143" s="200"/>
      <c r="J143" s="5"/>
      <c r="K143" s="179"/>
      <c r="L143" s="5"/>
      <c r="M143" s="5"/>
      <c r="N143" s="5"/>
      <c r="Q143" s="262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6">
        <v>3</v>
      </c>
      <c r="B144" s="209" t="s">
        <v>132</v>
      </c>
      <c r="C144" s="208" t="s">
        <v>132</v>
      </c>
      <c r="D144" s="207" t="s">
        <v>132</v>
      </c>
      <c r="E144" s="202"/>
      <c r="F144" s="258"/>
      <c r="G144" s="217"/>
      <c r="H144" s="199"/>
      <c r="I144" s="200"/>
      <c r="J144" s="5"/>
      <c r="K144" s="179"/>
      <c r="L144" s="5"/>
      <c r="M144" s="5"/>
      <c r="N144" s="5"/>
      <c r="Q144" s="26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6">
        <v>4</v>
      </c>
      <c r="B145" s="209" t="s">
        <v>132</v>
      </c>
      <c r="C145" s="208" t="s">
        <v>132</v>
      </c>
      <c r="D145" s="207" t="s">
        <v>132</v>
      </c>
      <c r="E145" s="202"/>
      <c r="F145" s="258"/>
      <c r="G145" s="217"/>
      <c r="H145" s="199"/>
      <c r="I145" s="200"/>
      <c r="J145" s="5"/>
      <c r="K145" s="179"/>
      <c r="L145" s="5"/>
      <c r="M145" s="5"/>
      <c r="N145" s="5"/>
      <c r="Q145" s="262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6">
        <v>5</v>
      </c>
      <c r="B146" s="209" t="s">
        <v>132</v>
      </c>
      <c r="C146" s="208" t="s">
        <v>132</v>
      </c>
      <c r="D146" s="207" t="s">
        <v>132</v>
      </c>
      <c r="E146" s="202"/>
      <c r="F146" s="258"/>
      <c r="G146" s="218"/>
      <c r="H146" s="199"/>
      <c r="I146" s="200"/>
      <c r="J146" s="5"/>
      <c r="K146" s="179"/>
      <c r="L146" s="5"/>
      <c r="M146" s="5"/>
      <c r="N146" s="5"/>
      <c r="Q146" s="262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30</v>
      </c>
      <c r="B147" s="183">
        <f>'Données projet'!D140</f>
        <v>0</v>
      </c>
      <c r="C147" s="200"/>
      <c r="D147" s="190">
        <f>B147*C147</f>
        <v>0</v>
      </c>
      <c r="E147" s="202"/>
      <c r="F147" s="260"/>
      <c r="G147" s="218"/>
      <c r="H147" s="199"/>
      <c r="I147" s="200"/>
      <c r="J147" s="5"/>
      <c r="K147" s="179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35</v>
      </c>
      <c r="B148" s="183">
        <f>'Données projet'!D141</f>
        <v>0</v>
      </c>
      <c r="C148" s="200"/>
      <c r="D148" s="190">
        <f t="shared" ref="D148:D166" si="10">B148*C148</f>
        <v>0</v>
      </c>
      <c r="E148" s="202"/>
      <c r="F148" s="260"/>
      <c r="G148" s="218"/>
      <c r="H148" s="199"/>
      <c r="I148" s="200"/>
      <c r="J148" s="5"/>
      <c r="K148" s="179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40</v>
      </c>
      <c r="B149" s="183">
        <f>'Données projet'!D142</f>
        <v>0</v>
      </c>
      <c r="C149" s="200"/>
      <c r="D149" s="190">
        <f t="shared" si="10"/>
        <v>0</v>
      </c>
      <c r="E149" s="202"/>
      <c r="F149" s="260"/>
      <c r="G149" s="218"/>
      <c r="H149" s="199"/>
      <c r="I149" s="200"/>
      <c r="J149" s="5"/>
      <c r="K149" s="179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45</v>
      </c>
      <c r="B150" s="183">
        <f>'Données projet'!D143</f>
        <v>0</v>
      </c>
      <c r="C150" s="200"/>
      <c r="D150" s="190">
        <f t="shared" si="10"/>
        <v>0</v>
      </c>
      <c r="E150" s="202"/>
      <c r="F150" s="260"/>
      <c r="G150" s="218"/>
      <c r="H150" s="199"/>
      <c r="I150" s="200"/>
      <c r="J150" s="5"/>
      <c r="K150" s="179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51</v>
      </c>
      <c r="B151" s="183">
        <f>'Données projet'!D144</f>
        <v>100.30769230769231</v>
      </c>
      <c r="C151" s="200">
        <v>30</v>
      </c>
      <c r="D151" s="190">
        <f t="shared" si="10"/>
        <v>3009.2307692307691</v>
      </c>
      <c r="E151" s="202"/>
      <c r="F151" s="260"/>
      <c r="G151" s="218"/>
      <c r="H151" s="199"/>
      <c r="I151" s="200"/>
      <c r="J151" s="5"/>
      <c r="K151" s="179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57</v>
      </c>
      <c r="B152" s="183">
        <f>'Données projet'!D145</f>
        <v>0</v>
      </c>
      <c r="C152" s="200"/>
      <c r="D152" s="190">
        <f t="shared" si="10"/>
        <v>0</v>
      </c>
      <c r="E152" s="202"/>
      <c r="F152" s="260"/>
      <c r="G152" s="218"/>
      <c r="H152" s="199"/>
      <c r="I152" s="200"/>
      <c r="J152" s="5"/>
      <c r="K152" s="179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63</v>
      </c>
      <c r="B153" s="183">
        <f>'Données projet'!D146</f>
        <v>108.08461538461538</v>
      </c>
      <c r="C153" s="200">
        <v>40</v>
      </c>
      <c r="D153" s="190">
        <f t="shared" si="10"/>
        <v>4323.3846153846152</v>
      </c>
      <c r="E153" s="202"/>
      <c r="F153" s="260"/>
      <c r="G153" s="214"/>
      <c r="H153" s="199"/>
      <c r="I153" s="200"/>
      <c r="J153" s="5"/>
      <c r="K153" s="179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69</v>
      </c>
      <c r="B154" s="183">
        <f>'Données projet'!D147</f>
        <v>0</v>
      </c>
      <c r="C154" s="200"/>
      <c r="D154" s="190">
        <f t="shared" si="10"/>
        <v>0</v>
      </c>
      <c r="E154" s="202"/>
      <c r="F154" s="260"/>
      <c r="G154" s="214"/>
      <c r="H154" s="199"/>
      <c r="I154" s="200"/>
      <c r="J154" s="5"/>
      <c r="K154" s="179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75</v>
      </c>
      <c r="B155" s="183">
        <f>'Données projet'!D148</f>
        <v>85.361538461538458</v>
      </c>
      <c r="C155" s="200">
        <v>50</v>
      </c>
      <c r="D155" s="190">
        <f t="shared" si="10"/>
        <v>4268.0769230769229</v>
      </c>
      <c r="E155" s="202"/>
      <c r="F155" s="260"/>
      <c r="G155" s="214"/>
      <c r="H155" s="199"/>
      <c r="I155" s="200"/>
      <c r="J155" s="5"/>
      <c r="K155" s="179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81</v>
      </c>
      <c r="B156" s="183">
        <f>'Données projet'!D149</f>
        <v>0</v>
      </c>
      <c r="C156" s="200"/>
      <c r="D156" s="190">
        <f t="shared" si="10"/>
        <v>0</v>
      </c>
      <c r="E156" s="202"/>
      <c r="F156" s="260"/>
      <c r="G156" s="214"/>
      <c r="H156" s="199"/>
      <c r="I156" s="200"/>
      <c r="J156" s="5"/>
      <c r="K156" s="179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87</v>
      </c>
      <c r="B157" s="183">
        <f>'Données projet'!D150</f>
        <v>82.938461538461524</v>
      </c>
      <c r="C157" s="200">
        <v>60</v>
      </c>
      <c r="D157" s="190">
        <f t="shared" si="10"/>
        <v>4976.3076923076915</v>
      </c>
      <c r="E157" s="202"/>
      <c r="F157" s="260"/>
      <c r="G157" s="214"/>
      <c r="H157" s="199"/>
      <c r="I157" s="200"/>
      <c r="J157" s="5"/>
      <c r="K157" s="179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93</v>
      </c>
      <c r="B158" s="183">
        <f>'Données projet'!D151</f>
        <v>0</v>
      </c>
      <c r="C158" s="200"/>
      <c r="D158" s="190">
        <f t="shared" si="10"/>
        <v>0</v>
      </c>
      <c r="E158" s="202"/>
      <c r="F158" s="260"/>
      <c r="G158" s="214"/>
      <c r="H158" s="199"/>
      <c r="I158" s="200"/>
      <c r="J158" s="5"/>
      <c r="K158" s="179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99</v>
      </c>
      <c r="B159" s="183">
        <f>'Données projet'!D152</f>
        <v>198.32307692307691</v>
      </c>
      <c r="C159" s="200">
        <v>70</v>
      </c>
      <c r="D159" s="190">
        <f t="shared" si="10"/>
        <v>13882.615384615383</v>
      </c>
      <c r="E159" s="202"/>
      <c r="F159" s="260"/>
      <c r="G159" s="214"/>
      <c r="H159" s="199"/>
      <c r="I159" s="200"/>
      <c r="J159" s="5"/>
      <c r="K159" s="179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104</v>
      </c>
      <c r="B160" s="183">
        <f>'Données projet'!D153</f>
        <v>0</v>
      </c>
      <c r="C160" s="200"/>
      <c r="D160" s="190">
        <f t="shared" si="10"/>
        <v>0</v>
      </c>
      <c r="E160" s="202"/>
      <c r="F160" s="260"/>
      <c r="G160" s="214"/>
      <c r="H160" s="199"/>
      <c r="I160" s="200"/>
      <c r="J160" s="5"/>
      <c r="K160" s="1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109</v>
      </c>
      <c r="B161" s="183">
        <f>'Données projet'!D154</f>
        <v>256.09230769230771</v>
      </c>
      <c r="C161" s="200">
        <v>100</v>
      </c>
      <c r="D161" s="190">
        <f t="shared" si="10"/>
        <v>25609.230769230773</v>
      </c>
      <c r="E161" s="202"/>
      <c r="F161" s="260"/>
      <c r="G161" s="214"/>
      <c r="H161" s="199"/>
      <c r="I161" s="200"/>
      <c r="J161" s="5"/>
      <c r="K161" s="1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3">
        <f>'Données projet'!D155</f>
        <v>0</v>
      </c>
      <c r="C162" s="200"/>
      <c r="D162" s="190">
        <f t="shared" si="10"/>
        <v>0</v>
      </c>
      <c r="E162" s="202"/>
      <c r="F162" s="260"/>
      <c r="G162" s="214"/>
      <c r="H162" s="199"/>
      <c r="I162" s="200"/>
      <c r="J162" s="5"/>
      <c r="K162" s="1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3">
        <f>'Données projet'!D156</f>
        <v>0</v>
      </c>
      <c r="C163" s="200"/>
      <c r="D163" s="190">
        <f t="shared" si="10"/>
        <v>0</v>
      </c>
      <c r="E163" s="202"/>
      <c r="F163" s="260"/>
      <c r="G163" s="214"/>
      <c r="H163" s="199"/>
      <c r="I163" s="200"/>
      <c r="J163" s="5"/>
      <c r="K163" s="1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3">
        <f>'Données projet'!D157</f>
        <v>0</v>
      </c>
      <c r="C164" s="200"/>
      <c r="D164" s="190">
        <f t="shared" si="10"/>
        <v>0</v>
      </c>
      <c r="E164" s="202"/>
      <c r="F164" s="260"/>
      <c r="G164" s="214"/>
      <c r="H164" s="199"/>
      <c r="I164" s="200"/>
      <c r="J164" s="5"/>
      <c r="K164" s="1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3">
        <f>'Données projet'!D158</f>
        <v>0</v>
      </c>
      <c r="C165" s="200"/>
      <c r="D165" s="190">
        <f t="shared" si="10"/>
        <v>0</v>
      </c>
      <c r="E165" s="202"/>
      <c r="F165" s="260"/>
      <c r="G165" s="214"/>
      <c r="H165" s="199"/>
      <c r="I165" s="200"/>
      <c r="J165" s="5"/>
      <c r="K165" s="1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3">
        <f>'Données projet'!D159</f>
        <v>0</v>
      </c>
      <c r="C166" s="200"/>
      <c r="D166" s="190">
        <f t="shared" si="10"/>
        <v>0</v>
      </c>
      <c r="E166" s="202"/>
      <c r="F166" s="260"/>
      <c r="G166" s="214"/>
      <c r="H166" s="199"/>
      <c r="I166" s="200"/>
      <c r="J166" s="5"/>
      <c r="K166" s="1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7"/>
      <c r="G167" s="214"/>
      <c r="H167" s="199"/>
      <c r="I167" s="200"/>
      <c r="J167" s="5"/>
      <c r="K167" s="1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7"/>
      <c r="G168" s="214"/>
      <c r="H168" s="199"/>
      <c r="I168" s="200"/>
      <c r="J168" s="5"/>
      <c r="K168" s="1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2" t="str">
        <f>IF('Données projet'!B14="","",'Données projet'!B14)</f>
        <v>Micocoulier de Provence</v>
      </c>
      <c r="C169" s="5"/>
      <c r="D169" s="5"/>
      <c r="E169" s="5"/>
      <c r="F169" s="257"/>
      <c r="G169" s="214"/>
      <c r="H169" s="199"/>
      <c r="I169" s="200"/>
      <c r="J169" s="5"/>
      <c r="K169" s="1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7"/>
      <c r="G170" s="214"/>
      <c r="H170" s="199"/>
      <c r="I170" s="200"/>
      <c r="J170" s="5"/>
      <c r="K170" s="1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3" t="s">
        <v>180</v>
      </c>
      <c r="B171" s="51" t="s">
        <v>256</v>
      </c>
      <c r="C171" s="51" t="s">
        <v>255</v>
      </c>
      <c r="D171" s="253" t="s">
        <v>252</v>
      </c>
      <c r="E171" s="253" t="s">
        <v>320</v>
      </c>
      <c r="F171" s="258"/>
      <c r="G171" s="214"/>
      <c r="H171" s="199"/>
      <c r="I171" s="200"/>
      <c r="J171" s="5"/>
      <c r="K171" s="1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6">
        <v>0</v>
      </c>
      <c r="B172" s="209" t="s">
        <v>132</v>
      </c>
      <c r="C172" s="208" t="s">
        <v>132</v>
      </c>
      <c r="D172" s="207" t="s">
        <v>132</v>
      </c>
      <c r="E172" s="202"/>
      <c r="F172" s="258"/>
      <c r="G172" s="214"/>
      <c r="H172" s="199"/>
      <c r="I172" s="200"/>
      <c r="J172" s="5"/>
      <c r="K172" s="1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6">
        <v>1</v>
      </c>
      <c r="B173" s="209" t="s">
        <v>132</v>
      </c>
      <c r="C173" s="208" t="s">
        <v>132</v>
      </c>
      <c r="D173" s="207" t="s">
        <v>132</v>
      </c>
      <c r="E173" s="202"/>
      <c r="F173" s="258"/>
      <c r="G173" s="217"/>
      <c r="H173" s="199"/>
      <c r="I173" s="200"/>
      <c r="J173" s="5"/>
      <c r="K173" s="1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6">
        <v>2</v>
      </c>
      <c r="B174" s="209" t="s">
        <v>132</v>
      </c>
      <c r="C174" s="208" t="s">
        <v>132</v>
      </c>
      <c r="D174" s="207" t="s">
        <v>132</v>
      </c>
      <c r="E174" s="202"/>
      <c r="F174" s="258"/>
      <c r="G174" s="217"/>
      <c r="H174" s="199"/>
      <c r="I174" s="200"/>
      <c r="J174" s="5"/>
      <c r="K174" s="1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6">
        <v>3</v>
      </c>
      <c r="B175" s="209" t="s">
        <v>132</v>
      </c>
      <c r="C175" s="208" t="s">
        <v>132</v>
      </c>
      <c r="D175" s="207" t="s">
        <v>132</v>
      </c>
      <c r="E175" s="202"/>
      <c r="F175" s="258"/>
      <c r="G175" s="217"/>
      <c r="H175" s="199"/>
      <c r="I175" s="200"/>
      <c r="J175" s="5"/>
      <c r="K175" s="1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6">
        <v>4</v>
      </c>
      <c r="B176" s="209" t="s">
        <v>132</v>
      </c>
      <c r="C176" s="208" t="s">
        <v>132</v>
      </c>
      <c r="D176" s="207" t="s">
        <v>132</v>
      </c>
      <c r="E176" s="202"/>
      <c r="F176" s="258"/>
      <c r="G176" s="217"/>
      <c r="H176" s="199"/>
      <c r="I176" s="200"/>
      <c r="J176" s="5"/>
      <c r="K176" s="1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6">
        <v>5</v>
      </c>
      <c r="B177" s="209" t="s">
        <v>132</v>
      </c>
      <c r="C177" s="208" t="s">
        <v>132</v>
      </c>
      <c r="D177" s="207" t="s">
        <v>132</v>
      </c>
      <c r="E177" s="202"/>
      <c r="F177" s="258"/>
      <c r="G177" s="218"/>
      <c r="H177" s="199"/>
      <c r="I177" s="200"/>
      <c r="J177" s="5"/>
      <c r="K177" s="1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88">
        <f>'Données projet'!A166</f>
        <v>20</v>
      </c>
      <c r="B178" s="189">
        <f>'Données projet'!D166</f>
        <v>0</v>
      </c>
      <c r="C178" s="202"/>
      <c r="D178" s="187">
        <f>B178*C178</f>
        <v>0</v>
      </c>
      <c r="E178" s="202"/>
      <c r="F178" s="259"/>
      <c r="G178" s="218"/>
      <c r="H178" s="199"/>
      <c r="I178" s="200"/>
      <c r="J178" s="5"/>
      <c r="K178" s="1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88">
        <f>'Données projet'!A167</f>
        <v>25</v>
      </c>
      <c r="B179" s="189">
        <f>'Données projet'!D167</f>
        <v>0</v>
      </c>
      <c r="C179" s="202"/>
      <c r="D179" s="187">
        <f t="shared" ref="D179:D197" si="11">B179*C179</f>
        <v>0</v>
      </c>
      <c r="E179" s="202"/>
      <c r="F179" s="259"/>
      <c r="G179" s="218"/>
      <c r="H179" s="199"/>
      <c r="I179" s="200"/>
      <c r="J179" s="5"/>
      <c r="K179" s="1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88">
        <f>'Données projet'!A168</f>
        <v>30</v>
      </c>
      <c r="B180" s="189">
        <f>'Données projet'!D168</f>
        <v>17.307692307692307</v>
      </c>
      <c r="C180" s="200">
        <v>10</v>
      </c>
      <c r="D180" s="187">
        <f t="shared" si="11"/>
        <v>173.07692307692307</v>
      </c>
      <c r="E180" s="202"/>
      <c r="F180" s="259"/>
      <c r="G180" s="218"/>
      <c r="H180" s="199"/>
      <c r="I180" s="200"/>
      <c r="J180" s="5"/>
      <c r="K180" s="1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88">
        <f>'Données projet'!A169</f>
        <v>35</v>
      </c>
      <c r="B181" s="189">
        <f>'Données projet'!D169</f>
        <v>0</v>
      </c>
      <c r="C181" s="200"/>
      <c r="D181" s="187">
        <f t="shared" si="11"/>
        <v>0</v>
      </c>
      <c r="E181" s="202"/>
      <c r="F181" s="259"/>
      <c r="G181" s="218"/>
      <c r="H181" s="199"/>
      <c r="I181" s="200"/>
      <c r="J181" s="5"/>
      <c r="K181" s="1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88">
        <f>'Données projet'!A170</f>
        <v>40</v>
      </c>
      <c r="B182" s="189">
        <f>'Données projet'!D170</f>
        <v>17.307692307692307</v>
      </c>
      <c r="C182" s="200">
        <v>10</v>
      </c>
      <c r="D182" s="187">
        <f t="shared" si="11"/>
        <v>173.07692307692307</v>
      </c>
      <c r="E182" s="202"/>
      <c r="F182" s="259"/>
      <c r="G182" s="218"/>
      <c r="H182" s="199"/>
      <c r="I182" s="200"/>
      <c r="J182" s="5"/>
      <c r="K182" s="1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88">
        <f>'Données projet'!A171</f>
        <v>45</v>
      </c>
      <c r="B183" s="189">
        <f>'Données projet'!D171</f>
        <v>0</v>
      </c>
      <c r="C183" s="200"/>
      <c r="D183" s="187">
        <f t="shared" si="11"/>
        <v>0</v>
      </c>
      <c r="E183" s="202"/>
      <c r="F183" s="259"/>
      <c r="G183" s="218"/>
      <c r="H183" s="199"/>
      <c r="I183" s="200"/>
      <c r="J183" s="5"/>
      <c r="K183" s="1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88">
        <f>'Données projet'!A172</f>
        <v>50</v>
      </c>
      <c r="B184" s="189">
        <f>'Données projet'!D172</f>
        <v>18.589743589743588</v>
      </c>
      <c r="C184" s="200">
        <v>15</v>
      </c>
      <c r="D184" s="187">
        <f t="shared" si="11"/>
        <v>278.84615384615381</v>
      </c>
      <c r="E184" s="202"/>
      <c r="F184" s="259"/>
      <c r="G184" s="219"/>
      <c r="H184" s="199"/>
      <c r="I184" s="200"/>
      <c r="J184" s="5"/>
      <c r="K184" s="1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88">
        <f>'Données projet'!A173</f>
        <v>55</v>
      </c>
      <c r="B185" s="189">
        <f>'Données projet'!D173</f>
        <v>0</v>
      </c>
      <c r="C185" s="200"/>
      <c r="D185" s="187">
        <f t="shared" si="11"/>
        <v>0</v>
      </c>
      <c r="E185" s="202"/>
      <c r="F185" s="259"/>
      <c r="G185" s="219"/>
      <c r="H185" s="199"/>
      <c r="I185" s="200"/>
      <c r="J185" s="5"/>
      <c r="K185" s="1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88">
        <f>'Données projet'!A174</f>
        <v>60</v>
      </c>
      <c r="B186" s="189">
        <f>'Données projet'!D174</f>
        <v>19.23076923076923</v>
      </c>
      <c r="C186" s="200">
        <v>20</v>
      </c>
      <c r="D186" s="187">
        <f t="shared" si="11"/>
        <v>384.61538461538458</v>
      </c>
      <c r="E186" s="202"/>
      <c r="F186" s="259"/>
      <c r="G186" s="219"/>
      <c r="H186" s="199"/>
      <c r="I186" s="200"/>
      <c r="J186" s="5"/>
      <c r="K186" s="1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88">
        <f>'Données projet'!A175</f>
        <v>65</v>
      </c>
      <c r="B187" s="189">
        <f>'Données projet'!D175</f>
        <v>0</v>
      </c>
      <c r="C187" s="202"/>
      <c r="D187" s="187">
        <f t="shared" si="11"/>
        <v>0</v>
      </c>
      <c r="E187" s="202"/>
      <c r="F187" s="259"/>
      <c r="G187" s="219"/>
      <c r="H187" s="199"/>
      <c r="I187" s="200"/>
      <c r="J187" s="5"/>
      <c r="K187" s="1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88">
        <f>'Données projet'!A176</f>
        <v>70</v>
      </c>
      <c r="B188" s="189">
        <f>'Données projet'!D176</f>
        <v>18.589743589743588</v>
      </c>
      <c r="C188" s="202">
        <v>25</v>
      </c>
      <c r="D188" s="187">
        <f t="shared" si="11"/>
        <v>464.74358974358967</v>
      </c>
      <c r="E188" s="202"/>
      <c r="F188" s="259"/>
      <c r="G188" s="219"/>
      <c r="H188" s="199"/>
      <c r="I188" s="200"/>
      <c r="J188" s="5"/>
      <c r="K188" s="1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88">
        <f>'Données projet'!A177</f>
        <v>75</v>
      </c>
      <c r="B189" s="189">
        <f>'Données projet'!D177</f>
        <v>0</v>
      </c>
      <c r="C189" s="202"/>
      <c r="D189" s="187">
        <f t="shared" si="11"/>
        <v>0</v>
      </c>
      <c r="E189" s="202"/>
      <c r="F189" s="259"/>
      <c r="G189" s="219"/>
      <c r="H189" s="199"/>
      <c r="I189" s="200"/>
      <c r="J189" s="5"/>
      <c r="K189" s="1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88">
        <f>'Données projet'!A178</f>
        <v>80</v>
      </c>
      <c r="B190" s="189">
        <f>'Données projet'!D178</f>
        <v>17.948717948717949</v>
      </c>
      <c r="C190" s="202">
        <v>30</v>
      </c>
      <c r="D190" s="187">
        <f t="shared" si="11"/>
        <v>538.46153846153845</v>
      </c>
      <c r="E190" s="202"/>
      <c r="F190" s="259"/>
      <c r="G190" s="219"/>
      <c r="H190" s="199"/>
      <c r="I190" s="200"/>
      <c r="J190" s="5"/>
      <c r="K190" s="1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88">
        <f>'Données projet'!A179</f>
        <v>85</v>
      </c>
      <c r="B191" s="189">
        <f>'Données projet'!D179</f>
        <v>0</v>
      </c>
      <c r="C191" s="202"/>
      <c r="D191" s="187">
        <f t="shared" si="11"/>
        <v>0</v>
      </c>
      <c r="E191" s="202"/>
      <c r="F191" s="259"/>
      <c r="G191" s="219"/>
      <c r="H191" s="199"/>
      <c r="I191" s="200"/>
      <c r="J191" s="5"/>
      <c r="K191" s="1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88">
        <f>'Données projet'!A180</f>
        <v>90</v>
      </c>
      <c r="B192" s="189">
        <f>'Données projet'!D180</f>
        <v>16.666666666666668</v>
      </c>
      <c r="C192" s="202">
        <v>35</v>
      </c>
      <c r="D192" s="187">
        <f t="shared" si="11"/>
        <v>583.33333333333337</v>
      </c>
      <c r="E192" s="202"/>
      <c r="F192" s="259"/>
      <c r="G192" s="219"/>
      <c r="H192" s="199"/>
      <c r="I192" s="200"/>
      <c r="J192" s="5"/>
      <c r="K192" s="1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88">
        <f>'Données projet'!A181</f>
        <v>95</v>
      </c>
      <c r="B193" s="189">
        <f>'Données projet'!D181</f>
        <v>0</v>
      </c>
      <c r="C193" s="202"/>
      <c r="D193" s="187">
        <f t="shared" si="11"/>
        <v>0</v>
      </c>
      <c r="E193" s="202"/>
      <c r="F193" s="259"/>
      <c r="G193" s="219"/>
      <c r="H193" s="199"/>
      <c r="I193" s="200"/>
      <c r="J193" s="5"/>
      <c r="K193" s="1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88">
        <f>'Données projet'!A182</f>
        <v>100</v>
      </c>
      <c r="B194" s="189">
        <f>'Données projet'!D182</f>
        <v>16.025641025641026</v>
      </c>
      <c r="C194" s="202">
        <v>40</v>
      </c>
      <c r="D194" s="187">
        <f t="shared" si="11"/>
        <v>641.02564102564099</v>
      </c>
      <c r="E194" s="202"/>
      <c r="F194" s="259"/>
      <c r="G194" s="219"/>
      <c r="H194" s="199"/>
      <c r="I194" s="200"/>
      <c r="J194" s="5"/>
      <c r="K194" s="1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88">
        <f>'Données projet'!A183</f>
        <v>110</v>
      </c>
      <c r="B195" s="189">
        <f>'Données projet'!D183</f>
        <v>14.102564102564102</v>
      </c>
      <c r="C195" s="202">
        <v>50</v>
      </c>
      <c r="D195" s="187">
        <f t="shared" si="11"/>
        <v>705.12820512820508</v>
      </c>
      <c r="E195" s="202"/>
      <c r="F195" s="259"/>
      <c r="G195" s="219"/>
      <c r="H195" s="199"/>
      <c r="I195" s="200"/>
      <c r="J195" s="5"/>
      <c r="K195" s="1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88">
        <f>'Données projet'!A184</f>
        <v>120</v>
      </c>
      <c r="B196" s="189">
        <f>'Données projet'!D184</f>
        <v>13.461538461538462</v>
      </c>
      <c r="C196" s="202">
        <v>60</v>
      </c>
      <c r="D196" s="187">
        <f t="shared" si="11"/>
        <v>807.69230769230774</v>
      </c>
      <c r="E196" s="202"/>
      <c r="F196" s="259"/>
      <c r="G196" s="219"/>
      <c r="H196" s="199"/>
      <c r="I196" s="200"/>
      <c r="J196" s="5"/>
      <c r="K196" s="1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88">
        <f>'Données projet'!A185</f>
        <v>130</v>
      </c>
      <c r="B197" s="189">
        <f>'Données projet'!D185</f>
        <v>258.97435897435895</v>
      </c>
      <c r="C197" s="202">
        <v>80</v>
      </c>
      <c r="D197" s="187">
        <f t="shared" si="11"/>
        <v>20717.948717948715</v>
      </c>
      <c r="E197" s="202"/>
      <c r="F197" s="259"/>
      <c r="G197" s="219"/>
      <c r="H197" s="199"/>
      <c r="I197" s="200"/>
      <c r="J197" s="5"/>
      <c r="K197" s="1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7"/>
      <c r="G198" s="219"/>
      <c r="H198" s="199"/>
      <c r="I198" s="200"/>
      <c r="J198" s="5"/>
      <c r="K198" s="1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7"/>
      <c r="G199" s="219"/>
      <c r="H199" s="199"/>
      <c r="I199" s="200"/>
      <c r="J199" s="5"/>
      <c r="K199" s="1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2" t="str">
        <f>IF('Données projet'!$B$15="","",'Données projet'!$B$15)</f>
        <v>Alisier torminal</v>
      </c>
      <c r="C200" s="5"/>
      <c r="D200" s="5"/>
      <c r="E200" s="5"/>
      <c r="F200" s="257"/>
      <c r="G200" s="219"/>
      <c r="H200" s="199"/>
      <c r="I200" s="200"/>
      <c r="J200" s="5"/>
      <c r="K200" s="1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7"/>
      <c r="G201" s="219"/>
      <c r="H201" s="199"/>
      <c r="I201" s="200"/>
      <c r="J201" s="5"/>
      <c r="K201" s="1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3" t="s">
        <v>180</v>
      </c>
      <c r="B202" s="51" t="s">
        <v>256</v>
      </c>
      <c r="C202" s="51" t="s">
        <v>255</v>
      </c>
      <c r="D202" s="253" t="s">
        <v>252</v>
      </c>
      <c r="E202" s="253" t="s">
        <v>320</v>
      </c>
      <c r="F202" s="258"/>
      <c r="G202" s="219"/>
      <c r="H202" s="199"/>
      <c r="I202" s="200"/>
      <c r="J202" s="5"/>
      <c r="K202" s="1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6">
        <v>0</v>
      </c>
      <c r="B203" s="209" t="s">
        <v>132</v>
      </c>
      <c r="C203" s="208" t="s">
        <v>132</v>
      </c>
      <c r="D203" s="207" t="s">
        <v>132</v>
      </c>
      <c r="E203" s="202"/>
      <c r="F203" s="258"/>
      <c r="G203" s="219"/>
      <c r="H203" s="199"/>
      <c r="I203" s="200"/>
      <c r="J203" s="5"/>
      <c r="K203" s="1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6">
        <v>1</v>
      </c>
      <c r="B204" s="209" t="s">
        <v>132</v>
      </c>
      <c r="C204" s="208" t="s">
        <v>132</v>
      </c>
      <c r="D204" s="207" t="s">
        <v>132</v>
      </c>
      <c r="E204" s="202"/>
      <c r="F204" s="258"/>
      <c r="G204" s="217"/>
      <c r="H204" s="199"/>
      <c r="I204" s="200"/>
      <c r="J204" s="5"/>
      <c r="K204" s="1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6">
        <v>2</v>
      </c>
      <c r="B205" s="209" t="s">
        <v>132</v>
      </c>
      <c r="C205" s="208" t="s">
        <v>132</v>
      </c>
      <c r="D205" s="207" t="s">
        <v>132</v>
      </c>
      <c r="E205" s="202"/>
      <c r="F205" s="258"/>
      <c r="G205" s="217"/>
      <c r="H205" s="199"/>
      <c r="I205" s="200"/>
      <c r="J205" s="5"/>
      <c r="K205" s="1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6">
        <v>3</v>
      </c>
      <c r="B206" s="209" t="s">
        <v>132</v>
      </c>
      <c r="C206" s="208" t="s">
        <v>132</v>
      </c>
      <c r="D206" s="207" t="s">
        <v>132</v>
      </c>
      <c r="E206" s="202"/>
      <c r="F206" s="258"/>
      <c r="G206" s="217"/>
      <c r="H206" s="199"/>
      <c r="I206" s="200"/>
      <c r="J206" s="5"/>
      <c r="K206" s="1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6">
        <v>4</v>
      </c>
      <c r="B207" s="209" t="s">
        <v>132</v>
      </c>
      <c r="C207" s="208" t="s">
        <v>132</v>
      </c>
      <c r="D207" s="207" t="s">
        <v>132</v>
      </c>
      <c r="E207" s="202"/>
      <c r="F207" s="258"/>
      <c r="G207" s="217"/>
      <c r="H207" s="199"/>
      <c r="I207" s="200"/>
      <c r="J207" s="5"/>
      <c r="K207" s="1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6">
        <v>5</v>
      </c>
      <c r="B208" s="209" t="s">
        <v>132</v>
      </c>
      <c r="C208" s="208" t="s">
        <v>132</v>
      </c>
      <c r="D208" s="207" t="s">
        <v>132</v>
      </c>
      <c r="E208" s="202"/>
      <c r="F208" s="258"/>
      <c r="G208" s="218"/>
      <c r="H208" s="199"/>
      <c r="I208" s="200"/>
      <c r="J208" s="5"/>
      <c r="K208" s="1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88">
        <f>'Données projet'!A192</f>
        <v>20</v>
      </c>
      <c r="B209" s="189">
        <f>'Données projet'!D192</f>
        <v>0</v>
      </c>
      <c r="C209" s="202"/>
      <c r="D209" s="187">
        <f>B209*C209</f>
        <v>0</v>
      </c>
      <c r="E209" s="202"/>
      <c r="F209" s="259"/>
      <c r="G209" s="218"/>
      <c r="H209" s="199"/>
      <c r="I209" s="200"/>
      <c r="J209" s="5"/>
      <c r="K209" s="1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88">
        <f>'Données projet'!A193</f>
        <v>25</v>
      </c>
      <c r="B210" s="189">
        <f>'Données projet'!D193</f>
        <v>0</v>
      </c>
      <c r="C210" s="202"/>
      <c r="D210" s="187">
        <f t="shared" ref="D210:D228" si="12">B210*C210</f>
        <v>0</v>
      </c>
      <c r="E210" s="202"/>
      <c r="F210" s="259"/>
      <c r="G210" s="218"/>
      <c r="H210" s="199"/>
      <c r="I210" s="200"/>
      <c r="J210" s="5"/>
      <c r="K210" s="1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88">
        <f>'Données projet'!A194</f>
        <v>30</v>
      </c>
      <c r="B211" s="189">
        <f>'Données projet'!D194</f>
        <v>29</v>
      </c>
      <c r="C211" s="200">
        <v>10</v>
      </c>
      <c r="D211" s="187">
        <f t="shared" si="12"/>
        <v>290</v>
      </c>
      <c r="E211" s="202"/>
      <c r="F211" s="259"/>
      <c r="G211" s="218"/>
      <c r="H211" s="199"/>
      <c r="I211" s="200"/>
      <c r="J211" s="5"/>
      <c r="K211" s="1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88">
        <f>'Données projet'!A195</f>
        <v>35</v>
      </c>
      <c r="B212" s="189">
        <f>'Données projet'!D195</f>
        <v>0</v>
      </c>
      <c r="C212" s="200"/>
      <c r="D212" s="187">
        <f t="shared" si="12"/>
        <v>0</v>
      </c>
      <c r="E212" s="202"/>
      <c r="F212" s="259"/>
      <c r="G212" s="218"/>
      <c r="H212" s="199"/>
      <c r="I212" s="200"/>
      <c r="J212" s="5"/>
      <c r="K212" s="1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88">
        <f>'Données projet'!A196</f>
        <v>40</v>
      </c>
      <c r="B213" s="189">
        <f>'Données projet'!D196</f>
        <v>42</v>
      </c>
      <c r="C213" s="200">
        <v>15</v>
      </c>
      <c r="D213" s="187">
        <f t="shared" si="12"/>
        <v>630</v>
      </c>
      <c r="E213" s="202"/>
      <c r="F213" s="259"/>
      <c r="G213" s="218"/>
      <c r="H213" s="199"/>
      <c r="I213" s="200"/>
      <c r="J213" s="5"/>
      <c r="K213" s="1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88">
        <f>'Données projet'!A197</f>
        <v>45</v>
      </c>
      <c r="B214" s="189">
        <f>'Données projet'!D197</f>
        <v>0</v>
      </c>
      <c r="C214" s="200"/>
      <c r="D214" s="187">
        <f t="shared" si="12"/>
        <v>0</v>
      </c>
      <c r="E214" s="202"/>
      <c r="F214" s="259"/>
      <c r="G214" s="218"/>
      <c r="H214" s="199"/>
      <c r="I214" s="200"/>
      <c r="J214" s="5"/>
      <c r="K214" s="1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88">
        <f>'Données projet'!A198</f>
        <v>50</v>
      </c>
      <c r="B215" s="189">
        <f>'Données projet'!D198</f>
        <v>42</v>
      </c>
      <c r="C215" s="200">
        <v>20</v>
      </c>
      <c r="D215" s="187">
        <f t="shared" si="12"/>
        <v>840</v>
      </c>
      <c r="E215" s="202"/>
      <c r="F215" s="259"/>
      <c r="G215" s="219"/>
      <c r="H215" s="199"/>
      <c r="I215" s="200"/>
      <c r="J215" s="5"/>
      <c r="K215" s="1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88">
        <f>'Données projet'!A199</f>
        <v>55</v>
      </c>
      <c r="B216" s="189">
        <f>'Données projet'!D199</f>
        <v>0</v>
      </c>
      <c r="C216" s="200"/>
      <c r="D216" s="187">
        <f t="shared" si="12"/>
        <v>0</v>
      </c>
      <c r="E216" s="202"/>
      <c r="F216" s="259"/>
      <c r="G216" s="219"/>
      <c r="H216" s="199"/>
      <c r="I216" s="200"/>
      <c r="J216" s="5"/>
      <c r="K216" s="1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88">
        <f>'Données projet'!A200</f>
        <v>60</v>
      </c>
      <c r="B217" s="189">
        <f>'Données projet'!D200</f>
        <v>42</v>
      </c>
      <c r="C217" s="200">
        <v>25</v>
      </c>
      <c r="D217" s="187">
        <f t="shared" si="12"/>
        <v>1050</v>
      </c>
      <c r="E217" s="202"/>
      <c r="F217" s="259"/>
      <c r="G217" s="219"/>
      <c r="H217" s="199"/>
      <c r="I217" s="200"/>
      <c r="J217" s="5"/>
      <c r="K217" s="1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88">
        <f>'Données projet'!A201</f>
        <v>65</v>
      </c>
      <c r="B218" s="189">
        <f>'Données projet'!D201</f>
        <v>0</v>
      </c>
      <c r="C218" s="200"/>
      <c r="D218" s="187">
        <f t="shared" si="12"/>
        <v>0</v>
      </c>
      <c r="E218" s="202"/>
      <c r="F218" s="259"/>
      <c r="G218" s="219"/>
      <c r="H218" s="199"/>
      <c r="I218" s="200"/>
      <c r="J218" s="5"/>
      <c r="K218" s="1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88">
        <f>'Données projet'!A202</f>
        <v>70</v>
      </c>
      <c r="B219" s="189">
        <f>'Données projet'!D202</f>
        <v>42</v>
      </c>
      <c r="C219" s="200">
        <v>30</v>
      </c>
      <c r="D219" s="187">
        <f t="shared" si="12"/>
        <v>1260</v>
      </c>
      <c r="E219" s="202"/>
      <c r="F219" s="259"/>
      <c r="G219" s="219"/>
      <c r="H219" s="199"/>
      <c r="I219" s="200"/>
      <c r="J219" s="5"/>
      <c r="K219" s="1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88">
        <f>'Données projet'!A203</f>
        <v>75</v>
      </c>
      <c r="B220" s="189">
        <f>'Données projet'!D203</f>
        <v>0</v>
      </c>
      <c r="C220" s="200"/>
      <c r="D220" s="187">
        <f t="shared" si="12"/>
        <v>0</v>
      </c>
      <c r="E220" s="202"/>
      <c r="F220" s="259"/>
      <c r="G220" s="219"/>
      <c r="H220" s="5"/>
      <c r="I220" s="5"/>
      <c r="J220" s="5"/>
      <c r="K220" s="1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88">
        <f>'Données projet'!A204</f>
        <v>80</v>
      </c>
      <c r="B221" s="189">
        <f>'Données projet'!D204</f>
        <v>42</v>
      </c>
      <c r="C221" s="200">
        <v>35</v>
      </c>
      <c r="D221" s="187">
        <f t="shared" si="12"/>
        <v>1470</v>
      </c>
      <c r="E221" s="202"/>
      <c r="F221" s="259"/>
      <c r="G221" s="219"/>
      <c r="H221" s="5"/>
      <c r="I221" s="5"/>
      <c r="J221" s="5"/>
      <c r="K221" s="1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88">
        <f>'Données projet'!A205</f>
        <v>90</v>
      </c>
      <c r="B222" s="189">
        <f>'Données projet'!D205</f>
        <v>42</v>
      </c>
      <c r="C222" s="202">
        <v>40</v>
      </c>
      <c r="D222" s="187">
        <f t="shared" si="12"/>
        <v>1680</v>
      </c>
      <c r="E222" s="202"/>
      <c r="F222" s="259"/>
      <c r="G222" s="219"/>
      <c r="H222" s="5"/>
      <c r="I222" s="5"/>
      <c r="J222" s="5"/>
      <c r="K222" s="1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88">
        <f>'Données projet'!A206</f>
        <v>100</v>
      </c>
      <c r="B223" s="189">
        <f>'Données projet'!D206</f>
        <v>42</v>
      </c>
      <c r="C223" s="202">
        <v>45</v>
      </c>
      <c r="D223" s="187">
        <f t="shared" si="12"/>
        <v>1890</v>
      </c>
      <c r="E223" s="202"/>
      <c r="F223" s="259"/>
      <c r="G223" s="219"/>
      <c r="H223" s="5"/>
      <c r="I223" s="5"/>
      <c r="J223" s="5"/>
      <c r="K223" s="1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88">
        <f>'Données projet'!A207</f>
        <v>110</v>
      </c>
      <c r="B224" s="189">
        <f>'Données projet'!D207</f>
        <v>39</v>
      </c>
      <c r="C224" s="202">
        <v>50</v>
      </c>
      <c r="D224" s="187">
        <f t="shared" si="12"/>
        <v>1950</v>
      </c>
      <c r="E224" s="202"/>
      <c r="F224" s="259"/>
      <c r="G224" s="219"/>
      <c r="H224" s="5"/>
      <c r="I224" s="5"/>
      <c r="J224" s="5"/>
      <c r="K224" s="1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88">
        <f>'Données projet'!A208</f>
        <v>120</v>
      </c>
      <c r="B225" s="189">
        <f>'Données projet'!D208</f>
        <v>35</v>
      </c>
      <c r="C225" s="202">
        <v>60</v>
      </c>
      <c r="D225" s="187">
        <f t="shared" si="12"/>
        <v>2100</v>
      </c>
      <c r="E225" s="202"/>
      <c r="F225" s="259"/>
      <c r="G225" s="219"/>
      <c r="H225" s="5"/>
      <c r="I225" s="5"/>
      <c r="J225" s="5"/>
      <c r="K225" s="1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88">
        <f>'Données projet'!A209</f>
        <v>130</v>
      </c>
      <c r="B226" s="189">
        <f>'Données projet'!D209</f>
        <v>31</v>
      </c>
      <c r="C226" s="202">
        <v>70</v>
      </c>
      <c r="D226" s="187">
        <f t="shared" si="12"/>
        <v>2170</v>
      </c>
      <c r="E226" s="202"/>
      <c r="F226" s="259"/>
      <c r="G226" s="219"/>
      <c r="H226" s="5"/>
      <c r="I226" s="5"/>
      <c r="J226" s="5"/>
      <c r="K226" s="1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88">
        <f>'Données projet'!A210</f>
        <v>140</v>
      </c>
      <c r="B227" s="189">
        <f>'Données projet'!D210</f>
        <v>27</v>
      </c>
      <c r="C227" s="202">
        <v>80</v>
      </c>
      <c r="D227" s="187">
        <f t="shared" si="12"/>
        <v>2160</v>
      </c>
      <c r="E227" s="202"/>
      <c r="F227" s="259"/>
      <c r="G227" s="219"/>
      <c r="H227" s="5"/>
      <c r="I227" s="5"/>
      <c r="J227" s="5"/>
      <c r="K227" s="1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88">
        <f>'Données projet'!A211</f>
        <v>150</v>
      </c>
      <c r="B228" s="189">
        <f>'Données projet'!D211</f>
        <v>293</v>
      </c>
      <c r="C228" s="202">
        <v>200</v>
      </c>
      <c r="D228" s="187">
        <f t="shared" si="12"/>
        <v>58600</v>
      </c>
      <c r="E228" s="202"/>
      <c r="F228" s="259"/>
      <c r="G228" s="219"/>
      <c r="H228" s="5"/>
      <c r="I228" s="5"/>
      <c r="J228" s="5"/>
      <c r="K228" s="1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7"/>
      <c r="G229" s="219"/>
      <c r="H229" s="5"/>
      <c r="I229" s="5"/>
      <c r="J229" s="5"/>
      <c r="K229" s="1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7"/>
      <c r="G230" s="219"/>
      <c r="H230" s="5"/>
      <c r="I230" s="5"/>
      <c r="J230" s="5"/>
      <c r="K230" s="1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2" t="str">
        <f>IF('Données projet'!$B$16="","",'Données projet'!$B$16)</f>
        <v>Noyer</v>
      </c>
      <c r="C231" s="5"/>
      <c r="D231" s="5"/>
      <c r="E231" s="5"/>
      <c r="F231" s="257"/>
      <c r="G231" s="219"/>
      <c r="H231" s="5"/>
      <c r="I231" s="5"/>
      <c r="J231" s="5"/>
      <c r="K231" s="1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7"/>
      <c r="G232" s="219"/>
      <c r="H232" s="5"/>
      <c r="I232" s="5"/>
      <c r="J232" s="5"/>
      <c r="K232" s="1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3" t="s">
        <v>180</v>
      </c>
      <c r="B233" s="51" t="s">
        <v>256</v>
      </c>
      <c r="C233" s="51" t="s">
        <v>255</v>
      </c>
      <c r="D233" s="253" t="s">
        <v>252</v>
      </c>
      <c r="E233" s="253" t="s">
        <v>320</v>
      </c>
      <c r="F233" s="258"/>
      <c r="G233" s="219"/>
      <c r="H233" s="5"/>
      <c r="I233" s="5"/>
      <c r="J233" s="5"/>
      <c r="K233" s="1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6">
        <v>0</v>
      </c>
      <c r="B234" s="209" t="s">
        <v>132</v>
      </c>
      <c r="C234" s="208" t="s">
        <v>132</v>
      </c>
      <c r="D234" s="207" t="s">
        <v>132</v>
      </c>
      <c r="E234" s="202"/>
      <c r="F234" s="258"/>
      <c r="G234" s="219"/>
      <c r="H234" s="5"/>
      <c r="I234" s="5"/>
      <c r="J234" s="5"/>
      <c r="K234" s="1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6">
        <v>1</v>
      </c>
      <c r="B235" s="209" t="s">
        <v>132</v>
      </c>
      <c r="C235" s="208" t="s">
        <v>132</v>
      </c>
      <c r="D235" s="207" t="s">
        <v>132</v>
      </c>
      <c r="E235" s="202"/>
      <c r="F235" s="258"/>
      <c r="G235" s="217"/>
      <c r="H235" s="5"/>
      <c r="I235" s="5"/>
      <c r="J235" s="5"/>
      <c r="K235" s="1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6">
        <v>2</v>
      </c>
      <c r="B236" s="209" t="s">
        <v>132</v>
      </c>
      <c r="C236" s="208" t="s">
        <v>132</v>
      </c>
      <c r="D236" s="207" t="s">
        <v>132</v>
      </c>
      <c r="E236" s="202"/>
      <c r="F236" s="258"/>
      <c r="G236" s="217"/>
      <c r="H236" s="5"/>
      <c r="I236" s="5"/>
      <c r="J236" s="5"/>
      <c r="K236" s="1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6">
        <v>3</v>
      </c>
      <c r="B237" s="209" t="s">
        <v>132</v>
      </c>
      <c r="C237" s="208" t="s">
        <v>132</v>
      </c>
      <c r="D237" s="207" t="s">
        <v>132</v>
      </c>
      <c r="E237" s="202"/>
      <c r="F237" s="258"/>
      <c r="G237" s="217"/>
      <c r="H237" s="5"/>
      <c r="I237" s="5"/>
      <c r="J237" s="5"/>
      <c r="K237" s="1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6">
        <v>4</v>
      </c>
      <c r="B238" s="209" t="s">
        <v>132</v>
      </c>
      <c r="C238" s="208" t="s">
        <v>132</v>
      </c>
      <c r="D238" s="207" t="s">
        <v>132</v>
      </c>
      <c r="E238" s="202"/>
      <c r="F238" s="258"/>
      <c r="G238" s="217"/>
      <c r="H238" s="5"/>
      <c r="I238" s="5"/>
      <c r="J238" s="5"/>
      <c r="K238" s="1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6">
        <v>5</v>
      </c>
      <c r="B239" s="209" t="s">
        <v>132</v>
      </c>
      <c r="C239" s="208" t="s">
        <v>132</v>
      </c>
      <c r="D239" s="207" t="s">
        <v>132</v>
      </c>
      <c r="E239" s="202"/>
      <c r="F239" s="258"/>
      <c r="G239" s="218"/>
      <c r="H239" s="5"/>
      <c r="I239" s="5"/>
      <c r="J239" s="5"/>
      <c r="K239" s="1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88">
        <f>'Données projet'!A218</f>
        <v>15</v>
      </c>
      <c r="B240" s="189">
        <f>'Données projet'!D218</f>
        <v>0</v>
      </c>
      <c r="C240" s="202"/>
      <c r="D240" s="187">
        <f>B240*C240</f>
        <v>0</v>
      </c>
      <c r="E240" s="202"/>
      <c r="F240" s="259"/>
      <c r="G240" s="218"/>
      <c r="H240" s="5"/>
      <c r="I240" s="5"/>
      <c r="J240" s="5"/>
      <c r="K240" s="1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88">
        <f>'Données projet'!A219</f>
        <v>20</v>
      </c>
      <c r="B241" s="189">
        <f>'Données projet'!D219</f>
        <v>43.1</v>
      </c>
      <c r="C241" s="202">
        <v>10</v>
      </c>
      <c r="D241" s="187">
        <f t="shared" ref="D241:D259" si="13">B241*C241</f>
        <v>431</v>
      </c>
      <c r="E241" s="202"/>
      <c r="F241" s="259"/>
      <c r="G241" s="218"/>
      <c r="H241" s="5"/>
      <c r="I241" s="5"/>
      <c r="J241" s="5"/>
      <c r="K241" s="1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88">
        <f>'Données projet'!A220</f>
        <v>25</v>
      </c>
      <c r="B242" s="189">
        <f>'Données projet'!D220</f>
        <v>0</v>
      </c>
      <c r="C242" s="202"/>
      <c r="D242" s="187">
        <f t="shared" si="13"/>
        <v>0</v>
      </c>
      <c r="E242" s="202"/>
      <c r="F242" s="259"/>
      <c r="G242" s="218"/>
      <c r="H242" s="5"/>
      <c r="I242" s="5"/>
      <c r="J242" s="5"/>
      <c r="K242" s="1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88">
        <f>'Données projet'!A221</f>
        <v>30</v>
      </c>
      <c r="B243" s="189">
        <f>'Données projet'!D221</f>
        <v>56</v>
      </c>
      <c r="C243" s="202">
        <v>15</v>
      </c>
      <c r="D243" s="187">
        <f t="shared" si="13"/>
        <v>840</v>
      </c>
      <c r="E243" s="202"/>
      <c r="F243" s="259"/>
      <c r="G243" s="218"/>
      <c r="H243" s="5"/>
      <c r="I243" s="5"/>
      <c r="J243" s="5"/>
      <c r="K243" s="1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88">
        <f>'Données projet'!A222</f>
        <v>35</v>
      </c>
      <c r="B244" s="189">
        <f>'Données projet'!D222</f>
        <v>0</v>
      </c>
      <c r="C244" s="202"/>
      <c r="D244" s="187">
        <f t="shared" si="13"/>
        <v>0</v>
      </c>
      <c r="E244" s="202"/>
      <c r="F244" s="259"/>
      <c r="G244" s="218"/>
      <c r="H244" s="5"/>
      <c r="I244" s="5"/>
      <c r="J244" s="5"/>
      <c r="K244" s="1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88">
        <f>'Données projet'!A223</f>
        <v>40</v>
      </c>
      <c r="B245" s="189">
        <f>'Données projet'!D223</f>
        <v>56</v>
      </c>
      <c r="C245" s="202">
        <v>20</v>
      </c>
      <c r="D245" s="187">
        <f t="shared" si="13"/>
        <v>1120</v>
      </c>
      <c r="E245" s="202"/>
      <c r="F245" s="259"/>
      <c r="G245" s="218"/>
      <c r="H245" s="5"/>
      <c r="I245" s="5"/>
      <c r="J245" s="5"/>
      <c r="K245" s="1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88">
        <f>'Données projet'!A224</f>
        <v>45</v>
      </c>
      <c r="B246" s="189">
        <f>'Données projet'!D224</f>
        <v>0</v>
      </c>
      <c r="C246" s="202"/>
      <c r="D246" s="187">
        <f t="shared" si="13"/>
        <v>0</v>
      </c>
      <c r="E246" s="202"/>
      <c r="F246" s="259"/>
      <c r="G246" s="219"/>
      <c r="H246" s="5"/>
      <c r="I246" s="5"/>
      <c r="J246" s="5"/>
      <c r="K246" s="1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88">
        <f>'Données projet'!A225</f>
        <v>50</v>
      </c>
      <c r="B247" s="189">
        <f>'Données projet'!D225</f>
        <v>38.299999999999997</v>
      </c>
      <c r="C247" s="202">
        <v>30</v>
      </c>
      <c r="D247" s="187">
        <f t="shared" si="13"/>
        <v>1149</v>
      </c>
      <c r="E247" s="202"/>
      <c r="F247" s="259"/>
      <c r="G247" s="219"/>
      <c r="H247" s="5"/>
      <c r="I247" s="5"/>
      <c r="J247" s="5"/>
      <c r="K247" s="1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88">
        <f>'Données projet'!A226</f>
        <v>55</v>
      </c>
      <c r="B248" s="189">
        <f>'Données projet'!D226</f>
        <v>0</v>
      </c>
      <c r="C248" s="202"/>
      <c r="D248" s="187">
        <f t="shared" si="13"/>
        <v>0</v>
      </c>
      <c r="E248" s="202"/>
      <c r="F248" s="259"/>
      <c r="G248" s="219"/>
      <c r="H248" s="5"/>
      <c r="I248" s="5"/>
      <c r="J248" s="5"/>
      <c r="K248" s="1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88">
        <f>'Données projet'!A227</f>
        <v>60</v>
      </c>
      <c r="B249" s="189">
        <f>'Données projet'!D227</f>
        <v>25.200000000000003</v>
      </c>
      <c r="C249" s="202">
        <v>40</v>
      </c>
      <c r="D249" s="187">
        <f t="shared" si="13"/>
        <v>1008.0000000000001</v>
      </c>
      <c r="E249" s="202"/>
      <c r="F249" s="259"/>
      <c r="G249" s="219"/>
      <c r="H249" s="5"/>
      <c r="I249" s="5"/>
      <c r="J249" s="5"/>
      <c r="K249" s="1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88">
        <f>'Données projet'!A228</f>
        <v>65</v>
      </c>
      <c r="B250" s="189">
        <f>'Données projet'!D228</f>
        <v>0</v>
      </c>
      <c r="C250" s="202"/>
      <c r="D250" s="187">
        <f t="shared" si="13"/>
        <v>0</v>
      </c>
      <c r="E250" s="202"/>
      <c r="F250" s="259"/>
      <c r="G250" s="219"/>
      <c r="H250" s="5"/>
      <c r="I250" s="5"/>
      <c r="J250" s="5"/>
      <c r="K250" s="1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88">
        <f>'Données projet'!A229</f>
        <v>70</v>
      </c>
      <c r="B251" s="189">
        <f>'Données projet'!D229</f>
        <v>20.9</v>
      </c>
      <c r="C251" s="202">
        <v>50</v>
      </c>
      <c r="D251" s="187">
        <f t="shared" si="13"/>
        <v>1045</v>
      </c>
      <c r="E251" s="202"/>
      <c r="F251" s="259"/>
      <c r="G251" s="219"/>
      <c r="H251" s="5"/>
      <c r="I251" s="5"/>
      <c r="J251" s="5"/>
      <c r="K251" s="1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88">
        <f>'Données projet'!A230</f>
        <v>75</v>
      </c>
      <c r="B252" s="189">
        <f>'Données projet'!D230</f>
        <v>0</v>
      </c>
      <c r="C252" s="202"/>
      <c r="D252" s="187">
        <f t="shared" si="13"/>
        <v>0</v>
      </c>
      <c r="E252" s="202"/>
      <c r="F252" s="259"/>
      <c r="G252" s="219"/>
      <c r="H252" s="5"/>
      <c r="I252" s="5"/>
      <c r="J252" s="5"/>
      <c r="K252" s="1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88">
        <f>'Données projet'!A231</f>
        <v>80</v>
      </c>
      <c r="B253" s="189">
        <f>'Données projet'!D231</f>
        <v>284.60000000000002</v>
      </c>
      <c r="C253" s="202">
        <v>80</v>
      </c>
      <c r="D253" s="187">
        <f t="shared" si="13"/>
        <v>22768</v>
      </c>
      <c r="E253" s="202"/>
      <c r="F253" s="259"/>
      <c r="G253" s="219"/>
      <c r="H253" s="5"/>
      <c r="I253" s="5"/>
      <c r="J253" s="5"/>
      <c r="K253" s="1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88">
        <f>'Données projet'!A232</f>
        <v>0</v>
      </c>
      <c r="B254" s="189">
        <f>'Données projet'!D232</f>
        <v>0</v>
      </c>
      <c r="C254" s="202"/>
      <c r="D254" s="187">
        <f t="shared" si="13"/>
        <v>0</v>
      </c>
      <c r="E254" s="202"/>
      <c r="F254" s="259"/>
      <c r="G254" s="219"/>
      <c r="H254" s="5"/>
      <c r="I254" s="5"/>
      <c r="J254" s="5"/>
      <c r="K254" s="1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88">
        <f>'Données projet'!A233</f>
        <v>0</v>
      </c>
      <c r="B255" s="189">
        <f>'Données projet'!D233</f>
        <v>0</v>
      </c>
      <c r="C255" s="202"/>
      <c r="D255" s="187">
        <f t="shared" si="13"/>
        <v>0</v>
      </c>
      <c r="E255" s="202"/>
      <c r="F255" s="259"/>
      <c r="G255" s="219"/>
      <c r="H255" s="5"/>
      <c r="I255" s="5"/>
      <c r="J255" s="5"/>
      <c r="K255" s="1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88">
        <f>'Données projet'!A234</f>
        <v>0</v>
      </c>
      <c r="B256" s="189">
        <f>'Données projet'!D234</f>
        <v>0</v>
      </c>
      <c r="C256" s="202"/>
      <c r="D256" s="187">
        <f t="shared" si="13"/>
        <v>0</v>
      </c>
      <c r="E256" s="202"/>
      <c r="F256" s="259"/>
      <c r="G256" s="219"/>
      <c r="H256" s="5"/>
      <c r="I256" s="5"/>
      <c r="J256" s="5"/>
      <c r="K256" s="1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88">
        <f>'Données projet'!A235</f>
        <v>0</v>
      </c>
      <c r="B257" s="189">
        <f>'Données projet'!D235</f>
        <v>0</v>
      </c>
      <c r="C257" s="202"/>
      <c r="D257" s="187">
        <f t="shared" si="13"/>
        <v>0</v>
      </c>
      <c r="E257" s="202"/>
      <c r="F257" s="259"/>
      <c r="G257" s="219"/>
      <c r="H257" s="5"/>
      <c r="I257" s="5"/>
      <c r="J257" s="5"/>
      <c r="K257" s="1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88">
        <f>'Données projet'!A236</f>
        <v>0</v>
      </c>
      <c r="B258" s="189">
        <f>'Données projet'!D236</f>
        <v>0</v>
      </c>
      <c r="C258" s="202"/>
      <c r="D258" s="187">
        <f t="shared" si="13"/>
        <v>0</v>
      </c>
      <c r="E258" s="202"/>
      <c r="F258" s="259"/>
      <c r="G258" s="219"/>
      <c r="H258" s="5"/>
      <c r="I258" s="5"/>
      <c r="J258" s="5"/>
      <c r="K258" s="1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88">
        <f>'Données projet'!A237</f>
        <v>0</v>
      </c>
      <c r="B259" s="189">
        <f>'Données projet'!D237</f>
        <v>0</v>
      </c>
      <c r="C259" s="202"/>
      <c r="D259" s="187">
        <f t="shared" si="13"/>
        <v>0</v>
      </c>
      <c r="E259" s="202"/>
      <c r="F259" s="259"/>
      <c r="G259" s="219"/>
      <c r="H259" s="5"/>
      <c r="I259" s="5"/>
      <c r="J259" s="5"/>
      <c r="K259" s="1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7"/>
      <c r="G260" s="219"/>
      <c r="H260" s="5"/>
      <c r="I260" s="5"/>
      <c r="J260" s="5"/>
      <c r="K260" s="1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7"/>
      <c r="G261" s="219"/>
      <c r="H261" s="5"/>
      <c r="I261" s="5"/>
      <c r="J261" s="5"/>
      <c r="K261" s="1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2" t="str">
        <f>IF('Données projet'!$B$17="","",'Données projet'!$B$17)</f>
        <v>Châtaignier</v>
      </c>
      <c r="C262" s="5"/>
      <c r="D262" s="5"/>
      <c r="E262" s="5"/>
      <c r="F262" s="257"/>
      <c r="G262" s="219"/>
      <c r="H262" s="5"/>
      <c r="I262" s="5"/>
      <c r="J262" s="5"/>
      <c r="K262" s="1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7"/>
      <c r="G263" s="219"/>
      <c r="H263" s="5"/>
      <c r="I263" s="5"/>
      <c r="J263" s="5"/>
      <c r="K263" s="1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3" t="s">
        <v>180</v>
      </c>
      <c r="B264" s="51" t="s">
        <v>256</v>
      </c>
      <c r="C264" s="51" t="s">
        <v>255</v>
      </c>
      <c r="D264" s="253" t="s">
        <v>252</v>
      </c>
      <c r="E264" s="253" t="s">
        <v>320</v>
      </c>
      <c r="F264" s="258"/>
      <c r="G264" s="219"/>
      <c r="H264" s="5"/>
      <c r="I264" s="5"/>
      <c r="J264" s="5"/>
      <c r="K264" s="1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6">
        <v>0</v>
      </c>
      <c r="B265" s="209" t="s">
        <v>132</v>
      </c>
      <c r="C265" s="208" t="s">
        <v>132</v>
      </c>
      <c r="D265" s="207" t="s">
        <v>132</v>
      </c>
      <c r="E265" s="202"/>
      <c r="F265" s="258"/>
      <c r="G265" s="219"/>
      <c r="H265" s="5"/>
      <c r="I265" s="5"/>
      <c r="J265" s="5"/>
      <c r="K265" s="1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6">
        <v>1</v>
      </c>
      <c r="B266" s="209" t="s">
        <v>132</v>
      </c>
      <c r="C266" s="208" t="s">
        <v>132</v>
      </c>
      <c r="D266" s="207" t="s">
        <v>132</v>
      </c>
      <c r="E266" s="202"/>
      <c r="F266" s="258"/>
      <c r="G266" s="217"/>
      <c r="H266" s="5"/>
      <c r="I266" s="5"/>
      <c r="J266" s="5"/>
      <c r="K266" s="1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6">
        <v>2</v>
      </c>
      <c r="B267" s="209" t="s">
        <v>132</v>
      </c>
      <c r="C267" s="208" t="s">
        <v>132</v>
      </c>
      <c r="D267" s="207" t="s">
        <v>132</v>
      </c>
      <c r="E267" s="202"/>
      <c r="F267" s="258"/>
      <c r="G267" s="217"/>
      <c r="H267" s="5"/>
      <c r="I267" s="5"/>
      <c r="J267" s="5"/>
      <c r="K267" s="1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6">
        <v>3</v>
      </c>
      <c r="B268" s="209" t="s">
        <v>132</v>
      </c>
      <c r="C268" s="208" t="s">
        <v>132</v>
      </c>
      <c r="D268" s="207" t="s">
        <v>132</v>
      </c>
      <c r="E268" s="202"/>
      <c r="F268" s="258"/>
      <c r="G268" s="217"/>
      <c r="H268" s="5"/>
      <c r="I268" s="5"/>
      <c r="J268" s="5"/>
      <c r="K268" s="1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6">
        <v>4</v>
      </c>
      <c r="B269" s="209" t="s">
        <v>132</v>
      </c>
      <c r="C269" s="208" t="s">
        <v>132</v>
      </c>
      <c r="D269" s="207" t="s">
        <v>132</v>
      </c>
      <c r="E269" s="202"/>
      <c r="F269" s="258"/>
      <c r="G269" s="217"/>
      <c r="H269" s="5"/>
      <c r="I269" s="5"/>
      <c r="J269" s="5"/>
      <c r="K269" s="1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6">
        <v>5</v>
      </c>
      <c r="B270" s="209" t="s">
        <v>132</v>
      </c>
      <c r="C270" s="208" t="s">
        <v>132</v>
      </c>
      <c r="D270" s="207" t="s">
        <v>132</v>
      </c>
      <c r="E270" s="202"/>
      <c r="F270" s="258"/>
      <c r="G270" s="218"/>
      <c r="H270" s="5"/>
      <c r="I270" s="5"/>
      <c r="J270" s="5"/>
      <c r="K270" s="1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88">
        <f>'Données projet'!A244</f>
        <v>15</v>
      </c>
      <c r="B271" s="189">
        <f>'Données projet'!D244</f>
        <v>0</v>
      </c>
      <c r="C271" s="202"/>
      <c r="D271" s="187">
        <f>B271*C271</f>
        <v>0</v>
      </c>
      <c r="E271" s="202"/>
      <c r="F271" s="259"/>
      <c r="G271" s="218"/>
      <c r="H271" s="5"/>
      <c r="I271" s="5"/>
      <c r="J271" s="5"/>
      <c r="K271" s="1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88">
        <f>'Données projet'!A245</f>
        <v>20</v>
      </c>
      <c r="B272" s="189">
        <f>'Données projet'!D245</f>
        <v>43.1</v>
      </c>
      <c r="C272" s="202">
        <v>10</v>
      </c>
      <c r="D272" s="187">
        <f t="shared" ref="D272:D290" si="14">B272*C272</f>
        <v>431</v>
      </c>
      <c r="E272" s="202"/>
      <c r="F272" s="259"/>
      <c r="G272" s="218"/>
      <c r="H272" s="5"/>
      <c r="I272" s="5"/>
      <c r="J272" s="5"/>
      <c r="K272" s="1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88">
        <f>'Données projet'!A246</f>
        <v>25</v>
      </c>
      <c r="B273" s="189">
        <f>'Données projet'!D246</f>
        <v>0</v>
      </c>
      <c r="C273" s="202"/>
      <c r="D273" s="187">
        <f t="shared" si="14"/>
        <v>0</v>
      </c>
      <c r="E273" s="202"/>
      <c r="F273" s="259"/>
      <c r="G273" s="218"/>
      <c r="H273" s="5"/>
      <c r="I273" s="5"/>
      <c r="J273" s="5"/>
      <c r="K273" s="1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88">
        <f>'Données projet'!A247</f>
        <v>30</v>
      </c>
      <c r="B274" s="189">
        <f>'Données projet'!D247</f>
        <v>56</v>
      </c>
      <c r="C274" s="202">
        <v>15</v>
      </c>
      <c r="D274" s="187">
        <f t="shared" si="14"/>
        <v>840</v>
      </c>
      <c r="E274" s="202"/>
      <c r="F274" s="259"/>
      <c r="G274" s="218"/>
      <c r="H274" s="5"/>
      <c r="I274" s="5"/>
      <c r="J274" s="5"/>
      <c r="K274" s="1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88">
        <f>'Données projet'!A248</f>
        <v>35</v>
      </c>
      <c r="B275" s="189">
        <f>'Données projet'!D248</f>
        <v>0</v>
      </c>
      <c r="C275" s="202"/>
      <c r="D275" s="187">
        <f t="shared" si="14"/>
        <v>0</v>
      </c>
      <c r="E275" s="202"/>
      <c r="F275" s="259"/>
      <c r="G275" s="218"/>
      <c r="H275" s="5"/>
      <c r="I275" s="5"/>
      <c r="J275" s="5"/>
      <c r="K275" s="1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88">
        <f>'Données projet'!A249</f>
        <v>40</v>
      </c>
      <c r="B276" s="189">
        <f>'Données projet'!D249</f>
        <v>56</v>
      </c>
      <c r="C276" s="202">
        <v>20</v>
      </c>
      <c r="D276" s="187">
        <f t="shared" si="14"/>
        <v>1120</v>
      </c>
      <c r="E276" s="202"/>
      <c r="F276" s="259"/>
      <c r="G276" s="218"/>
      <c r="H276" s="5"/>
      <c r="I276" s="5"/>
      <c r="J276" s="5"/>
      <c r="K276" s="1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88">
        <f>'Données projet'!A250</f>
        <v>45</v>
      </c>
      <c r="B277" s="189">
        <f>'Données projet'!D250</f>
        <v>0</v>
      </c>
      <c r="C277" s="202"/>
      <c r="D277" s="187">
        <f t="shared" si="14"/>
        <v>0</v>
      </c>
      <c r="E277" s="202"/>
      <c r="F277" s="259"/>
      <c r="G277" s="219"/>
      <c r="H277" s="5"/>
      <c r="I277" s="5"/>
      <c r="J277" s="5"/>
      <c r="K277" s="1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88">
        <f>'Données projet'!A251</f>
        <v>50</v>
      </c>
      <c r="B278" s="189">
        <f>'Données projet'!D251</f>
        <v>38.299999999999997</v>
      </c>
      <c r="C278" s="202">
        <v>30</v>
      </c>
      <c r="D278" s="187">
        <f t="shared" si="14"/>
        <v>1149</v>
      </c>
      <c r="E278" s="202"/>
      <c r="F278" s="259"/>
      <c r="G278" s="219"/>
      <c r="H278" s="5"/>
      <c r="I278" s="5"/>
      <c r="J278" s="5"/>
      <c r="K278" s="1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88">
        <f>'Données projet'!A252</f>
        <v>55</v>
      </c>
      <c r="B279" s="189">
        <f>'Données projet'!D252</f>
        <v>0</v>
      </c>
      <c r="C279" s="202"/>
      <c r="D279" s="187">
        <f t="shared" si="14"/>
        <v>0</v>
      </c>
      <c r="E279" s="202"/>
      <c r="F279" s="259"/>
      <c r="G279" s="219"/>
      <c r="H279" s="5"/>
      <c r="I279" s="5"/>
      <c r="J279" s="5"/>
      <c r="K279" s="1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88">
        <f>'Données projet'!A253</f>
        <v>60</v>
      </c>
      <c r="B280" s="189">
        <f>'Données projet'!D253</f>
        <v>25.200000000000003</v>
      </c>
      <c r="C280" s="202">
        <v>40</v>
      </c>
      <c r="D280" s="187">
        <f t="shared" si="14"/>
        <v>1008.0000000000001</v>
      </c>
      <c r="E280" s="202"/>
      <c r="F280" s="259"/>
      <c r="G280" s="219"/>
      <c r="H280" s="5"/>
      <c r="I280" s="5"/>
      <c r="J280" s="5"/>
      <c r="K280" s="1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88">
        <f>'Données projet'!A254</f>
        <v>65</v>
      </c>
      <c r="B281" s="189">
        <f>'Données projet'!D254</f>
        <v>0</v>
      </c>
      <c r="C281" s="202"/>
      <c r="D281" s="187">
        <f t="shared" si="14"/>
        <v>0</v>
      </c>
      <c r="E281" s="202"/>
      <c r="F281" s="259"/>
      <c r="G281" s="219"/>
      <c r="H281" s="5"/>
      <c r="I281" s="5"/>
      <c r="J281" s="5"/>
      <c r="K281" s="1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88">
        <f>'Données projet'!A255</f>
        <v>70</v>
      </c>
      <c r="B282" s="189">
        <f>'Données projet'!D255</f>
        <v>20.9</v>
      </c>
      <c r="C282" s="202">
        <v>50</v>
      </c>
      <c r="D282" s="187">
        <f t="shared" si="14"/>
        <v>1045</v>
      </c>
      <c r="E282" s="202"/>
      <c r="F282" s="259"/>
      <c r="G282" s="219"/>
      <c r="H282" s="5"/>
      <c r="I282" s="5"/>
      <c r="J282" s="5"/>
      <c r="K282" s="1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88">
        <f>'Données projet'!A256</f>
        <v>75</v>
      </c>
      <c r="B283" s="189">
        <f>'Données projet'!D256</f>
        <v>0</v>
      </c>
      <c r="C283" s="202"/>
      <c r="D283" s="187">
        <f t="shared" si="14"/>
        <v>0</v>
      </c>
      <c r="E283" s="202"/>
      <c r="F283" s="259"/>
      <c r="G283" s="219"/>
      <c r="H283" s="5"/>
      <c r="I283" s="5"/>
      <c r="J283" s="5"/>
      <c r="K283" s="1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88">
        <f>'Données projet'!A257</f>
        <v>80</v>
      </c>
      <c r="B284" s="189">
        <f>'Données projet'!D257</f>
        <v>284.60000000000002</v>
      </c>
      <c r="C284" s="202">
        <v>80</v>
      </c>
      <c r="D284" s="187">
        <f t="shared" si="14"/>
        <v>22768</v>
      </c>
      <c r="E284" s="202"/>
      <c r="F284" s="259"/>
      <c r="G284" s="219"/>
      <c r="H284" s="5"/>
      <c r="I284" s="5"/>
      <c r="J284" s="5"/>
      <c r="K284" s="1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88">
        <f>'Données projet'!A258</f>
        <v>0</v>
      </c>
      <c r="B285" s="189">
        <f>'Données projet'!D258</f>
        <v>0</v>
      </c>
      <c r="C285" s="200"/>
      <c r="D285" s="187">
        <f t="shared" si="14"/>
        <v>0</v>
      </c>
      <c r="E285" s="202"/>
      <c r="F285" s="259"/>
      <c r="G285" s="219"/>
      <c r="H285" s="5"/>
      <c r="I285" s="5"/>
      <c r="J285" s="5"/>
      <c r="K285" s="1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88">
        <f>'Données projet'!A259</f>
        <v>0</v>
      </c>
      <c r="B286" s="189">
        <f>'Données projet'!D259</f>
        <v>0</v>
      </c>
      <c r="C286" s="200"/>
      <c r="D286" s="187">
        <f t="shared" si="14"/>
        <v>0</v>
      </c>
      <c r="E286" s="202"/>
      <c r="F286" s="259"/>
      <c r="G286" s="219"/>
      <c r="H286" s="5"/>
      <c r="I286" s="5"/>
      <c r="J286" s="5"/>
      <c r="K286" s="1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88">
        <f>'Données projet'!A260</f>
        <v>0</v>
      </c>
      <c r="B287" s="189">
        <f>'Données projet'!D260</f>
        <v>0</v>
      </c>
      <c r="C287" s="200"/>
      <c r="D287" s="187">
        <f t="shared" si="14"/>
        <v>0</v>
      </c>
      <c r="E287" s="202"/>
      <c r="F287" s="259"/>
      <c r="G287" s="219"/>
      <c r="H287" s="5"/>
      <c r="I287" s="5"/>
      <c r="J287" s="5"/>
      <c r="K287" s="1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88">
        <f>'Données projet'!A261</f>
        <v>0</v>
      </c>
      <c r="B288" s="189">
        <f>'Données projet'!D261</f>
        <v>0</v>
      </c>
      <c r="C288" s="200"/>
      <c r="D288" s="187">
        <f t="shared" si="14"/>
        <v>0</v>
      </c>
      <c r="E288" s="202"/>
      <c r="F288" s="259"/>
      <c r="G288" s="219"/>
      <c r="H288" s="5"/>
      <c r="I288" s="5"/>
      <c r="J288" s="5"/>
      <c r="K288" s="1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88">
        <f>'Données projet'!A262</f>
        <v>0</v>
      </c>
      <c r="B289" s="189">
        <f>'Données projet'!D262</f>
        <v>0</v>
      </c>
      <c r="C289" s="200"/>
      <c r="D289" s="187">
        <f t="shared" si="14"/>
        <v>0</v>
      </c>
      <c r="E289" s="202"/>
      <c r="F289" s="259"/>
      <c r="G289" s="219"/>
      <c r="H289" s="5"/>
      <c r="I289" s="5"/>
      <c r="J289" s="5"/>
      <c r="K289" s="1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88">
        <f>'Données projet'!A263</f>
        <v>0</v>
      </c>
      <c r="B290" s="189">
        <f>'Données projet'!D263</f>
        <v>0</v>
      </c>
      <c r="C290" s="200"/>
      <c r="D290" s="187">
        <f t="shared" si="14"/>
        <v>0</v>
      </c>
      <c r="E290" s="202"/>
      <c r="F290" s="259"/>
      <c r="G290" s="219"/>
      <c r="H290" s="5"/>
      <c r="I290" s="5"/>
      <c r="J290" s="5"/>
      <c r="K290" s="1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7"/>
      <c r="G291" s="219"/>
      <c r="H291" s="5"/>
      <c r="I291" s="5"/>
      <c r="J291" s="5"/>
      <c r="K291" s="1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7"/>
      <c r="G292" s="219"/>
      <c r="H292" s="5"/>
      <c r="I292" s="5"/>
      <c r="J292" s="5"/>
      <c r="K292" s="1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2" t="str">
        <f>IF('Données projet'!$B$18="","",'Données projet'!$B$18)</f>
        <v/>
      </c>
      <c r="C293" s="5"/>
      <c r="D293" s="5"/>
      <c r="E293" s="5"/>
      <c r="F293" s="257"/>
      <c r="G293" s="219"/>
      <c r="H293" s="5"/>
      <c r="I293" s="5"/>
      <c r="J293" s="5"/>
      <c r="K293" s="1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7"/>
      <c r="G294" s="219"/>
      <c r="H294" s="5"/>
      <c r="I294" s="5"/>
      <c r="J294" s="5"/>
      <c r="K294" s="1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3" t="s">
        <v>180</v>
      </c>
      <c r="B295" s="51" t="s">
        <v>256</v>
      </c>
      <c r="C295" s="51" t="s">
        <v>255</v>
      </c>
      <c r="D295" s="253" t="s">
        <v>252</v>
      </c>
      <c r="E295" s="253" t="s">
        <v>320</v>
      </c>
      <c r="F295" s="258"/>
      <c r="G295" s="219"/>
      <c r="H295" s="5"/>
      <c r="I295" s="5"/>
      <c r="J295" s="5"/>
      <c r="K295" s="1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6">
        <v>0</v>
      </c>
      <c r="B296" s="209" t="s">
        <v>132</v>
      </c>
      <c r="C296" s="208" t="s">
        <v>132</v>
      </c>
      <c r="D296" s="207" t="s">
        <v>132</v>
      </c>
      <c r="E296" s="202"/>
      <c r="F296" s="258"/>
      <c r="G296" s="219"/>
      <c r="H296" s="5"/>
      <c r="I296" s="5"/>
      <c r="J296" s="5"/>
      <c r="K296" s="1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6">
        <v>1</v>
      </c>
      <c r="B297" s="209" t="s">
        <v>132</v>
      </c>
      <c r="C297" s="208" t="s">
        <v>132</v>
      </c>
      <c r="D297" s="207" t="s">
        <v>132</v>
      </c>
      <c r="E297" s="202"/>
      <c r="F297" s="258"/>
      <c r="G297" s="217"/>
      <c r="H297" s="5"/>
      <c r="I297" s="5"/>
      <c r="J297" s="5"/>
      <c r="K297" s="1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6">
        <v>2</v>
      </c>
      <c r="B298" s="209" t="s">
        <v>132</v>
      </c>
      <c r="C298" s="208" t="s">
        <v>132</v>
      </c>
      <c r="D298" s="207" t="s">
        <v>132</v>
      </c>
      <c r="E298" s="202"/>
      <c r="F298" s="258"/>
      <c r="G298" s="217"/>
      <c r="H298" s="5"/>
      <c r="I298" s="5"/>
      <c r="J298" s="5"/>
      <c r="K298" s="1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6">
        <v>3</v>
      </c>
      <c r="B299" s="209" t="s">
        <v>132</v>
      </c>
      <c r="C299" s="208" t="s">
        <v>132</v>
      </c>
      <c r="D299" s="207" t="s">
        <v>132</v>
      </c>
      <c r="E299" s="202"/>
      <c r="F299" s="258"/>
      <c r="G299" s="217"/>
      <c r="H299" s="5"/>
      <c r="I299" s="5"/>
      <c r="J299" s="5"/>
      <c r="K299" s="1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6">
        <v>4</v>
      </c>
      <c r="B300" s="209" t="s">
        <v>132</v>
      </c>
      <c r="C300" s="208" t="s">
        <v>132</v>
      </c>
      <c r="D300" s="207" t="s">
        <v>132</v>
      </c>
      <c r="E300" s="202"/>
      <c r="F300" s="258"/>
      <c r="G300" s="217"/>
      <c r="H300" s="5"/>
      <c r="I300" s="5"/>
      <c r="J300" s="5"/>
      <c r="K300" s="1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6">
        <v>5</v>
      </c>
      <c r="B301" s="209" t="s">
        <v>132</v>
      </c>
      <c r="C301" s="208" t="s">
        <v>132</v>
      </c>
      <c r="D301" s="207" t="s">
        <v>132</v>
      </c>
      <c r="E301" s="202"/>
      <c r="F301" s="258"/>
      <c r="G301" s="218"/>
      <c r="H301" s="5"/>
      <c r="I301" s="5"/>
      <c r="J301" s="5"/>
      <c r="K301" s="1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88">
        <f>'Données projet'!A270</f>
        <v>0</v>
      </c>
      <c r="B302" s="189">
        <f>'Données projet'!D270</f>
        <v>0</v>
      </c>
      <c r="C302" s="200"/>
      <c r="D302" s="190">
        <f>B302*C302</f>
        <v>0</v>
      </c>
      <c r="E302" s="202"/>
      <c r="F302" s="260"/>
      <c r="G302" s="218"/>
      <c r="H302" s="5"/>
      <c r="I302" s="5"/>
      <c r="J302" s="5"/>
      <c r="K302" s="1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88">
        <f>'Données projet'!A271</f>
        <v>0</v>
      </c>
      <c r="B303" s="189">
        <f>'Données projet'!D271</f>
        <v>0</v>
      </c>
      <c r="C303" s="200"/>
      <c r="D303" s="190">
        <f t="shared" ref="D303:D321" si="15">B303*C303</f>
        <v>0</v>
      </c>
      <c r="E303" s="202"/>
      <c r="F303" s="260"/>
      <c r="G303" s="218"/>
      <c r="H303" s="5"/>
      <c r="I303" s="5"/>
      <c r="J303" s="5"/>
      <c r="K303" s="1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88">
        <f>'Données projet'!A272</f>
        <v>0</v>
      </c>
      <c r="B304" s="189">
        <f>'Données projet'!D272</f>
        <v>0</v>
      </c>
      <c r="C304" s="200"/>
      <c r="D304" s="190">
        <f t="shared" si="15"/>
        <v>0</v>
      </c>
      <c r="E304" s="202"/>
      <c r="F304" s="260"/>
      <c r="G304" s="218"/>
      <c r="H304" s="5"/>
      <c r="I304" s="5"/>
      <c r="J304" s="5"/>
      <c r="K304" s="1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88">
        <f>'Données projet'!A273</f>
        <v>0</v>
      </c>
      <c r="B305" s="189">
        <f>'Données projet'!D273</f>
        <v>0</v>
      </c>
      <c r="C305" s="200"/>
      <c r="D305" s="190">
        <f t="shared" si="15"/>
        <v>0</v>
      </c>
      <c r="E305" s="202"/>
      <c r="F305" s="260"/>
      <c r="G305" s="218"/>
      <c r="H305" s="5"/>
      <c r="I305" s="5"/>
      <c r="J305" s="5"/>
      <c r="K305" s="1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88">
        <f>'Données projet'!A274</f>
        <v>0</v>
      </c>
      <c r="B306" s="189">
        <f>'Données projet'!D274</f>
        <v>0</v>
      </c>
      <c r="C306" s="200"/>
      <c r="D306" s="190">
        <f t="shared" si="15"/>
        <v>0</v>
      </c>
      <c r="E306" s="202"/>
      <c r="F306" s="260"/>
      <c r="G306" s="218"/>
      <c r="H306" s="5"/>
      <c r="I306" s="5"/>
      <c r="J306" s="5"/>
      <c r="K306" s="1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88">
        <f>'Données projet'!A275</f>
        <v>0</v>
      </c>
      <c r="B307" s="189">
        <f>'Données projet'!D275</f>
        <v>0</v>
      </c>
      <c r="C307" s="200"/>
      <c r="D307" s="190">
        <f t="shared" si="15"/>
        <v>0</v>
      </c>
      <c r="E307" s="202"/>
      <c r="F307" s="260"/>
      <c r="G307" s="218"/>
      <c r="H307" s="5"/>
      <c r="I307" s="5"/>
      <c r="J307" s="5"/>
      <c r="K307" s="1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88">
        <f>'Données projet'!A276</f>
        <v>0</v>
      </c>
      <c r="B308" s="189">
        <f>'Données projet'!D276</f>
        <v>0</v>
      </c>
      <c r="C308" s="200"/>
      <c r="D308" s="190">
        <f t="shared" si="15"/>
        <v>0</v>
      </c>
      <c r="E308" s="202"/>
      <c r="F308" s="260"/>
      <c r="G308" s="214"/>
      <c r="H308" s="5"/>
      <c r="I308" s="5"/>
      <c r="J308" s="5"/>
      <c r="K308" s="1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88">
        <f>'Données projet'!A277</f>
        <v>0</v>
      </c>
      <c r="B309" s="189">
        <f>'Données projet'!D277</f>
        <v>0</v>
      </c>
      <c r="C309" s="200"/>
      <c r="D309" s="190">
        <f t="shared" si="15"/>
        <v>0</v>
      </c>
      <c r="E309" s="202"/>
      <c r="F309" s="260"/>
      <c r="G309" s="214"/>
      <c r="H309" s="5"/>
      <c r="I309" s="5"/>
      <c r="J309" s="5"/>
      <c r="K309" s="1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88">
        <f>'Données projet'!A278</f>
        <v>0</v>
      </c>
      <c r="B310" s="189">
        <f>'Données projet'!D278</f>
        <v>0</v>
      </c>
      <c r="C310" s="200"/>
      <c r="D310" s="190">
        <f t="shared" si="15"/>
        <v>0</v>
      </c>
      <c r="E310" s="202"/>
      <c r="F310" s="260"/>
      <c r="G310" s="214"/>
      <c r="H310" s="5"/>
      <c r="I310" s="5"/>
      <c r="J310" s="5"/>
      <c r="K310" s="1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88">
        <f>'Données projet'!A279</f>
        <v>0</v>
      </c>
      <c r="B311" s="189">
        <f>'Données projet'!D279</f>
        <v>0</v>
      </c>
      <c r="C311" s="200"/>
      <c r="D311" s="190">
        <f t="shared" si="15"/>
        <v>0</v>
      </c>
      <c r="E311" s="202"/>
      <c r="F311" s="260"/>
      <c r="G311" s="214"/>
      <c r="H311" s="5"/>
      <c r="I311" s="5"/>
      <c r="J311" s="5"/>
      <c r="K311" s="1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88">
        <f>'Données projet'!A280</f>
        <v>0</v>
      </c>
      <c r="B312" s="189">
        <f>'Données projet'!D280</f>
        <v>0</v>
      </c>
      <c r="C312" s="200"/>
      <c r="D312" s="190">
        <f t="shared" si="15"/>
        <v>0</v>
      </c>
      <c r="E312" s="202"/>
      <c r="F312" s="260"/>
      <c r="G312" s="214"/>
      <c r="H312" s="5"/>
      <c r="I312" s="5"/>
      <c r="J312" s="5"/>
      <c r="K312" s="1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88">
        <f>'Données projet'!A281</f>
        <v>0</v>
      </c>
      <c r="B313" s="189">
        <f>'Données projet'!D281</f>
        <v>0</v>
      </c>
      <c r="C313" s="200"/>
      <c r="D313" s="190">
        <f t="shared" si="15"/>
        <v>0</v>
      </c>
      <c r="E313" s="202"/>
      <c r="F313" s="260"/>
      <c r="G313" s="214"/>
      <c r="H313" s="5"/>
      <c r="I313" s="5"/>
      <c r="J313" s="5"/>
      <c r="K313" s="1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88">
        <f>'Données projet'!A282</f>
        <v>0</v>
      </c>
      <c r="B314" s="189">
        <f>'Données projet'!D282</f>
        <v>0</v>
      </c>
      <c r="C314" s="200"/>
      <c r="D314" s="190">
        <f t="shared" si="15"/>
        <v>0</v>
      </c>
      <c r="E314" s="202"/>
      <c r="F314" s="260"/>
      <c r="G314" s="214"/>
      <c r="H314" s="5"/>
      <c r="I314" s="5"/>
      <c r="J314" s="5"/>
      <c r="K314" s="1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88">
        <f>'Données projet'!A283</f>
        <v>0</v>
      </c>
      <c r="B315" s="189">
        <f>'Données projet'!D283</f>
        <v>0</v>
      </c>
      <c r="C315" s="200"/>
      <c r="D315" s="190">
        <f t="shared" si="15"/>
        <v>0</v>
      </c>
      <c r="E315" s="202"/>
      <c r="F315" s="260"/>
      <c r="G315" s="214"/>
      <c r="H315" s="5"/>
      <c r="I315" s="5"/>
      <c r="J315" s="5"/>
      <c r="K315" s="1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88">
        <f>'Données projet'!A284</f>
        <v>0</v>
      </c>
      <c r="B316" s="189">
        <f>'Données projet'!D284</f>
        <v>0</v>
      </c>
      <c r="C316" s="200"/>
      <c r="D316" s="190">
        <f t="shared" si="15"/>
        <v>0</v>
      </c>
      <c r="E316" s="202"/>
      <c r="F316" s="260"/>
      <c r="G316" s="214"/>
      <c r="H316" s="5"/>
      <c r="I316" s="5"/>
      <c r="J316" s="5"/>
      <c r="K316" s="1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88">
        <f>'Données projet'!A285</f>
        <v>0</v>
      </c>
      <c r="B317" s="189">
        <f>'Données projet'!D285</f>
        <v>0</v>
      </c>
      <c r="C317" s="200"/>
      <c r="D317" s="190">
        <f t="shared" si="15"/>
        <v>0</v>
      </c>
      <c r="E317" s="202"/>
      <c r="F317" s="260"/>
      <c r="G317" s="214"/>
      <c r="H317" s="5"/>
      <c r="I317" s="5"/>
      <c r="J317" s="5"/>
      <c r="K317" s="1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88">
        <f>'Données projet'!A286</f>
        <v>0</v>
      </c>
      <c r="B318" s="189">
        <f>'Données projet'!D286</f>
        <v>0</v>
      </c>
      <c r="C318" s="200"/>
      <c r="D318" s="190">
        <f t="shared" si="15"/>
        <v>0</v>
      </c>
      <c r="E318" s="202"/>
      <c r="F318" s="260"/>
      <c r="G318" s="214"/>
      <c r="H318" s="5"/>
      <c r="I318" s="5"/>
      <c r="J318" s="5"/>
      <c r="K318" s="1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88">
        <f>'Données projet'!A287</f>
        <v>0</v>
      </c>
      <c r="B319" s="189">
        <f>'Données projet'!D287</f>
        <v>0</v>
      </c>
      <c r="C319" s="200"/>
      <c r="D319" s="190">
        <f t="shared" si="15"/>
        <v>0</v>
      </c>
      <c r="E319" s="202"/>
      <c r="F319" s="260"/>
      <c r="G319" s="214"/>
      <c r="H319" s="5"/>
      <c r="I319" s="5"/>
      <c r="J319" s="5"/>
      <c r="K319" s="1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88">
        <f>'Données projet'!A288</f>
        <v>0</v>
      </c>
      <c r="B320" s="189">
        <f>'Données projet'!D288</f>
        <v>0</v>
      </c>
      <c r="C320" s="200"/>
      <c r="D320" s="190">
        <f t="shared" si="15"/>
        <v>0</v>
      </c>
      <c r="E320" s="202"/>
      <c r="F320" s="260"/>
      <c r="G320" s="214"/>
      <c r="H320" s="5"/>
      <c r="I320" s="5"/>
      <c r="J320" s="5"/>
      <c r="K320" s="1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88">
        <f>'Données projet'!A289</f>
        <v>0</v>
      </c>
      <c r="B321" s="189">
        <f>'Données projet'!D289</f>
        <v>0</v>
      </c>
      <c r="C321" s="205"/>
      <c r="D321" s="190">
        <f t="shared" si="15"/>
        <v>0</v>
      </c>
      <c r="E321" s="202"/>
      <c r="F321" s="260"/>
      <c r="G321" s="214"/>
      <c r="H321" s="5"/>
      <c r="I321" s="5"/>
      <c r="J321" s="5"/>
      <c r="K321" s="1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4"/>
      <c r="H322" s="5"/>
      <c r="I322" s="5"/>
      <c r="J322" s="5"/>
      <c r="K322" s="1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4"/>
      <c r="H323" s="5"/>
      <c r="I323" s="5"/>
      <c r="J323" s="5"/>
      <c r="K323" s="1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4"/>
      <c r="H324" s="5"/>
      <c r="I324" s="5"/>
      <c r="J324" s="5"/>
      <c r="K324" s="1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4"/>
      <c r="H325" s="5"/>
      <c r="I325" s="5"/>
      <c r="J325" s="5"/>
      <c r="K325" s="1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4"/>
      <c r="H326" s="5"/>
      <c r="I326" s="5"/>
      <c r="J326" s="5"/>
      <c r="K326" s="1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4"/>
      <c r="H327" s="5"/>
      <c r="I327" s="5"/>
      <c r="J327" s="5"/>
      <c r="K327" s="1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7"/>
      <c r="G328" s="22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7"/>
      <c r="G329" s="22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7"/>
      <c r="G330" s="22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7"/>
      <c r="G331" s="22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7"/>
      <c r="G332" s="22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7"/>
      <c r="G333" s="22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7"/>
      <c r="G334" s="22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7"/>
      <c r="G335" s="22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7"/>
      <c r="G336" s="22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7"/>
      <c r="G337" s="22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7"/>
      <c r="G338" s="22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7"/>
      <c r="G339" s="22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7"/>
      <c r="G340" s="22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7"/>
      <c r="G341" s="22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7"/>
      <c r="G342" s="22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7"/>
      <c r="G343" s="22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7"/>
      <c r="G344" s="22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7"/>
      <c r="G345" s="22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7"/>
      <c r="G346" s="22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7"/>
      <c r="G347" s="22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7"/>
      <c r="G348" s="22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7"/>
      <c r="G349" s="22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7"/>
      <c r="G350" s="22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7"/>
      <c r="G351" s="22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7"/>
      <c r="G352" s="22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7"/>
      <c r="G353" s="22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7"/>
      <c r="G354" s="22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7"/>
      <c r="G355" s="22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7"/>
      <c r="G356" s="22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7"/>
      <c r="G357" s="22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7"/>
      <c r="G358" s="22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7"/>
      <c r="G359" s="22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7"/>
      <c r="G360" s="22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7"/>
      <c r="G361" s="22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7"/>
      <c r="G362" s="22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7"/>
      <c r="G363" s="22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7"/>
      <c r="G364" s="22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7"/>
      <c r="G365" s="22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7"/>
      <c r="G366" s="22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7"/>
      <c r="G367" s="22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7"/>
      <c r="G368" s="22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7"/>
      <c r="G369" s="22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7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7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7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7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7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7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7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7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7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7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7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7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7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7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7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7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7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7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7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7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7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7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7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7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7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7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2024-07-30T07:28:43Z</dcterms:modified>
</cp:coreProperties>
</file>