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Garganvillar (82) - GF STAMM- SWC-AXA\Dossier déposé 31012024\"/>
    </mc:Choice>
  </mc:AlternateContent>
  <xr:revisionPtr revIDLastSave="0" documentId="13_ncr:1_{2C8137E3-F4A8-4ECE-ACFF-1775B5D77E5A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I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EY154" i="2"/>
  <c r="HH155" i="2"/>
  <c r="DI154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X156" i="2"/>
  <c r="DH156" i="2"/>
  <c r="HG156" i="2"/>
  <c r="FS156" i="2"/>
  <c r="ED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HH160" i="2"/>
  <c r="ED159" i="2"/>
  <c r="HG160" i="2"/>
  <c r="HI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D160" i="2"/>
  <c r="EB161" i="2"/>
  <c r="FS161" i="2"/>
  <c r="HH161" i="2"/>
  <c r="EX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W162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HG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A164" i="2"/>
  <c r="ED163" i="2"/>
  <c r="FR164" i="2"/>
  <c r="EX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Y171" i="2"/>
  <c r="ED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X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HI175" i="2"/>
  <c r="ED174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I185" i="2"/>
  <c r="EV185" i="2"/>
  <c r="EB185" i="2"/>
  <c r="EW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W186" i="2"/>
  <c r="FS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HG194" i="2"/>
  <c r="EA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HG195" i="2"/>
  <c r="HI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EW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HH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D200" i="2"/>
  <c r="EB201" i="2"/>
  <c r="DI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X202" i="2" l="1"/>
  <c r="EY201" i="2"/>
  <c r="ED201" i="2"/>
  <c r="HI202" i="2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14" i="2" a="1"/>
  <c r="BC114" i="2" s="1"/>
  <c r="BC65" i="2" a="1"/>
  <c r="BC65" i="2" s="1"/>
  <c r="GT184" i="2" a="1"/>
  <c r="GT184" i="2" s="1"/>
  <c r="GT51" i="2" a="1"/>
  <c r="GT51" i="2" s="1"/>
  <c r="GT122" i="2" a="1"/>
  <c r="GT122" i="2" s="1"/>
  <c r="GT121" i="2" a="1"/>
  <c r="GT121" i="2" s="1"/>
  <c r="GT133" i="2" a="1"/>
  <c r="GT13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74" i="2" a="1"/>
  <c r="GT74" i="2" s="1"/>
  <c r="GT126" i="2" a="1"/>
  <c r="GT126" i="2" s="1"/>
  <c r="GT191" i="2" a="1"/>
  <c r="GT191" i="2" s="1"/>
  <c r="GT190" i="2" a="1"/>
  <c r="GT190" i="2" s="1"/>
  <c r="GT174" i="2" a="1"/>
  <c r="GT174" i="2" s="1"/>
  <c r="GT107" i="2" a="1"/>
  <c r="GT107" i="2" s="1"/>
  <c r="DN133" i="2" a="1"/>
  <c r="DN133" i="2" s="1"/>
  <c r="DN6" i="2" a="1"/>
  <c r="DN6" i="2" s="1"/>
  <c r="DO6" i="2" s="1"/>
  <c r="BX107" i="2" a="1"/>
  <c r="BX107" i="2" s="1"/>
  <c r="FD82" i="2" a="1"/>
  <c r="FD82" i="2" s="1"/>
  <c r="HJ202" i="2"/>
  <c r="AX200" i="2"/>
  <c r="EY202" i="2" l="1"/>
  <c r="EI37" i="2" a="1"/>
  <c r="EI37" i="2" s="1"/>
  <c r="EI35" i="2" a="1"/>
  <c r="EI35" i="2" s="1"/>
  <c r="DN114" i="2" a="1"/>
  <c r="DN114" i="2" s="1"/>
  <c r="DN192" i="2" a="1"/>
  <c r="DN192" i="2" s="1"/>
  <c r="DN55" i="2" a="1"/>
  <c r="DN55" i="2" s="1"/>
  <c r="DN162" i="2" a="1"/>
  <c r="DN162" i="2" s="1"/>
  <c r="DN164" i="2" a="1"/>
  <c r="DN164" i="2" s="1"/>
  <c r="DN38" i="2" a="1"/>
  <c r="DN38" i="2" s="1"/>
  <c r="DN187" i="2" a="1"/>
  <c r="DN187" i="2" s="1"/>
  <c r="DN30" i="2" a="1"/>
  <c r="DN30" i="2" s="1"/>
  <c r="DN177" i="2" a="1"/>
  <c r="DN177" i="2" s="1"/>
  <c r="DN46" i="2" a="1"/>
  <c r="DN46" i="2" s="1"/>
  <c r="DN43" i="2" a="1"/>
  <c r="DN43" i="2" s="1"/>
  <c r="DN176" i="2" a="1"/>
  <c r="DN176" i="2" s="1"/>
  <c r="DN170" i="2" a="1"/>
  <c r="DN170" i="2" s="1"/>
  <c r="DN124" i="2" a="1"/>
  <c r="DN124" i="2" s="1"/>
  <c r="BC126" i="2" a="1"/>
  <c r="BC126" i="2" s="1"/>
  <c r="BC130" i="2" a="1"/>
  <c r="BC130" i="2" s="1"/>
  <c r="BC83" i="2" a="1"/>
  <c r="BC83" i="2" s="1"/>
  <c r="BC38" i="2" a="1"/>
  <c r="BC38" i="2" s="1"/>
  <c r="BC151" i="2" a="1"/>
  <c r="BC151" i="2" s="1"/>
  <c r="BC47" i="2" a="1"/>
  <c r="BC47" i="2" s="1"/>
  <c r="BC31" i="2" a="1"/>
  <c r="BC31" i="2" s="1"/>
  <c r="BC185" i="2" a="1"/>
  <c r="BC185" i="2" s="1"/>
  <c r="BC68" i="2" a="1"/>
  <c r="BC68" i="2" s="1"/>
  <c r="BC143" i="2" a="1"/>
  <c r="BC143" i="2" s="1"/>
  <c r="EI178" i="2" a="1"/>
  <c r="EI178" i="2" s="1"/>
  <c r="EI20" i="2" a="1"/>
  <c r="EI20" i="2" s="1"/>
  <c r="EI145" i="2" a="1"/>
  <c r="EI145" i="2" s="1"/>
  <c r="EI150" i="2" a="1"/>
  <c r="EI150" i="2" s="1"/>
  <c r="EI34" i="2" a="1"/>
  <c r="EI34" i="2" s="1"/>
  <c r="EI36" i="2" a="1"/>
  <c r="EI36" i="2" s="1"/>
  <c r="EI162" i="2" a="1"/>
  <c r="EI162" i="2" s="1"/>
  <c r="EI29" i="2" a="1"/>
  <c r="EI29" i="2" s="1"/>
  <c r="EI67" i="2" a="1"/>
  <c r="EI67" i="2" s="1"/>
  <c r="EI139" i="2" a="1"/>
  <c r="EI139" i="2" s="1"/>
  <c r="EI170" i="2" a="1"/>
  <c r="EI170" i="2" s="1"/>
  <c r="EI113" i="2" a="1"/>
  <c r="EI113" i="2" s="1"/>
  <c r="EI128" i="2" a="1"/>
  <c r="EI128" i="2" s="1"/>
  <c r="EI106" i="2" a="1"/>
  <c r="EI106" i="2" s="1"/>
  <c r="EI195" i="2" a="1"/>
  <c r="EI195" i="2" s="1"/>
  <c r="EI153" i="2" a="1"/>
  <c r="EI153" i="2" s="1"/>
  <c r="EI165" i="2" a="1"/>
  <c r="EI165" i="2" s="1"/>
  <c r="EI71" i="2" a="1"/>
  <c r="EI71" i="2" s="1"/>
  <c r="EI57" i="2" a="1"/>
  <c r="EI57" i="2" s="1"/>
  <c r="EI166" i="2" a="1"/>
  <c r="EI166" i="2" s="1"/>
  <c r="EI87" i="2" a="1"/>
  <c r="EI87" i="2" s="1"/>
  <c r="EI109" i="2" a="1"/>
  <c r="EI109" i="2" s="1"/>
  <c r="EI38" i="2" a="1"/>
  <c r="EI38" i="2" s="1"/>
  <c r="EI198" i="2" a="1"/>
  <c r="EI198" i="2" s="1"/>
  <c r="EI16" i="2" a="1"/>
  <c r="EI16" i="2" s="1"/>
  <c r="EI142" i="2" a="1"/>
  <c r="EI142" i="2" s="1"/>
  <c r="DN16" i="2" a="1"/>
  <c r="DN16" i="2" s="1"/>
  <c r="DN150" i="2" a="1"/>
  <c r="DN150" i="2" s="1"/>
  <c r="DN25" i="2" a="1"/>
  <c r="DN25" i="2" s="1"/>
  <c r="DN184" i="2" a="1"/>
  <c r="DN184" i="2" s="1"/>
  <c r="DN56" i="2" a="1"/>
  <c r="DN56" i="2" s="1"/>
  <c r="DN49" i="2" a="1"/>
  <c r="DN49" i="2" s="1"/>
  <c r="DN66" i="2" a="1"/>
  <c r="DN66" i="2" s="1"/>
  <c r="DN152" i="2" a="1"/>
  <c r="DN152" i="2" s="1"/>
  <c r="DN188" i="2" a="1"/>
  <c r="DN188" i="2" s="1"/>
  <c r="DN29" i="2" a="1"/>
  <c r="DN29" i="2" s="1"/>
  <c r="DN190" i="2" a="1"/>
  <c r="DN190" i="2" s="1"/>
  <c r="DN135" i="2" a="1"/>
  <c r="DN135" i="2" s="1"/>
  <c r="DN86" i="2" a="1"/>
  <c r="DN86" i="2" s="1"/>
  <c r="DN41" i="2" a="1"/>
  <c r="DN41" i="2" s="1"/>
  <c r="DN65" i="2" a="1"/>
  <c r="DN65" i="2" s="1"/>
  <c r="DN80" i="2" a="1"/>
  <c r="DN80" i="2" s="1"/>
  <c r="DN115" i="2" a="1"/>
  <c r="DN115" i="2" s="1"/>
  <c r="DN186" i="2" a="1"/>
  <c r="DN186" i="2" s="1"/>
  <c r="DN70" i="2" a="1"/>
  <c r="DN70" i="2" s="1"/>
  <c r="DN168" i="2" a="1"/>
  <c r="DN168" i="2" s="1"/>
  <c r="DN63" i="2" a="1"/>
  <c r="DN63" i="2" s="1"/>
  <c r="DN153" i="2" a="1"/>
  <c r="DN153" i="2" s="1"/>
  <c r="DN137" i="2" a="1"/>
  <c r="DN137" i="2" s="1"/>
  <c r="DN103" i="2" a="1"/>
  <c r="DN103" i="2" s="1"/>
  <c r="DN129" i="2" a="1"/>
  <c r="DN129" i="2" s="1"/>
  <c r="DN155" i="2" a="1"/>
  <c r="DN155" i="2" s="1"/>
  <c r="DN45" i="2" a="1"/>
  <c r="DN45" i="2" s="1"/>
  <c r="DN31" i="2" a="1"/>
  <c r="DN31" i="2" s="1"/>
  <c r="DN123" i="2" a="1"/>
  <c r="DN123" i="2" s="1"/>
  <c r="DN50" i="2" a="1"/>
  <c r="DN50" i="2" s="1"/>
  <c r="DN110" i="2" a="1"/>
  <c r="DN110" i="2" s="1"/>
  <c r="DN132" i="2" a="1"/>
  <c r="DN132" i="2" s="1"/>
  <c r="DN167" i="2" a="1"/>
  <c r="DN167" i="2" s="1"/>
  <c r="DN113" i="2" a="1"/>
  <c r="DN113" i="2" s="1"/>
  <c r="CS56" i="2" a="1"/>
  <c r="CS56" i="2" s="1"/>
  <c r="CS114" i="2" a="1"/>
  <c r="CS114" i="2" s="1"/>
  <c r="CS72" i="2" a="1"/>
  <c r="CS72" i="2" s="1"/>
  <c r="BC7" i="2" a="1"/>
  <c r="BC7" i="2" s="1"/>
  <c r="BC82" i="2" a="1"/>
  <c r="BC82" i="2" s="1"/>
  <c r="BC58" i="2" a="1"/>
  <c r="BC58" i="2" s="1"/>
  <c r="BC34" i="2" a="1"/>
  <c r="BC34" i="2" s="1"/>
  <c r="BC32" i="2" a="1"/>
  <c r="BC32" i="2" s="1"/>
  <c r="BC164" i="2" a="1"/>
  <c r="BC164" i="2" s="1"/>
  <c r="BC84" i="2" a="1"/>
  <c r="BC84" i="2" s="1"/>
  <c r="BC192" i="2" a="1"/>
  <c r="BC192" i="2" s="1"/>
  <c r="BC18" i="2" a="1"/>
  <c r="BC18" i="2" s="1"/>
  <c r="BC55" i="2" a="1"/>
  <c r="BC55" i="2" s="1"/>
  <c r="BC117" i="2" a="1"/>
  <c r="BC117" i="2" s="1"/>
  <c r="BC181" i="2" a="1"/>
  <c r="BC181" i="2" s="1"/>
  <c r="AH19" i="2" a="1"/>
  <c r="AH19" i="2" s="1"/>
  <c r="CS77" i="2" a="1"/>
  <c r="CS77" i="2" s="1"/>
  <c r="CS120" i="2" a="1"/>
  <c r="CS120" i="2" s="1"/>
  <c r="GT138" i="2" a="1"/>
  <c r="GT138" i="2" s="1"/>
  <c r="GT12" i="2" a="1"/>
  <c r="GT12" i="2" s="1"/>
  <c r="CS161" i="2" a="1"/>
  <c r="CS161" i="2" s="1"/>
  <c r="GT33" i="2" a="1"/>
  <c r="GT33" i="2" s="1"/>
  <c r="CS134" i="2" a="1"/>
  <c r="CS134" i="2" s="1"/>
  <c r="CS24" i="2" a="1"/>
  <c r="CS24" i="2" s="1"/>
  <c r="GT38" i="2" a="1"/>
  <c r="GT38" i="2" s="1"/>
  <c r="CS137" i="2" a="1"/>
  <c r="CS137" i="2" s="1"/>
  <c r="CS129" i="2" a="1"/>
  <c r="CS129" i="2" s="1"/>
  <c r="GT68" i="2" a="1"/>
  <c r="GT68" i="2" s="1"/>
  <c r="FS203" i="2"/>
  <c r="CS52" i="2" a="1"/>
  <c r="CS52" i="2" s="1"/>
  <c r="GT181" i="2" a="1"/>
  <c r="GT181" i="2" s="1"/>
  <c r="GT178" i="2" a="1"/>
  <c r="GT178" i="2" s="1"/>
  <c r="CS116" i="2" a="1"/>
  <c r="CS116" i="2" s="1"/>
  <c r="CS66" i="2" a="1"/>
  <c r="CS66" i="2" s="1"/>
  <c r="GT11" i="2" a="1"/>
  <c r="GT11" i="2" s="1"/>
  <c r="GT115" i="2" a="1"/>
  <c r="GT115" i="2" s="1"/>
  <c r="CS185" i="2" a="1"/>
  <c r="CS185" i="2" s="1"/>
  <c r="GT102" i="2" a="1"/>
  <c r="GT102" i="2" s="1"/>
  <c r="GT189" i="2" a="1"/>
  <c r="GT189" i="2" s="1"/>
  <c r="GT198" i="2" a="1"/>
  <c r="GT198" i="2" s="1"/>
  <c r="CS38" i="2" a="1"/>
  <c r="CS38" i="2" s="1"/>
  <c r="GT147" i="2" a="1"/>
  <c r="GT147" i="2" s="1"/>
  <c r="GT15" i="2" a="1"/>
  <c r="GT15" i="2" s="1"/>
  <c r="GT21" i="2" a="1"/>
  <c r="GT21" i="2" s="1"/>
  <c r="CS105" i="2" a="1"/>
  <c r="CS105" i="2" s="1"/>
  <c r="GT152" i="2" a="1"/>
  <c r="GT152" i="2" s="1"/>
  <c r="AH199" i="2" a="1"/>
  <c r="AH19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D203" i="2"/>
  <c r="FZ11" i="2"/>
  <c r="FZ12" i="2"/>
  <c r="DI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<sst xmlns="http://schemas.openxmlformats.org/spreadsheetml/2006/main" count="1176" uniqueCount="324">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</sst>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3.6579301719845945</c:v>
                </c:pt>
                <c:pt idx="2">
                  <c:v>5.9944676529234604</c:v>
                </c:pt>
                <c:pt idx="3">
                  <c:v>9.830722880770141</c:v>
                </c:pt>
                <c:pt idx="4">
                  <c:v>16.133623551929993</c:v>
                </c:pt>
                <c:pt idx="5">
                  <c:v>26.496090047600585</c:v>
                </c:pt>
                <c:pt idx="6">
                  <c:v>43.543832227043595</c:v>
                </c:pt>
                <c:pt idx="7">
                  <c:v>71.607401322263442</c:v>
                </c:pt>
                <c:pt idx="8">
                  <c:v>117.83298856364281</c:v>
                </c:pt>
                <c:pt idx="9">
                  <c:v>194.01924592257419</c:v>
                </c:pt>
                <c:pt idx="10">
                  <c:v>319.6559941547128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1.8422485097495895</c:v>
                </c:pt>
                <c:pt idx="2">
                  <c:v>2.4843901903154926</c:v>
                </c:pt>
                <c:pt idx="3">
                  <c:v>3.3513062570671699</c:v>
                </c:pt>
                <c:pt idx="4">
                  <c:v>4.5219889182209601</c:v>
                </c:pt>
                <c:pt idx="5">
                  <c:v>6.1032932227729511</c:v>
                </c:pt>
                <c:pt idx="6">
                  <c:v>8.2397987093677134</c:v>
                </c:pt>
                <c:pt idx="7">
                  <c:v>11.127172406815893</c:v>
                </c:pt>
                <c:pt idx="8">
                  <c:v>15.030279895182991</c:v>
                </c:pt>
                <c:pt idx="9">
                  <c:v>20.307736200442484</c:v>
                </c:pt>
                <c:pt idx="10">
                  <c:v>27.445192616728466</c:v>
                </c:pt>
                <c:pt idx="11">
                  <c:v>37.100476235255933</c:v>
                </c:pt>
                <c:pt idx="12">
                  <c:v>50.164813631333054</c:v>
                </c:pt>
                <c:pt idx="13">
                  <c:v>67.845884343322979</c:v>
                </c:pt>
                <c:pt idx="14">
                  <c:v>91.780506936091612</c:v>
                </c:pt>
                <c:pt idx="15">
                  <c:v>124.18755565113973</c:v>
                </c:pt>
                <c:pt idx="16">
                  <c:v>168.07550418307724</c:v>
                </c:pt>
                <c:pt idx="17">
                  <c:v>227.52415576774652</c:v>
                </c:pt>
                <c:pt idx="18">
                  <c:v>308.06713623755621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2.7570055325004148</c:v>
                </c:pt>
                <c:pt idx="2">
                  <c:v>3.4032054649166987</c:v>
                </c:pt>
                <c:pt idx="3">
                  <c:v>4.2014437547216685</c:v>
                </c:pt>
                <c:pt idx="4">
                  <c:v>5.1876205225847505</c:v>
                </c:pt>
                <c:pt idx="5">
                  <c:v>6.4061412017222628</c:v>
                </c:pt>
                <c:pt idx="6">
                  <c:v>7.9119378318298503</c:v>
                </c:pt>
                <c:pt idx="7">
                  <c:v>9.772972086522616</c:v>
                </c:pt>
                <c:pt idx="8">
                  <c:v>12.073335145530288</c:v>
                </c:pt>
                <c:pt idx="9">
                  <c:v>14.917087094430778</c:v>
                </c:pt>
                <c:pt idx="10">
                  <c:v>18.433012724440111</c:v>
                </c:pt>
                <c:pt idx="11">
                  <c:v>22.780513004417188</c:v>
                </c:pt>
                <c:pt idx="12">
                  <c:v>28.156904081976307</c:v>
                </c:pt>
                <c:pt idx="13">
                  <c:v>34.806460891636839</c:v>
                </c:pt>
                <c:pt idx="14">
                  <c:v>43.031623347396639</c:v>
                </c:pt>
                <c:pt idx="15">
                  <c:v>53.206883450694164</c:v>
                </c:pt>
                <c:pt idx="16">
                  <c:v>65.795996138857035</c:v>
                </c:pt>
                <c:pt idx="17">
                  <c:v>81.373311150987774</c:v>
                </c:pt>
                <c:pt idx="18">
                  <c:v>100.65021481890842</c:v>
                </c:pt>
                <c:pt idx="19">
                  <c:v>124.50790846460593</c:v>
                </c:pt>
                <c:pt idx="20">
                  <c:v>154.03804513155393</c:v>
                </c:pt>
                <c:pt idx="21">
                  <c:v>138.8195597916295</c:v>
                </c:pt>
                <c:pt idx="22">
                  <c:v>155.93775882820458</c:v>
                </c:pt>
                <c:pt idx="23">
                  <c:v>173.01130680524864</c:v>
                </c:pt>
                <c:pt idx="24">
                  <c:v>190.04523308883151</c:v>
                </c:pt>
                <c:pt idx="25">
                  <c:v>207.04359025710687</c:v>
                </c:pt>
                <c:pt idx="26">
                  <c:v>174.14808519452978</c:v>
                </c:pt>
                <c:pt idx="27">
                  <c:v>190.42334728862139</c:v>
                </c:pt>
                <c:pt idx="28">
                  <c:v>206.66621044559773</c:v>
                </c:pt>
                <c:pt idx="29">
                  <c:v>222.87958017562786</c:v>
                </c:pt>
                <c:pt idx="30">
                  <c:v>239.06590436046736</c:v>
                </c:pt>
                <c:pt idx="31">
                  <c:v>204.77907175916721</c:v>
                </c:pt>
                <c:pt idx="32">
                  <c:v>219.48839787126693</c:v>
                </c:pt>
                <c:pt idx="33">
                  <c:v>234.17508597432473</c:v>
                </c:pt>
                <c:pt idx="34">
                  <c:v>248.84075611692757</c:v>
                </c:pt>
                <c:pt idx="35">
                  <c:v>263.48682168593842</c:v>
                </c:pt>
                <c:pt idx="36">
                  <c:v>230.0348807182537</c:v>
                </c:pt>
                <c:pt idx="37">
                  <c:v>243.57848190120242</c:v>
                </c:pt>
                <c:pt idx="38">
                  <c:v>257.10496630927094</c:v>
                </c:pt>
                <c:pt idx="39">
                  <c:v>270.61536157536995</c:v>
                </c:pt>
                <c:pt idx="40">
                  <c:v>284.1105842971628</c:v>
                </c:pt>
                <c:pt idx="41">
                  <c:v>252.97362594481319</c:v>
                </c:pt>
                <c:pt idx="42">
                  <c:v>264.98792439409277</c:v>
                </c:pt>
                <c:pt idx="43">
                  <c:v>276.98994403187243</c:v>
                </c:pt>
                <c:pt idx="44">
                  <c:v>288.98029209880161</c:v>
                </c:pt>
                <c:pt idx="45">
                  <c:v>300.95952130477974</c:v>
                </c:pt>
                <c:pt idx="46">
                  <c:v>272.49058577637885</c:v>
                </c:pt>
                <c:pt idx="47">
                  <c:v>283.36123337871362</c:v>
                </c:pt>
                <c:pt idx="48">
                  <c:v>294.22254221033847</c:v>
                </c:pt>
                <c:pt idx="49">
                  <c:v>305.07490579191546</c:v>
                </c:pt>
                <c:pt idx="50">
                  <c:v>315.91868734548376</c:v>
                </c:pt>
                <c:pt idx="51">
                  <c:v>290.10380901652724</c:v>
                </c:pt>
                <c:pt idx="52">
                  <c:v>299.83692694209105</c:v>
                </c:pt>
                <c:pt idx="53">
                  <c:v>309.56300888159757</c:v>
                </c:pt>
                <c:pt idx="54">
                  <c:v>319.28230720978155</c:v>
                </c:pt>
                <c:pt idx="55">
                  <c:v>328.99505767197445</c:v>
                </c:pt>
                <c:pt idx="56">
                  <c:v>303.57854617810909</c:v>
                </c:pt>
                <c:pt idx="57">
                  <c:v>311.80651713592096</c:v>
                </c:pt>
                <c:pt idx="58">
                  <c:v>320.02967142825008</c:v>
                </c:pt>
                <c:pt idx="59">
                  <c:v>328.24815038016749</c:v>
                </c:pt>
                <c:pt idx="60">
                  <c:v>336.462087656405</c:v>
                </c:pt>
                <c:pt idx="61">
                  <c:v>314.04966717357337</c:v>
                </c:pt>
                <c:pt idx="62">
                  <c:v>321.52428406625791</c:v>
                </c:pt>
                <c:pt idx="63">
                  <c:v>328.99505767197456</c:v>
                </c:pt>
                <c:pt idx="64">
                  <c:v>336.462087656405</c:v>
                </c:pt>
                <c:pt idx="65">
                  <c:v>343.92546889640727</c:v>
                </c:pt>
                <c:pt idx="66">
                  <c:v>324.13948679547354</c:v>
                </c:pt>
                <c:pt idx="67">
                  <c:v>330.48876005573737</c:v>
                </c:pt>
                <c:pt idx="68">
                  <c:v>336.83534260693528</c:v>
                </c:pt>
                <c:pt idx="69">
                  <c:v>343.1792923554346</c:v>
                </c:pt>
                <c:pt idx="70">
                  <c:v>349.52066488969609</c:v>
                </c:pt>
                <c:pt idx="71">
                  <c:v>332.72903457884468</c:v>
                </c:pt>
                <c:pt idx="72">
                  <c:v>338.32827143043062</c:v>
                </c:pt>
                <c:pt idx="73">
                  <c:v>343.92546889640738</c:v>
                </c:pt>
                <c:pt idx="74">
                  <c:v>349.52066488969609</c:v>
                </c:pt>
                <c:pt idx="75">
                  <c:v>355.11389600890448</c:v>
                </c:pt>
                <c:pt idx="76">
                  <c:v>339.44787284177949</c:v>
                </c:pt>
                <c:pt idx="77">
                  <c:v>344.29854381894557</c:v>
                </c:pt>
                <c:pt idx="78">
                  <c:v>349.14771335092138</c:v>
                </c:pt>
                <c:pt idx="79">
                  <c:v>353.99540526070876</c:v>
                </c:pt>
                <c:pt idx="80">
                  <c:v>358.8416426647546</c:v>
                </c:pt>
                <c:pt idx="81">
                  <c:v>346.53680717558672</c:v>
                </c:pt>
                <c:pt idx="82">
                  <c:v>351.0123838279564</c:v>
                </c:pt>
                <c:pt idx="83">
                  <c:v>355.48670909410652</c:v>
                </c:pt>
                <c:pt idx="84">
                  <c:v>359.95980096859574</c:v>
                </c:pt>
                <c:pt idx="85">
                  <c:v>364.43167696167438</c:v>
                </c:pt>
                <c:pt idx="86">
                  <c:v>353.24970174806907</c:v>
                </c:pt>
                <c:pt idx="87">
                  <c:v>356.97787588797149</c:v>
                </c:pt>
                <c:pt idx="88">
                  <c:v>360.70519760433928</c:v>
                </c:pt>
                <c:pt idx="89">
                  <c:v>364.43167696167438</c:v>
                </c:pt>
                <c:pt idx="90">
                  <c:v>368.15732380156101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130" zoomScaleNormal="130" workbookViewId="0">
      <selection activeCell="F38" sqref="F3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34.340000000000003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24</v>
      </c>
      <c r="C9" s="35">
        <v>0.31</v>
      </c>
      <c r="D9" s="36">
        <f t="shared" ref="D9:D18" si="0">C9*$C$5</f>
        <v>10.6454</v>
      </c>
      <c r="E9" s="37">
        <v>10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0.26</v>
      </c>
      <c r="D10" s="36">
        <f t="shared" si="0"/>
        <v>8.9284000000000017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123</v>
      </c>
      <c r="C11" s="35">
        <v>0.03</v>
      </c>
      <c r="D11" s="36">
        <f t="shared" si="0"/>
        <v>1.0302</v>
      </c>
      <c r="E11" s="37">
        <v>18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36</v>
      </c>
      <c r="C12" s="35">
        <v>0.16</v>
      </c>
      <c r="D12" s="36">
        <f t="shared" si="0"/>
        <v>5.4944000000000006</v>
      </c>
      <c r="E12" s="37">
        <v>38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44</v>
      </c>
      <c r="C13" s="35">
        <v>0.06</v>
      </c>
      <c r="D13" s="36">
        <f t="shared" si="0"/>
        <v>2.0604</v>
      </c>
      <c r="E13" s="37">
        <v>45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13</v>
      </c>
      <c r="C14" s="35">
        <v>0.11</v>
      </c>
      <c r="D14" s="36">
        <f t="shared" si="0"/>
        <v>3.7774000000000005</v>
      </c>
      <c r="E14" s="37">
        <v>90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12</v>
      </c>
      <c r="C15" s="35">
        <v>7.0000000000000007E-2</v>
      </c>
      <c r="D15" s="36">
        <f t="shared" si="0"/>
        <v>2.4038000000000004</v>
      </c>
      <c r="E15" s="37">
        <v>115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34.340000000000003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Eucalyptus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10</v>
      </c>
      <c r="B36" s="63">
        <v>167</v>
      </c>
      <c r="C36" s="63">
        <v>1</v>
      </c>
      <c r="D36" s="63">
        <v>167</v>
      </c>
      <c r="E36" s="54"/>
      <c r="F36" s="54"/>
      <c r="G36" s="54">
        <v>1</v>
      </c>
      <c r="H36" s="93"/>
      <c r="I36" s="52">
        <f>IFERROR(B36/A36,"")</f>
        <v>16.7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93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93"/>
      <c r="F38" s="93"/>
      <c r="G38" s="93"/>
      <c r="H38" s="93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93"/>
      <c r="F39" s="93"/>
      <c r="G39" s="93"/>
      <c r="H39" s="93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93"/>
      <c r="F40" s="93"/>
      <c r="G40" s="93"/>
      <c r="H40" s="93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93"/>
      <c r="F41" s="93"/>
      <c r="G41" s="93"/>
      <c r="H41" s="93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93"/>
      <c r="F42" s="93"/>
      <c r="G42" s="93"/>
      <c r="H42" s="93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/>
      <c r="B43" s="63"/>
      <c r="C43" s="63"/>
      <c r="D43" s="63"/>
      <c r="E43" s="93"/>
      <c r="F43" s="93"/>
      <c r="G43" s="93"/>
      <c r="H43" s="93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/>
      <c r="B44" s="63"/>
      <c r="C44" s="63"/>
      <c r="D44" s="63"/>
      <c r="E44" s="93"/>
      <c r="F44" s="93"/>
      <c r="G44" s="93"/>
      <c r="H44" s="93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/>
      <c r="B45" s="63"/>
      <c r="C45" s="63"/>
      <c r="D45" s="63"/>
      <c r="E45" s="93"/>
      <c r="F45" s="93"/>
      <c r="G45" s="93"/>
      <c r="H45" s="93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/>
      <c r="B46" s="63"/>
      <c r="C46" s="63"/>
      <c r="D46" s="63"/>
      <c r="E46" s="93"/>
      <c r="F46" s="93"/>
      <c r="G46" s="93"/>
      <c r="H46" s="93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93"/>
      <c r="F47" s="93"/>
      <c r="G47" s="93"/>
      <c r="H47" s="93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68"/>
      <c r="F48" s="68"/>
      <c r="G48" s="68"/>
      <c r="H48" s="68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68"/>
      <c r="F49" s="68"/>
      <c r="G49" s="68"/>
      <c r="H49" s="68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63"/>
      <c r="C50" s="63"/>
      <c r="D50" s="63"/>
      <c r="E50" s="57"/>
      <c r="F50" s="57"/>
      <c r="G50" s="57"/>
      <c r="H50" s="57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/>
      <c r="B51" s="63"/>
      <c r="C51" s="63"/>
      <c r="D51" s="63"/>
      <c r="E51" s="57"/>
      <c r="F51" s="57"/>
      <c r="G51" s="57"/>
      <c r="H51" s="57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/>
      <c r="B52" s="63"/>
      <c r="C52" s="63"/>
      <c r="D52" s="63"/>
      <c r="E52" s="57"/>
      <c r="F52" s="57"/>
      <c r="G52" s="57"/>
      <c r="H52" s="57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/>
      <c r="B53" s="63"/>
      <c r="C53" s="63"/>
      <c r="D53" s="63"/>
      <c r="E53" s="57"/>
      <c r="F53" s="57"/>
      <c r="G53" s="57"/>
      <c r="H53" s="57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/>
      <c r="B54" s="63"/>
      <c r="C54" s="63"/>
      <c r="D54" s="63"/>
      <c r="E54" s="57"/>
      <c r="F54" s="57"/>
      <c r="G54" s="57"/>
      <c r="H54" s="57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/>
      <c r="B55" s="63"/>
      <c r="C55" s="63"/>
      <c r="D55" s="63"/>
      <c r="E55" s="57"/>
      <c r="F55" s="57"/>
      <c r="G55" s="57"/>
      <c r="H55" s="57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>
        <v>0.3</v>
      </c>
      <c r="G63" s="54">
        <v>0.7</v>
      </c>
      <c r="H63" s="54"/>
      <c r="I63" s="52">
        <f t="shared" ref="I63:I81" si="2"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>
        <v>0.5</v>
      </c>
      <c r="G64" s="54">
        <v>0.5</v>
      </c>
      <c r="H64" s="54"/>
      <c r="I64" s="52">
        <f t="shared" si="2"/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 t="shared" si="2"/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si="2"/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231</v>
      </c>
      <c r="C68" s="53">
        <v>7</v>
      </c>
      <c r="D68" s="5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Dorskamp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18</v>
      </c>
      <c r="B88" s="63">
        <v>268</v>
      </c>
      <c r="C88" s="63">
        <v>1</v>
      </c>
      <c r="D88" s="63">
        <v>268</v>
      </c>
      <c r="E88" s="54">
        <v>0.7</v>
      </c>
      <c r="F88" s="54"/>
      <c r="G88" s="54">
        <v>0.3</v>
      </c>
      <c r="H88" s="93"/>
      <c r="I88" s="56">
        <f>IFERROR(B88/A88,"")</f>
        <v>14.888888888888889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maritime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13</v>
      </c>
      <c r="B114" s="63">
        <v>75</v>
      </c>
      <c r="C114" s="53">
        <v>1</v>
      </c>
      <c r="D114" s="63">
        <v>15</v>
      </c>
      <c r="E114" s="54"/>
      <c r="F114" s="54"/>
      <c r="G114" s="54"/>
      <c r="H114" s="54">
        <v>1</v>
      </c>
      <c r="I114" s="56">
        <f>IFERROR(B114/A114,"")</f>
        <v>5.7692307692307692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19</v>
      </c>
      <c r="B115" s="63">
        <v>163</v>
      </c>
      <c r="C115" s="53">
        <v>2</v>
      </c>
      <c r="D115" s="63">
        <v>40</v>
      </c>
      <c r="E115" s="54">
        <v>0.1</v>
      </c>
      <c r="F115" s="54">
        <v>0.2</v>
      </c>
      <c r="G115" s="54">
        <v>0.7</v>
      </c>
      <c r="H115" s="54"/>
      <c r="I115" s="56">
        <f t="shared" ref="I115:I133" si="4">IF(A115&lt;&gt;0,(B115-(B114-D114))/(A115-A114),"")</f>
        <v>17.166666666666668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222</v>
      </c>
      <c r="C116" s="53">
        <v>3</v>
      </c>
      <c r="D116" s="63">
        <v>54</v>
      </c>
      <c r="E116" s="54">
        <v>0.5</v>
      </c>
      <c r="F116" s="54">
        <v>0.2</v>
      </c>
      <c r="G116" s="54">
        <v>0.3</v>
      </c>
      <c r="H116" s="54"/>
      <c r="I116" s="56">
        <f t="shared" si="4"/>
        <v>16.5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237</v>
      </c>
      <c r="C117" s="53">
        <v>4</v>
      </c>
      <c r="D117" s="63">
        <v>0</v>
      </c>
      <c r="E117" s="54"/>
      <c r="F117" s="54"/>
      <c r="G117" s="54"/>
      <c r="H117" s="54"/>
      <c r="I117" s="56">
        <f t="shared" si="4"/>
        <v>13.8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38</v>
      </c>
      <c r="B118" s="63">
        <v>338</v>
      </c>
      <c r="C118" s="53">
        <v>5</v>
      </c>
      <c r="D118" s="63">
        <v>338</v>
      </c>
      <c r="E118" s="54"/>
      <c r="F118" s="54"/>
      <c r="G118" s="54"/>
      <c r="H118" s="54"/>
      <c r="I118" s="56">
        <f t="shared" si="4"/>
        <v>12.625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Robinier faux-acacia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5</v>
      </c>
      <c r="B140" s="63">
        <v>34</v>
      </c>
      <c r="C140" s="53">
        <v>1</v>
      </c>
      <c r="D140" s="63">
        <v>6</v>
      </c>
      <c r="E140" s="54"/>
      <c r="F140" s="54"/>
      <c r="G140" s="54"/>
      <c r="H140" s="54">
        <v>1</v>
      </c>
      <c r="I140" s="60">
        <f>IFERROR(B140/A140,"")</f>
        <v>6.8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10</v>
      </c>
      <c r="B141" s="63">
        <v>99</v>
      </c>
      <c r="C141" s="53">
        <v>2</v>
      </c>
      <c r="D141" s="63">
        <v>28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14.2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15</v>
      </c>
      <c r="B142" s="63">
        <v>140</v>
      </c>
      <c r="C142" s="53">
        <v>3</v>
      </c>
      <c r="D142" s="63">
        <v>23</v>
      </c>
      <c r="E142" s="54">
        <v>0.2</v>
      </c>
      <c r="F142" s="54"/>
      <c r="G142" s="54"/>
      <c r="H142" s="54">
        <v>0.8</v>
      </c>
      <c r="I142" s="60">
        <f t="shared" si="5"/>
        <v>13.8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20</v>
      </c>
      <c r="B143" s="63">
        <v>180</v>
      </c>
      <c r="C143" s="53">
        <v>4</v>
      </c>
      <c r="D143" s="63">
        <v>18</v>
      </c>
      <c r="E143" s="54">
        <v>0.8</v>
      </c>
      <c r="F143" s="54"/>
      <c r="G143" s="54"/>
      <c r="H143" s="54">
        <v>0.2</v>
      </c>
      <c r="I143" s="60">
        <f t="shared" si="5"/>
        <v>12.6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25</v>
      </c>
      <c r="B144" s="63">
        <v>214</v>
      </c>
      <c r="C144" s="53">
        <v>5</v>
      </c>
      <c r="D144" s="63">
        <v>14</v>
      </c>
      <c r="E144" s="54">
        <v>0.8</v>
      </c>
      <c r="F144" s="54"/>
      <c r="G144" s="54"/>
      <c r="H144" s="54">
        <v>0.2</v>
      </c>
      <c r="I144" s="60">
        <f t="shared" si="5"/>
        <v>10.4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30</v>
      </c>
      <c r="B145" s="63">
        <v>243</v>
      </c>
      <c r="C145" s="53">
        <v>6</v>
      </c>
      <c r="D145" s="63">
        <v>11</v>
      </c>
      <c r="E145" s="54">
        <v>0.9</v>
      </c>
      <c r="F145" s="54"/>
      <c r="G145" s="54"/>
      <c r="H145" s="54">
        <v>0.1</v>
      </c>
      <c r="I145" s="60">
        <f t="shared" si="5"/>
        <v>8.6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35</v>
      </c>
      <c r="B146" s="63">
        <v>267</v>
      </c>
      <c r="C146" s="53">
        <v>7</v>
      </c>
      <c r="D146" s="63">
        <v>9</v>
      </c>
      <c r="E146" s="54"/>
      <c r="F146" s="54"/>
      <c r="G146" s="54"/>
      <c r="H146" s="54"/>
      <c r="I146" s="60">
        <f t="shared" si="5"/>
        <v>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40</v>
      </c>
      <c r="B147" s="63">
        <v>289</v>
      </c>
      <c r="C147" s="53">
        <v>8</v>
      </c>
      <c r="D147" s="63">
        <v>7</v>
      </c>
      <c r="E147" s="54"/>
      <c r="F147" s="54"/>
      <c r="G147" s="54"/>
      <c r="H147" s="54"/>
      <c r="I147" s="60">
        <f>IF(A147&lt;&gt;0,(B147-(B146-D146))/(A147-A146),"")</f>
        <v>6.2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45</v>
      </c>
      <c r="B148" s="63">
        <v>312</v>
      </c>
      <c r="C148" s="53">
        <v>9</v>
      </c>
      <c r="D148" s="63">
        <v>312</v>
      </c>
      <c r="E148" s="54"/>
      <c r="F148" s="54"/>
      <c r="G148" s="54"/>
      <c r="H148" s="54"/>
      <c r="I148" s="60">
        <f t="shared" si="5"/>
        <v>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Chêne rouge d'Amérique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v>79</v>
      </c>
      <c r="C166" s="63">
        <v>1</v>
      </c>
      <c r="D166" s="63">
        <v>17</v>
      </c>
      <c r="E166" s="54"/>
      <c r="F166" s="54"/>
      <c r="G166" s="54"/>
      <c r="H166" s="54">
        <v>1</v>
      </c>
      <c r="I166" s="52">
        <f>IFERROR(B166/A166,"")</f>
        <v>3.95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v>107</v>
      </c>
      <c r="C167" s="63">
        <v>2</v>
      </c>
      <c r="D167" s="63">
        <v>26</v>
      </c>
      <c r="E167" s="54"/>
      <c r="F167" s="54">
        <v>0.5</v>
      </c>
      <c r="G167" s="54">
        <v>0.5</v>
      </c>
      <c r="H167" s="54"/>
      <c r="I167" s="52">
        <f t="shared" ref="I167:I185" si="6">IF(A167&lt;&gt;0,(B167-(B166-D166))/(A167-A166),"")</f>
        <v>9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v>124</v>
      </c>
      <c r="C168" s="63">
        <v>3</v>
      </c>
      <c r="D168" s="63">
        <v>26</v>
      </c>
      <c r="E168" s="54"/>
      <c r="F168" s="54">
        <v>0.6</v>
      </c>
      <c r="G168" s="54">
        <v>0.4</v>
      </c>
      <c r="H168" s="54"/>
      <c r="I168" s="52">
        <f t="shared" si="6"/>
        <v>8.6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v>137</v>
      </c>
      <c r="C169" s="63">
        <v>4</v>
      </c>
      <c r="D169" s="63">
        <v>25</v>
      </c>
      <c r="E169" s="54"/>
      <c r="F169" s="54"/>
      <c r="G169" s="54"/>
      <c r="H169" s="54"/>
      <c r="I169" s="52">
        <f t="shared" si="6"/>
        <v>7.8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v>148</v>
      </c>
      <c r="C170" s="63">
        <v>5</v>
      </c>
      <c r="D170" s="63">
        <v>23</v>
      </c>
      <c r="E170" s="54"/>
      <c r="F170" s="54"/>
      <c r="G170" s="54"/>
      <c r="H170" s="54"/>
      <c r="I170" s="52">
        <f t="shared" si="6"/>
        <v>7.2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v>157</v>
      </c>
      <c r="C171" s="63">
        <v>6</v>
      </c>
      <c r="D171" s="63">
        <v>21</v>
      </c>
      <c r="E171" s="54"/>
      <c r="F171" s="54"/>
      <c r="G171" s="54"/>
      <c r="H171" s="54"/>
      <c r="I171" s="52">
        <f t="shared" si="6"/>
        <v>6.4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v>165</v>
      </c>
      <c r="C172" s="63">
        <v>7</v>
      </c>
      <c r="D172" s="63">
        <v>19</v>
      </c>
      <c r="E172" s="54"/>
      <c r="F172" s="54"/>
      <c r="G172" s="54"/>
      <c r="H172" s="54"/>
      <c r="I172" s="52">
        <f t="shared" si="6"/>
        <v>5.8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53">
        <v>172</v>
      </c>
      <c r="C173" s="53">
        <v>8</v>
      </c>
      <c r="D173" s="53">
        <v>18</v>
      </c>
      <c r="E173" s="54"/>
      <c r="F173" s="54"/>
      <c r="G173" s="54"/>
      <c r="H173" s="54"/>
      <c r="I173" s="52">
        <f t="shared" si="6"/>
        <v>5.2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176</v>
      </c>
      <c r="C174" s="53">
        <v>9</v>
      </c>
      <c r="D174" s="53">
        <v>16</v>
      </c>
      <c r="E174" s="54"/>
      <c r="F174" s="54"/>
      <c r="G174" s="54"/>
      <c r="H174" s="54"/>
      <c r="I174" s="52">
        <f t="shared" si="6"/>
        <v>4.4000000000000004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180</v>
      </c>
      <c r="C175" s="53">
        <v>10</v>
      </c>
      <c r="D175" s="53">
        <v>14</v>
      </c>
      <c r="E175" s="54"/>
      <c r="F175" s="54"/>
      <c r="G175" s="54"/>
      <c r="H175" s="54"/>
      <c r="I175" s="52">
        <f t="shared" si="6"/>
        <v>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183</v>
      </c>
      <c r="C176" s="53">
        <v>11</v>
      </c>
      <c r="D176" s="53">
        <v>12</v>
      </c>
      <c r="E176" s="54"/>
      <c r="F176" s="54"/>
      <c r="G176" s="54"/>
      <c r="H176" s="54"/>
      <c r="I176" s="52">
        <f t="shared" si="6"/>
        <v>3.4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186</v>
      </c>
      <c r="C177" s="53">
        <v>12</v>
      </c>
      <c r="D177" s="53">
        <v>11</v>
      </c>
      <c r="E177" s="54"/>
      <c r="F177" s="54"/>
      <c r="G177" s="54"/>
      <c r="H177" s="54"/>
      <c r="I177" s="52">
        <f t="shared" si="6"/>
        <v>3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v>188</v>
      </c>
      <c r="C178" s="53">
        <v>13</v>
      </c>
      <c r="D178" s="53">
        <v>9</v>
      </c>
      <c r="E178" s="54"/>
      <c r="F178" s="54"/>
      <c r="G178" s="54"/>
      <c r="H178" s="54"/>
      <c r="I178" s="52">
        <f t="shared" si="6"/>
        <v>2.6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85</v>
      </c>
      <c r="B179" s="53">
        <v>191</v>
      </c>
      <c r="C179" s="53">
        <v>14</v>
      </c>
      <c r="D179" s="53">
        <v>8</v>
      </c>
      <c r="E179" s="54"/>
      <c r="F179" s="54"/>
      <c r="G179" s="54"/>
      <c r="H179" s="54"/>
      <c r="I179" s="52">
        <f t="shared" si="6"/>
        <v>2.4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90</v>
      </c>
      <c r="B180" s="53">
        <v>193</v>
      </c>
      <c r="C180" s="53">
        <v>15</v>
      </c>
      <c r="D180" s="53">
        <v>193</v>
      </c>
      <c r="E180" s="54"/>
      <c r="F180" s="54"/>
      <c r="G180" s="54"/>
      <c r="H180" s="54"/>
      <c r="I180" s="52">
        <f t="shared" si="6"/>
        <v>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Chêne pubescent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v>73</v>
      </c>
      <c r="C192" s="63">
        <v>1</v>
      </c>
      <c r="D192" s="63">
        <v>6</v>
      </c>
      <c r="E192" s="54"/>
      <c r="F192" s="54"/>
      <c r="G192" s="54"/>
      <c r="H192" s="54">
        <v>1</v>
      </c>
      <c r="I192" s="52">
        <f>IFERROR(B192/A192,"")</f>
        <v>3.65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v>103</v>
      </c>
      <c r="C193" s="63">
        <v>2</v>
      </c>
      <c r="D193" s="63">
        <v>28</v>
      </c>
      <c r="E193" s="54"/>
      <c r="F193" s="54">
        <v>0.3</v>
      </c>
      <c r="G193" s="54">
        <v>0.7</v>
      </c>
      <c r="H193" s="54"/>
      <c r="I193" s="52">
        <f t="shared" ref="I193:I211" si="7">IF(A193&lt;&gt;0,(B193-(B192-D192))/(A193-A192),"")</f>
        <v>7.2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v>121</v>
      </c>
      <c r="C194" s="63">
        <v>3</v>
      </c>
      <c r="D194" s="63">
        <v>28</v>
      </c>
      <c r="E194" s="54"/>
      <c r="F194" s="54">
        <v>0.5</v>
      </c>
      <c r="G194" s="54">
        <v>0.5</v>
      </c>
      <c r="H194" s="54"/>
      <c r="I194" s="52">
        <f t="shared" si="7"/>
        <v>9.1999999999999993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3">
        <v>147</v>
      </c>
      <c r="C195" s="63">
        <v>4</v>
      </c>
      <c r="D195" s="63">
        <v>28</v>
      </c>
      <c r="E195" s="54"/>
      <c r="F195" s="54"/>
      <c r="G195" s="54"/>
      <c r="H195" s="54"/>
      <c r="I195" s="52">
        <f t="shared" si="7"/>
        <v>10.8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3">
        <v>175</v>
      </c>
      <c r="C196" s="63">
        <v>5</v>
      </c>
      <c r="D196" s="63">
        <v>28</v>
      </c>
      <c r="E196" s="54"/>
      <c r="F196" s="54"/>
      <c r="G196" s="54"/>
      <c r="H196" s="54"/>
      <c r="I196" s="52">
        <f t="shared" si="7"/>
        <v>11.2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3">
        <v>204</v>
      </c>
      <c r="C197" s="63">
        <v>6</v>
      </c>
      <c r="D197" s="63">
        <v>28</v>
      </c>
      <c r="E197" s="54"/>
      <c r="F197" s="54"/>
      <c r="G197" s="54"/>
      <c r="H197" s="54"/>
      <c r="I197" s="52">
        <f t="shared" si="7"/>
        <v>11.4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53">
        <v>231</v>
      </c>
      <c r="C198" s="53">
        <v>7</v>
      </c>
      <c r="D198" s="53">
        <v>28</v>
      </c>
      <c r="E198" s="54"/>
      <c r="F198" s="54"/>
      <c r="G198" s="54"/>
      <c r="H198" s="54"/>
      <c r="I198" s="52">
        <f t="shared" si="7"/>
        <v>11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v>254</v>
      </c>
      <c r="C199" s="53">
        <v>8</v>
      </c>
      <c r="D199" s="53">
        <v>28</v>
      </c>
      <c r="E199" s="54"/>
      <c r="F199" s="54"/>
      <c r="G199" s="54"/>
      <c r="H199" s="54"/>
      <c r="I199" s="52">
        <f t="shared" si="7"/>
        <v>10.199999999999999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273</v>
      </c>
      <c r="C200" s="53">
        <v>9</v>
      </c>
      <c r="D200" s="53">
        <v>28</v>
      </c>
      <c r="E200" s="54"/>
      <c r="F200" s="54"/>
      <c r="G200" s="54"/>
      <c r="H200" s="54"/>
      <c r="I200" s="52">
        <f t="shared" si="7"/>
        <v>9.4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289</v>
      </c>
      <c r="C201" s="53">
        <v>10</v>
      </c>
      <c r="D201" s="53">
        <v>28</v>
      </c>
      <c r="E201" s="54"/>
      <c r="F201" s="54"/>
      <c r="G201" s="54"/>
      <c r="H201" s="54"/>
      <c r="I201" s="52">
        <f t="shared" si="7"/>
        <v>8.8000000000000007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302</v>
      </c>
      <c r="C202" s="53">
        <v>11</v>
      </c>
      <c r="D202" s="53">
        <v>28</v>
      </c>
      <c r="E202" s="54"/>
      <c r="F202" s="54"/>
      <c r="G202" s="54"/>
      <c r="H202" s="54"/>
      <c r="I202" s="52">
        <f t="shared" si="7"/>
        <v>8.1999999999999993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312</v>
      </c>
      <c r="C203" s="53">
        <v>12</v>
      </c>
      <c r="D203" s="53">
        <v>28</v>
      </c>
      <c r="E203" s="54"/>
      <c r="F203" s="54"/>
      <c r="G203" s="54"/>
      <c r="H203" s="54"/>
      <c r="I203" s="52">
        <f t="shared" si="7"/>
        <v>7.6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320</v>
      </c>
      <c r="C204" s="53">
        <v>13</v>
      </c>
      <c r="D204" s="53">
        <v>28</v>
      </c>
      <c r="E204" s="54"/>
      <c r="F204" s="54"/>
      <c r="G204" s="54"/>
      <c r="H204" s="54"/>
      <c r="I204" s="52">
        <f t="shared" si="7"/>
        <v>7.2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85</v>
      </c>
      <c r="B205" s="53">
        <v>326</v>
      </c>
      <c r="C205" s="53">
        <v>14</v>
      </c>
      <c r="D205" s="53">
        <v>28</v>
      </c>
      <c r="E205" s="54"/>
      <c r="F205" s="54"/>
      <c r="G205" s="54"/>
      <c r="H205" s="54"/>
      <c r="I205" s="52">
        <f t="shared" si="7"/>
        <v>6.8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90</v>
      </c>
      <c r="B206" s="53">
        <v>330</v>
      </c>
      <c r="C206" s="53">
        <v>15</v>
      </c>
      <c r="D206" s="53">
        <v>28</v>
      </c>
      <c r="E206" s="54"/>
      <c r="F206" s="54"/>
      <c r="G206" s="54"/>
      <c r="H206" s="54"/>
      <c r="I206" s="52">
        <f t="shared" si="7"/>
        <v>6.4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95</v>
      </c>
      <c r="B207" s="53">
        <v>332</v>
      </c>
      <c r="C207" s="53">
        <v>16</v>
      </c>
      <c r="D207" s="53">
        <v>28</v>
      </c>
      <c r="E207" s="54"/>
      <c r="F207" s="54"/>
      <c r="G207" s="54"/>
      <c r="H207" s="54"/>
      <c r="I207" s="52">
        <f t="shared" si="7"/>
        <v>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100</v>
      </c>
      <c r="B208" s="53">
        <v>333</v>
      </c>
      <c r="C208" s="53">
        <v>17</v>
      </c>
      <c r="D208" s="53">
        <v>27</v>
      </c>
      <c r="E208" s="54"/>
      <c r="F208" s="54"/>
      <c r="G208" s="54"/>
      <c r="H208" s="54"/>
      <c r="I208" s="52">
        <f t="shared" si="7"/>
        <v>5.8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105</v>
      </c>
      <c r="B209" s="53">
        <v>333</v>
      </c>
      <c r="C209" s="53">
        <v>18</v>
      </c>
      <c r="D209" s="53">
        <v>26</v>
      </c>
      <c r="E209" s="54"/>
      <c r="F209" s="54"/>
      <c r="G209" s="54"/>
      <c r="H209" s="54"/>
      <c r="I209" s="52">
        <f t="shared" si="7"/>
        <v>5.4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110</v>
      </c>
      <c r="B210" s="53">
        <v>332</v>
      </c>
      <c r="C210" s="53">
        <v>19</v>
      </c>
      <c r="D210" s="53">
        <v>25</v>
      </c>
      <c r="E210" s="54"/>
      <c r="F210" s="54"/>
      <c r="G210" s="54"/>
      <c r="H210" s="54"/>
      <c r="I210" s="52">
        <f t="shared" si="7"/>
        <v>5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115</v>
      </c>
      <c r="B211" s="53">
        <v>330</v>
      </c>
      <c r="C211" s="53">
        <v>20</v>
      </c>
      <c r="D211" s="53">
        <v>330</v>
      </c>
      <c r="E211" s="54"/>
      <c r="F211" s="54"/>
      <c r="G211" s="54"/>
      <c r="H211" s="54"/>
      <c r="I211" s="52">
        <f t="shared" si="7"/>
        <v>4.5999999999999996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7" zoomScale="115" zoomScaleNormal="115" workbookViewId="0">
      <selection activeCell="C29" sqref="C2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127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0.82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0.18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Eucalyptus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sessile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Peuplier Dorskamp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Pin maritime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Robinier faux-acacia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Chêne rouge d'Amérique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Chêne pubescent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4.0999999999999996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15.033333333333331</v>
      </c>
      <c r="H3" s="70">
        <f>(B3+E3+F3)*44/12+(C3+D3)*0.475*44/12</f>
        <v>196.53333333333333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181.5</v>
      </c>
      <c r="S3" s="62">
        <f ca="1">AVERAGE(OFFSET($R$3,0,0,'Données projet'!$E$9+1,1))-AVERAGE(OFFSET($H$3,0,0,'Données projet'!$E$9+1,1))</f>
        <v>70.794576398719499</v>
      </c>
      <c r="T3" s="62">
        <f>IF('Données projet'!E9&gt;30,$R$33-$H$33,LOOKUP('Données projet'!$E$9,$A$3:$A$203,R3:R203)-LOOKUP('Données projet'!$E$9,$A$3:$A$203,$H$3:$H$203))</f>
        <v>328.91236364911629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181.5</v>
      </c>
      <c r="AN3" s="62">
        <f ca="1">AVERAGE(OFFSET($AM$3,0,0,'Données projet'!$E$10+1,1))-AVERAGE(OFFSET($H$3,0,0,'Données projet'!$E$10+1,1))</f>
        <v>466.75323833427217</v>
      </c>
      <c r="AO3" s="62">
        <f>IF('Données projet'!E10&gt;30,$AM$33-$H$33,LOOKUP('Données projet'!$E$10,$A$3:$A$203,AM3:AM203)-LOOKUP('Données projet'!$E$10,$A$3:$A$203,$H$3:$H$203))</f>
        <v>293.88550076209378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181.5</v>
      </c>
      <c r="BI3" s="62">
        <f ca="1">AVERAGE(OFFSET($BH$3,0,0,'Données projet'!$E$11+1,1))-AVERAGE(OFFSET($H$3,0,0,'Données projet'!$E$11+1,1))</f>
        <v>68.47741055388687</v>
      </c>
      <c r="BJ3" s="62">
        <f>IF('Données projet'!E11&gt;30,$BH$33-$H$33,LOOKUP('Données projet'!$E$11,$A$3:$A$203,BH3:BH203)-LOOKUP('Données projet'!$E$11,$A$3:$A$203,$H$3:$H$203))</f>
        <v>335.34467252166542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181.5</v>
      </c>
      <c r="CD3" s="62">
        <f ca="1">AVERAGE(OFFSET($CC$3,0,0,'Données projet'!$E$12+1,1))-AVERAGE(OFFSET($H$3,0,0,'Données projet'!$E$12+1,1))</f>
        <v>211.76609132110815</v>
      </c>
      <c r="CE3" s="62">
        <f>IF('Données projet'!E12&gt;30,$CC$33-$H$33,LOOKUP('Données projet'!$E$12,$A$3:$A$203,CC3:CC203)-LOOKUP('Données projet'!$E$12,$A$3:$A$203,$H$3:$H$203))</f>
        <v>363.07965692095752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181.5</v>
      </c>
      <c r="CY3" s="62">
        <f ca="1">AVERAGE(OFFSET($CX$3,0,0,'Données projet'!$E$13+1,1))-AVERAGE(OFFSET($H$3,0,0,'Données projet'!$E$13+1,1))</f>
        <v>374.91250349988451</v>
      </c>
      <c r="CZ3" s="62">
        <f>IF('Données projet'!E13&gt;30,$CX$33-$H$33,LOOKUP('Données projet'!$E$13,$A$3:$A$203,CX3:CX203)-LOOKUP('Données projet'!$E$13,$A$3:$A$203,$H$3:$H$203))</f>
        <v>529.46825265662869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181.5</v>
      </c>
      <c r="DT3" s="62">
        <f ca="1">AVERAGE(OFFSET($DS$3,0,0,'Données projet'!$E$14+1,1))-AVERAGE(OFFSET($H$3,0,0,'Données projet'!$E$14+1,1))</f>
        <v>289.18543665577761</v>
      </c>
      <c r="DU3" s="62">
        <f>IF('Données projet'!E14&gt;30,$DS$33-$H$33,LOOKUP('Données projet'!$E$14,$A$3:$A$203,DS3:DS203)-LOOKUP('Données projet'!$E$14,$A$3:$A$203,$H$3:$H$203))</f>
        <v>291.40065947222843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181.5</v>
      </c>
      <c r="EO3" s="62">
        <f ca="1">AVERAGE(OFFSET($EN$3,0,0,'Données projet'!$E$15+1,1))-AVERAGE(OFFSET($H$3,0,0,'Données projet'!$E$15+1,1))</f>
        <v>514.72748286045442</v>
      </c>
      <c r="EP3" s="62">
        <f>IF('Données projet'!E15&gt;30,$EN$33-$H$33,LOOKUP('Données projet'!$E$15,$A$3:$A$203,EN3:EN203)-LOOKUP('Données projet'!$E$15,$A$3:$A$203,$H$3:$H$203))</f>
        <v>322.28702110656116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49.5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4.0999999999999996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15.033333333333331</v>
      </c>
      <c r="H4" s="70">
        <f t="shared" ref="H4:H67" si="1">(B4+E4+F4)*44/12+(C4+D4)*0.475*44/12</f>
        <v>196.53333333333333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16.7</v>
      </c>
      <c r="N4" s="14">
        <f>IF('Données projet'!$A$36&gt;35,N3+M4-V3,IF(A4&lt;'Données projet'!$A$36,$K$205^A4,IF(A4='Données projet'!$A$36,'Données projet'!$B$36,N3+M4-V3)))</f>
        <v>1.668290386219033</v>
      </c>
      <c r="O4" s="14">
        <f>N4*VLOOKUP('Données projet'!$B$9,Paramètres!$A$1:$I$89,3,0)*VLOOKUP('Données projet'!$B$9,Paramètres!$A$1:$I$89,5,0)</f>
        <v>1.4574184814009474</v>
      </c>
      <c r="P4" s="14">
        <f>EXP(-1.0587+0.8836*LN(O4)+0.284)</f>
        <v>0.64282850729834151</v>
      </c>
      <c r="Q4" s="22">
        <f t="shared" ref="Q4:Q34" si="2">(O4+P4)*0.475*44/12</f>
        <v>3.6579301719845945</v>
      </c>
      <c r="R4" s="62">
        <f t="shared" si="0"/>
        <v>187.68412601338215</v>
      </c>
      <c r="S4" s="62">
        <f ca="1">AVERAGE(OFFSET($R$3,0,0,'Données projet'!$E$9+1,1))-AVERAGE(OFFSET($H$3,0,0,'Données projet'!$E$9+1,1))</f>
        <v>70.794576398719499</v>
      </c>
      <c r="T4" s="62">
        <f>$T$3</f>
        <v>328.91236364911629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1.1212920291467359</v>
      </c>
      <c r="AK4" s="14">
        <f>EXP(-1.0587+0.8836*LN(AJ4)+0.284)</f>
        <v>0.50989827066551541</v>
      </c>
      <c r="AL4" s="22">
        <f t="shared" ref="AL4:AL67" si="4">(AJ4+AK4)*0.475*44/12</f>
        <v>2.8409897721730037</v>
      </c>
      <c r="AM4" s="62">
        <f t="shared" ref="AM4:AM67" si="5">AL4+(AD4+AE4)*44/12</f>
        <v>186.86718561357057</v>
      </c>
      <c r="AN4" s="62">
        <f ca="1">AVERAGE(OFFSET($AM$3,0,0,'Données projet'!$E$10+1,1))-AVERAGE(OFFSET($H$3,0,0,'Données projet'!$E$10+1,1))</f>
        <v>466.75323833427217</v>
      </c>
      <c r="AO4" s="62">
        <f>$AO$3</f>
        <v>293.88550076209378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14.888888888888889</v>
      </c>
      <c r="BD4" s="13">
        <f>IF('Données projet'!$A$88&gt;35,BD3+BC4-BL3,IF(A4&lt;'Données projet'!$A$88,$BA$205^A4,IF(A4='Données projet'!$A$88,'Données projet'!$B$88,BD3+BC4-BL3)))</f>
        <v>1.3642575862360187</v>
      </c>
      <c r="BE4" s="14">
        <f>BD4*VLOOKUP('Données projet'!$B$11,Paramètres!$A$1:$I$89,3,0)*VLOOKUP('Données projet'!$B$11,Paramètres!$A$1:$I$89,5,0)</f>
        <v>0.71508925640147158</v>
      </c>
      <c r="BF4" s="14">
        <f>EXP(-1.0587+0.8836*LN(BE4)+0.284)</f>
        <v>0.34266108412460855</v>
      </c>
      <c r="BG4" s="22">
        <f t="shared" ref="BG4:BG67" si="7">(BE4+BF4)*0.475*44/12</f>
        <v>1.8422485097495895</v>
      </c>
      <c r="BH4" s="62">
        <f t="shared" ref="BH4:BH67" si="8">BG4+(AY4+AZ4)*44/12</f>
        <v>185.86844435114716</v>
      </c>
      <c r="BI4" s="62">
        <f ca="1">AVERAGE(OFFSET($BH$3,0,0,'Données projet'!$E$11+1,1))-AVERAGE(OFFSET($H$3,0,0,'Données projet'!$E$11+1,1))</f>
        <v>68.47741055388687</v>
      </c>
      <c r="BJ4" s="62">
        <f>$BJ$3</f>
        <v>335.34467252166542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5.7692307692307692</v>
      </c>
      <c r="BY4" s="13">
        <f>IF('Données projet'!$A$114&gt;35,BY3+BX4-CG3,IF(A4&lt;'Données projet'!$A$114,$BV$205^A4,IF(A4='Données projet'!$A$114,'Données projet'!$B$114,BY3+BX4-CG3)))</f>
        <v>1.3939124009120489</v>
      </c>
      <c r="BZ4" s="14">
        <f>BY4*VLOOKUP('Données projet'!$B$12,Paramètres!$A$1:$I$89,3,0)*VLOOKUP('Données projet'!$B$12,Paramètres!$A$1:$I$89,5,0)</f>
        <v>0.83355961574540538</v>
      </c>
      <c r="CA4" s="14">
        <f>EXP(-1.0587+0.8836*LN(BZ4)+0.284)</f>
        <v>0.39236630327500827</v>
      </c>
      <c r="CB4" s="22">
        <f t="shared" ref="CB4:CB67" si="10">(BZ4+CA4)*0.475*44/12</f>
        <v>2.1351543089605536</v>
      </c>
      <c r="CC4" s="62">
        <f t="shared" ref="CC4:CC67" si="11">CB4+(BT4+BU4)*44/12</f>
        <v>186.16135015035812</v>
      </c>
      <c r="CD4" s="62">
        <f ca="1">AVERAGE(OFFSET($CC$3,0,0,'Données projet'!$E$12+1,1))-AVERAGE(OFFSET($H$3,0,0,'Données projet'!$E$12+1,1))</f>
        <v>211.76609132110815</v>
      </c>
      <c r="CE4" s="62">
        <f>$CE$3</f>
        <v>363.07965692095752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6.8</v>
      </c>
      <c r="CT4" s="13">
        <f>IF('Données projet'!$A$140&gt;35,CT3+CS4-DB3,IF(A4&lt;'Données projet'!$A$140,$CQ$205^A4,IF(A4='Données projet'!$A$140,'Données projet'!$B$140,CT3+CS4-DB3)))</f>
        <v>2.0243974584998852</v>
      </c>
      <c r="CU4" s="18">
        <f>CT4*VLOOKUP('Données projet'!$B$13,Paramètres!$A$1:$I$89,3,0)*VLOOKUP('Données projet'!$B$13,Paramètres!$A$1:$I$89,5,0)</f>
        <v>1.8316748204506961</v>
      </c>
      <c r="CV4" s="14">
        <f>EXP(-1.0587+0.8836*LN(CU4)+0.284)</f>
        <v>0.78669228172688432</v>
      </c>
      <c r="CW4" s="22">
        <f t="shared" ref="CW4:CW67" si="13">(CU4+CV4)*0.475*44/12</f>
        <v>4.5603227029592857</v>
      </c>
      <c r="CX4" s="62">
        <f t="shared" ref="CX4:CX67" si="14">CW4+(CO4+CP4)*44/12</f>
        <v>188.58651854435686</v>
      </c>
      <c r="CY4" s="62">
        <f ca="1">AVERAGE(OFFSET($CX$3,0,0,'Données projet'!$E$13+1,1))-AVERAGE(OFFSET($H$3,0,0,'Données projet'!$E$13+1,1))</f>
        <v>374.91250349988451</v>
      </c>
      <c r="CZ4" s="62">
        <f>$CZ$3</f>
        <v>529.46825265662869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3.95</v>
      </c>
      <c r="DO4" s="13">
        <f>IF('Données projet'!$A$166&gt;35,DO3+DN4-DW3,IF(A4&lt;'Données projet'!$A$166,$DL$205^A4,IF(A4='Données projet'!$A$166,'Données projet'!$B$166,DO3+DN4-DW3)))</f>
        <v>1.2441746677543575</v>
      </c>
      <c r="DP4" s="18">
        <f>DO4*VLOOKUP('Données projet'!$B$14,Paramètres!$A$1:$I$89,3,0)*VLOOKUP('Données projet'!$B$14,Paramètres!$A$1:$I$89,5,0)</f>
        <v>1.0869109897502069</v>
      </c>
      <c r="DQ4" s="14">
        <f>EXP(-1.0587+0.8836*LN(DP4)+0.284)</f>
        <v>0.49605869398208868</v>
      </c>
      <c r="DR4" s="22">
        <f t="shared" ref="DR4:DR67" si="16">(DP4+DQ4)*0.475*44/12</f>
        <v>2.7570055325004148</v>
      </c>
      <c r="DS4" s="62">
        <f t="shared" ref="DS4:DS67" si="17">DR4+(DJ4+DK4)*44/12</f>
        <v>186.78320137389798</v>
      </c>
      <c r="DT4" s="62">
        <f ca="1">AVERAGE(OFFSET($DS$3,0,0,'Données projet'!$E$14+1,1))-AVERAGE(OFFSET($H$3,0,0,'Données projet'!$E$14+1,1))</f>
        <v>289.18543665577761</v>
      </c>
      <c r="DU4" s="62">
        <f>$DU$3</f>
        <v>291.40065947222843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3.65</v>
      </c>
      <c r="EJ4" s="13">
        <f>IF('Données projet'!$A$192&gt;35,EJ3+EI4-ER3,IF(A4&lt;'Données projet'!$A$192,$EG$205^A4,IF(A4='Données projet'!$A$192,'Données projet'!$B$192,EJ3+EI4-ER3)))</f>
        <v>1.2392705892426346</v>
      </c>
      <c r="EK4" s="18">
        <f>EJ4*VLOOKUP('Données projet'!$B$15,Paramètres!$A$1:$I$89,3,0)*VLOOKUP('Données projet'!$B$15,Paramètres!$A$1:$I$89,5,0)</f>
        <v>1.2566203774920315</v>
      </c>
      <c r="EL4" s="14">
        <f>EXP(-1.0587+0.8836*LN(EK4)+0.284)</f>
        <v>0.56390871417545174</v>
      </c>
      <c r="EM4" s="22">
        <f t="shared" ref="EM4:EM67" si="19">(EK4+EL4)*0.475*44/12</f>
        <v>3.1707548346542</v>
      </c>
      <c r="EN4" s="62">
        <f t="shared" ref="EN4:EN67" si="20">EM4+(EE4+EF4)*44/12</f>
        <v>187.19695067605176</v>
      </c>
      <c r="EO4" s="62">
        <f ca="1">AVERAGE(OFFSET($EN$3,0,0,'Données projet'!$E$15+1,1))-AVERAGE(OFFSET($H$3,0,0,'Données projet'!$E$15+1,1))</f>
        <v>514.72748286045442</v>
      </c>
      <c r="EP4" s="62">
        <f>$EP$3</f>
        <v>322.28702110656116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49.855629168865995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4.0999999999999996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15.033333333333331</v>
      </c>
      <c r="H5" s="70">
        <f t="shared" si="1"/>
        <v>196.53333333333333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16.7</v>
      </c>
      <c r="N5" s="14">
        <f>IF('Données projet'!$A$36&gt;35,N4+M5-V4,IF(A5&lt;'Données projet'!$A$36,$K$205^A5,IF(A5='Données projet'!$A$36,'Données projet'!$B$36,N4+M5-V4)))</f>
        <v>2.7831928127508503</v>
      </c>
      <c r="O5" s="14">
        <f>N5*VLOOKUP('Données projet'!$B$9,Paramètres!$A$1:$I$89,3,0)*VLOOKUP('Données projet'!$B$9,Paramètres!$A$1:$I$89,5,0)</f>
        <v>2.4313972412191429</v>
      </c>
      <c r="P5" s="14">
        <f t="shared" ref="P5:P68" si="33">EXP(-1.0587+0.8836*LN(O5)+0.284)</f>
        <v>1.010402368114901</v>
      </c>
      <c r="Q5" s="22">
        <f t="shared" si="2"/>
        <v>5.9944676529234604</v>
      </c>
      <c r="R5" s="62">
        <f t="shared" si="0"/>
        <v>192.52423830867411</v>
      </c>
      <c r="S5" s="62">
        <f ca="1">AVERAGE(OFFSET($R$3,0,0,'Données projet'!$E$9+1,1))-AVERAGE(OFFSET($H$3,0,0,'Données projet'!$E$9+1,1))</f>
        <v>70.794576398719499</v>
      </c>
      <c r="T5" s="62">
        <f t="shared" ref="T5:T68" si="34">$T$3</f>
        <v>328.91236364911629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1.3895842336737447</v>
      </c>
      <c r="AK5" s="14">
        <f t="shared" ref="AK5:AK68" si="35">EXP(-1.0587+0.8836*LN(AJ5)+0.284)</f>
        <v>0.61631841327304715</v>
      </c>
      <c r="AL5" s="22">
        <f t="shared" si="4"/>
        <v>3.4936137767656628</v>
      </c>
      <c r="AM5" s="62">
        <f t="shared" si="5"/>
        <v>190.02338443251634</v>
      </c>
      <c r="AN5" s="62">
        <f ca="1">AVERAGE(OFFSET($AM$3,0,0,'Données projet'!$E$10+1,1))-AVERAGE(OFFSET($H$3,0,0,'Données projet'!$E$10+1,1))</f>
        <v>466.75323833427217</v>
      </c>
      <c r="AO5" s="62">
        <f t="shared" ref="AO5:AO68" si="36">$AO$3</f>
        <v>293.88550076209378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14.888888888888889</v>
      </c>
      <c r="BD5" s="13">
        <f>IF('Données projet'!$A$88&gt;35,BD4+BC5-BL4,IF(A5&lt;'Données projet'!$A$88,$BA$205^A5,IF(A5='Données projet'!$A$88,'Données projet'!$B$88,BD4+BC5-BL4)))</f>
        <v>1.8611987616025278</v>
      </c>
      <c r="BE5" s="14">
        <f>BD5*VLOOKUP('Données projet'!$B$11,Paramètres!$A$1:$I$89,3,0)*VLOOKUP('Données projet'!$B$11,Paramètres!$A$1:$I$89,5,0)</f>
        <v>0.97556594288158105</v>
      </c>
      <c r="BF5" s="14">
        <f t="shared" ref="BF5:BF68" si="37">EXP(-1.0587+0.8836*LN(BE5)+0.284)</f>
        <v>0.45087818552922815</v>
      </c>
      <c r="BG5" s="22">
        <f t="shared" si="7"/>
        <v>2.4843901903154926</v>
      </c>
      <c r="BH5" s="62">
        <f t="shared" si="8"/>
        <v>189.01416084606615</v>
      </c>
      <c r="BI5" s="62">
        <f ca="1">AVERAGE(OFFSET($BH$3,0,0,'Données projet'!$E$11+1,1))-AVERAGE(OFFSET($H$3,0,0,'Données projet'!$E$11+1,1))</f>
        <v>68.47741055388687</v>
      </c>
      <c r="BJ5" s="62">
        <f t="shared" ref="BJ5:BJ68" si="38">$BJ$3</f>
        <v>335.34467252166542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5.7692307692307692</v>
      </c>
      <c r="BY5" s="13">
        <f>IF('Données projet'!$A$114&gt;35,BY4+BX5-CG4,IF(A5&lt;'Données projet'!$A$114,$BV$205^A5,IF(A5='Données projet'!$A$114,'Données projet'!$B$114,BY4+BX5-CG4)))</f>
        <v>1.9429917814163926</v>
      </c>
      <c r="BZ5" s="14">
        <f>BY5*VLOOKUP('Données projet'!$B$12,Paramètres!$A$1:$I$89,3,0)*VLOOKUP('Données projet'!$B$12,Paramètres!$A$1:$I$89,5,0)</f>
        <v>1.1619090852870029</v>
      </c>
      <c r="CA5" s="14">
        <f t="shared" ref="CA5:CA68" si="39">EXP(-1.0587+0.8836*LN(BZ5)+0.284)</f>
        <v>0.52618464987689018</v>
      </c>
      <c r="CB5" s="22">
        <f t="shared" si="10"/>
        <v>2.9400965887437809</v>
      </c>
      <c r="CC5" s="62">
        <f t="shared" si="11"/>
        <v>189.46986724449445</v>
      </c>
      <c r="CD5" s="62">
        <f ca="1">AVERAGE(OFFSET($CC$3,0,0,'Données projet'!$E$12+1,1))-AVERAGE(OFFSET($H$3,0,0,'Données projet'!$E$12+1,1))</f>
        <v>211.76609132110815</v>
      </c>
      <c r="CE5" s="62">
        <f t="shared" ref="CE5:CE68" si="40">$CE$3</f>
        <v>363.07965692095752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6.8</v>
      </c>
      <c r="CT5" s="13">
        <f>IF('Données projet'!$A$140&gt;35,CT4+CS5-DB4,IF(A5&lt;'Données projet'!$A$140,$CQ$205^A5,IF(A5='Données projet'!$A$140,'Données projet'!$B$140,CT4+CS5-DB4)))</f>
        <v>4.0981850699807945</v>
      </c>
      <c r="CU5" s="18">
        <f>CT5*VLOOKUP('Données projet'!$B$13,Paramètres!$A$1:$I$89,3,0)*VLOOKUP('Données projet'!$B$13,Paramètres!$A$1:$I$89,5,0)</f>
        <v>3.7080378513186227</v>
      </c>
      <c r="CV5" s="14">
        <f t="shared" ref="CV5:CV68" si="41">EXP(-1.0587+0.8836*LN(CU5)+0.284)</f>
        <v>1.4670598901857457</v>
      </c>
      <c r="CW5" s="22">
        <f t="shared" si="13"/>
        <v>9.0132952331201093</v>
      </c>
      <c r="CX5" s="62">
        <f t="shared" si="14"/>
        <v>195.54306588887079</v>
      </c>
      <c r="CY5" s="62">
        <f ca="1">AVERAGE(OFFSET($CX$3,0,0,'Données projet'!$E$13+1,1))-AVERAGE(OFFSET($H$3,0,0,'Données projet'!$E$13+1,1))</f>
        <v>374.91250349988451</v>
      </c>
      <c r="CZ5" s="62">
        <f t="shared" ref="CZ5:CZ68" si="42">$CZ$3</f>
        <v>529.46825265662869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3.95</v>
      </c>
      <c r="DO5" s="13">
        <f>IF('Données projet'!$A$166&gt;35,DO4+DN5-DW4,IF(A5&lt;'Données projet'!$A$166,$DL$205^A5,IF(A5='Données projet'!$A$166,'Données projet'!$B$166,DO4+DN5-DW4)))</f>
        <v>1.5479706038816659</v>
      </c>
      <c r="DP5" s="18">
        <f>DO5*VLOOKUP('Données projet'!$B$14,Paramètres!$A$1:$I$89,3,0)*VLOOKUP('Données projet'!$B$14,Paramètres!$A$1:$I$89,5,0)</f>
        <v>1.3523071195510235</v>
      </c>
      <c r="DQ5" s="14">
        <f t="shared" ref="DQ5:DQ68" si="43">EXP(-1.0587+0.8836*LN(DP5)+0.284)</f>
        <v>0.60168644882220068</v>
      </c>
      <c r="DR5" s="22">
        <f t="shared" si="16"/>
        <v>3.4032054649166987</v>
      </c>
      <c r="DS5" s="62">
        <f t="shared" si="17"/>
        <v>189.93297612066738</v>
      </c>
      <c r="DT5" s="62">
        <f ca="1">AVERAGE(OFFSET($DS$3,0,0,'Données projet'!$E$14+1,1))-AVERAGE(OFFSET($H$3,0,0,'Données projet'!$E$14+1,1))</f>
        <v>289.18543665577761</v>
      </c>
      <c r="DU5" s="62">
        <f t="shared" ref="DU5:DU68" si="44">$DU$3</f>
        <v>291.40065947222843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3.65</v>
      </c>
      <c r="EJ5" s="13">
        <f>IF('Données projet'!$A$192&gt;35,EJ4+EI5-ER4,IF(A5&lt;'Données projet'!$A$192,$EG$205^A5,IF(A5='Données projet'!$A$192,'Données projet'!$B$192,EJ4+EI5-ER4)))</f>
        <v>1.5357915933617867</v>
      </c>
      <c r="EK5" s="18">
        <f>EJ5*VLOOKUP('Données projet'!$B$15,Paramètres!$A$1:$I$89,3,0)*VLOOKUP('Données projet'!$B$15,Paramètres!$A$1:$I$89,5,0)</f>
        <v>1.5572926756688519</v>
      </c>
      <c r="EL5" s="14">
        <f t="shared" ref="EL5:EL68" si="45">EXP(-1.0587+0.8836*LN(EK5)+0.284)</f>
        <v>0.68160129960402205</v>
      </c>
      <c r="EM5" s="22">
        <f t="shared" si="19"/>
        <v>3.8994070069335893</v>
      </c>
      <c r="EN5" s="62">
        <f t="shared" si="20"/>
        <v>190.42917766268425</v>
      </c>
      <c r="EO5" s="62">
        <f ca="1">AVERAGE(OFFSET($EN$3,0,0,'Données projet'!$E$15+1,1))-AVERAGE(OFFSET($H$3,0,0,'Données projet'!$E$15+1,1))</f>
        <v>514.72748286045442</v>
      </c>
      <c r="EP5" s="62">
        <f t="shared" ref="EP5:EP68" si="46">$EP$3</f>
        <v>322.28702110656116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50.205088966719885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4.0999999999999996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15.033333333333331</v>
      </c>
      <c r="H6" s="70">
        <f t="shared" si="1"/>
        <v>196.53333333333333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16.7</v>
      </c>
      <c r="N6" s="14">
        <f>IF('Données projet'!$A$36&gt;35,N5+M6-V5,IF(A6&lt;'Données projet'!$A$36,$K$205^A6,IF(A6='Données projet'!$A$36,'Données projet'!$B$36,N5+M6-V5)))</f>
        <v>4.643173812506153</v>
      </c>
      <c r="O6" s="14">
        <f>N6*VLOOKUP('Données projet'!$B$9,Paramètres!$A$1:$I$89,3,0)*VLOOKUP('Données projet'!$B$9,Paramètres!$A$1:$I$89,5,0)</f>
        <v>4.0562766426053756</v>
      </c>
      <c r="P6" s="14">
        <f t="shared" si="33"/>
        <v>1.5881575473104945</v>
      </c>
      <c r="Q6" s="22">
        <f t="shared" si="2"/>
        <v>9.830722880770141</v>
      </c>
      <c r="R6" s="62">
        <f t="shared" si="0"/>
        <v>198.84183974807576</v>
      </c>
      <c r="S6" s="62">
        <f ca="1">AVERAGE(OFFSET($R$3,0,0,'Données projet'!$E$9+1,1))-AVERAGE(OFFSET($H$3,0,0,'Données projet'!$E$9+1,1))</f>
        <v>70.794576398719499</v>
      </c>
      <c r="T6" s="62">
        <f t="shared" si="34"/>
        <v>328.91236364911629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1.7220708720671365</v>
      </c>
      <c r="AK6" s="14">
        <f t="shared" si="35"/>
        <v>0.74494935243383209</v>
      </c>
      <c r="AL6" s="22">
        <f t="shared" si="4"/>
        <v>4.2967268910058536</v>
      </c>
      <c r="AM6" s="62">
        <f t="shared" si="5"/>
        <v>193.30784375831146</v>
      </c>
      <c r="AN6" s="62">
        <f ca="1">AVERAGE(OFFSET($AM$3,0,0,'Données projet'!$E$10+1,1))-AVERAGE(OFFSET($H$3,0,0,'Données projet'!$E$10+1,1))</f>
        <v>466.75323833427217</v>
      </c>
      <c r="AO6" s="62">
        <f t="shared" si="36"/>
        <v>293.88550076209378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14.888888888888889</v>
      </c>
      <c r="BD6" s="13">
        <f>IF('Données projet'!$A$88&gt;35,BD5+BC6-BL5,IF(A6&lt;'Données projet'!$A$88,$BA$205^A6,IF(A6='Données projet'!$A$88,'Données projet'!$B$88,BD5+BC6-BL5)))</f>
        <v>2.5391545300093319</v>
      </c>
      <c r="BE6" s="14">
        <f>BD6*VLOOKUP('Données projet'!$B$11,Paramètres!$A$1:$I$89,3,0)*VLOOKUP('Données projet'!$B$11,Paramètres!$A$1:$I$89,5,0)</f>
        <v>1.3309232384496916</v>
      </c>
      <c r="BF6" s="14">
        <f t="shared" si="37"/>
        <v>0.59327174168456887</v>
      </c>
      <c r="BG6" s="22">
        <f t="shared" si="7"/>
        <v>3.3513062570671699</v>
      </c>
      <c r="BH6" s="62">
        <f t="shared" si="8"/>
        <v>192.36242312437278</v>
      </c>
      <c r="BI6" s="62">
        <f ca="1">AVERAGE(OFFSET($BH$3,0,0,'Données projet'!$E$11+1,1))-AVERAGE(OFFSET($H$3,0,0,'Données projet'!$E$11+1,1))</f>
        <v>68.47741055388687</v>
      </c>
      <c r="BJ6" s="62">
        <f t="shared" si="38"/>
        <v>335.34467252166542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5.7692307692307692</v>
      </c>
      <c r="BY6" s="13">
        <f>IF('Données projet'!$A$114&gt;35,BY5+BX6-CG5,IF(A6&lt;'Données projet'!$A$114,$BV$205^A6,IF(A6='Données projet'!$A$114,'Données projet'!$B$114,BY5+BX6-CG5)))</f>
        <v>2.7083603389865027</v>
      </c>
      <c r="BZ6" s="14">
        <f>BY6*VLOOKUP('Données projet'!$B$12,Paramètres!$A$1:$I$89,3,0)*VLOOKUP('Données projet'!$B$12,Paramètres!$A$1:$I$89,5,0)</f>
        <v>1.6195994827139286</v>
      </c>
      <c r="CA6" s="14">
        <f t="shared" si="39"/>
        <v>0.70564236392136903</v>
      </c>
      <c r="CB6" s="22">
        <f t="shared" si="10"/>
        <v>4.0497962162231431</v>
      </c>
      <c r="CC6" s="62">
        <f t="shared" si="11"/>
        <v>193.06091308352876</v>
      </c>
      <c r="CD6" s="62">
        <f ca="1">AVERAGE(OFFSET($CC$3,0,0,'Données projet'!$E$12+1,1))-AVERAGE(OFFSET($H$3,0,0,'Données projet'!$E$12+1,1))</f>
        <v>211.76609132110815</v>
      </c>
      <c r="CE6" s="62">
        <f t="shared" si="40"/>
        <v>363.07965692095752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6.8</v>
      </c>
      <c r="CT6" s="13">
        <f>IF('Données projet'!$A$140&gt;35,CT5+CS6-DB5,IF(A6&lt;'Données projet'!$A$140,$CQ$205^A6,IF(A6='Données projet'!$A$140,'Données projet'!$B$140,CT5+CS6-DB5)))</f>
        <v>8.2963554401312951</v>
      </c>
      <c r="CU6" s="18">
        <f>CT6*VLOOKUP('Données projet'!$B$13,Paramètres!$A$1:$I$89,3,0)*VLOOKUP('Données projet'!$B$13,Paramètres!$A$1:$I$89,5,0)</f>
        <v>7.5065424022307949</v>
      </c>
      <c r="CV6" s="14">
        <f t="shared" si="41"/>
        <v>2.7358406474604431</v>
      </c>
      <c r="CW6" s="22">
        <f t="shared" si="13"/>
        <v>17.838817144878906</v>
      </c>
      <c r="CX6" s="62">
        <f t="shared" si="14"/>
        <v>206.84993401218452</v>
      </c>
      <c r="CY6" s="62">
        <f ca="1">AVERAGE(OFFSET($CX$3,0,0,'Données projet'!$E$13+1,1))-AVERAGE(OFFSET($H$3,0,0,'Données projet'!$E$13+1,1))</f>
        <v>374.91250349988451</v>
      </c>
      <c r="CZ6" s="62">
        <f t="shared" si="42"/>
        <v>529.46825265662869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3.95</v>
      </c>
      <c r="DO6" s="13">
        <f>IF('Données projet'!$A$166&gt;35,DO5+DN6-DW5,IF(A6&lt;'Données projet'!$A$166,$DL$205^A6,IF(A6='Données projet'!$A$166,'Données projet'!$B$166,DO5+DN6-DW5)))</f>
        <v>1.9259458117779837</v>
      </c>
      <c r="DP6" s="18">
        <f>DO6*VLOOKUP('Données projet'!$B$14,Paramètres!$A$1:$I$89,3,0)*VLOOKUP('Données projet'!$B$14,Paramètres!$A$1:$I$89,5,0)</f>
        <v>1.682506261169247</v>
      </c>
      <c r="DQ6" s="14">
        <f t="shared" si="43"/>
        <v>0.72980594249869668</v>
      </c>
      <c r="DR6" s="22">
        <f t="shared" si="16"/>
        <v>4.2014437547216685</v>
      </c>
      <c r="DS6" s="62">
        <f t="shared" si="17"/>
        <v>193.2125606220273</v>
      </c>
      <c r="DT6" s="62">
        <f ca="1">AVERAGE(OFFSET($DS$3,0,0,'Données projet'!$E$14+1,1))-AVERAGE(OFFSET($H$3,0,0,'Données projet'!$E$14+1,1))</f>
        <v>289.18543665577761</v>
      </c>
      <c r="DU6" s="62">
        <f t="shared" si="44"/>
        <v>291.40065947222843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3.65</v>
      </c>
      <c r="EJ6" s="13">
        <f>IF('Données projet'!$A$192&gt;35,EJ5+EI6-ER5,IF(A6&lt;'Données projet'!$A$192,$EG$205^A6,IF(A6='Données projet'!$A$192,'Données projet'!$B$192,EJ5+EI6-ER5)))</f>
        <v>1.9032613528593461</v>
      </c>
      <c r="EK6" s="18">
        <f>EJ6*VLOOKUP('Données projet'!$B$15,Paramètres!$A$1:$I$89,3,0)*VLOOKUP('Données projet'!$B$15,Paramètres!$A$1:$I$89,5,0)</f>
        <v>1.9299070117993768</v>
      </c>
      <c r="EL6" s="14">
        <f t="shared" si="45"/>
        <v>0.82385733708903885</v>
      </c>
      <c r="EM6" s="22">
        <f t="shared" si="19"/>
        <v>4.7961395743139903</v>
      </c>
      <c r="EN6" s="62">
        <f t="shared" si="20"/>
        <v>193.80725644161961</v>
      </c>
      <c r="EO6" s="62">
        <f ca="1">AVERAGE(OFFSET($EN$3,0,0,'Données projet'!$E$15+1,1))-AVERAGE(OFFSET($H$3,0,0,'Données projet'!$E$15+1,1))</f>
        <v>514.72748286045442</v>
      </c>
      <c r="EP6" s="62">
        <f t="shared" si="46"/>
        <v>322.28702110656116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50.548486418356077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4.0999999999999996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15.033333333333331</v>
      </c>
      <c r="H7" s="70">
        <f t="shared" si="1"/>
        <v>196.53333333333333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16.7</v>
      </c>
      <c r="N7" s="14">
        <f>IF('Données projet'!$A$36&gt;35,N6+M7-V6,IF(A7&lt;'Données projet'!$A$36,$K$205^A7,IF(A7='Données projet'!$A$36,'Données projet'!$B$36,N6+M7-V6)))</f>
        <v>7.7461622329479898</v>
      </c>
      <c r="O7" s="14">
        <f>N7*VLOOKUP('Données projet'!$B$9,Paramètres!$A$1:$I$89,3,0)*VLOOKUP('Données projet'!$B$9,Paramètres!$A$1:$I$89,5,0)</f>
        <v>6.7670473267033646</v>
      </c>
      <c r="P7" s="14">
        <f t="shared" si="33"/>
        <v>2.4962772007205558</v>
      </c>
      <c r="Q7" s="22">
        <f t="shared" si="2"/>
        <v>16.133623551929993</v>
      </c>
      <c r="R7" s="62">
        <f t="shared" si="0"/>
        <v>207.60424364455511</v>
      </c>
      <c r="S7" s="62">
        <f ca="1">AVERAGE(OFFSET($R$3,0,0,'Données projet'!$E$9+1,1))-AVERAGE(OFFSET($H$3,0,0,'Données projet'!$E$9+1,1))</f>
        <v>70.794576398719499</v>
      </c>
      <c r="T7" s="62">
        <f t="shared" si="34"/>
        <v>328.91236364911629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2.1341117843442179</v>
      </c>
      <c r="AK7" s="14">
        <f t="shared" si="35"/>
        <v>0.90042667189585779</v>
      </c>
      <c r="AL7" s="22">
        <f t="shared" si="4"/>
        <v>5.2851544779514645</v>
      </c>
      <c r="AM7" s="62">
        <f t="shared" si="5"/>
        <v>196.75577457057659</v>
      </c>
      <c r="AN7" s="62">
        <f ca="1">AVERAGE(OFFSET($AM$3,0,0,'Données projet'!$E$10+1,1))-AVERAGE(OFFSET($H$3,0,0,'Données projet'!$E$10+1,1))</f>
        <v>466.75323833427217</v>
      </c>
      <c r="AO7" s="62">
        <f t="shared" si="36"/>
        <v>293.88550076209378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14.888888888888889</v>
      </c>
      <c r="BD7" s="13">
        <f>IF('Données projet'!$A$88&gt;35,BD6+BC7-BL6,IF(A7&lt;'Données projet'!$A$88,$BA$205^A7,IF(A7='Données projet'!$A$88,'Données projet'!$B$88,BD6+BC7-BL6)))</f>
        <v>3.4640608301907831</v>
      </c>
      <c r="BE7" s="14">
        <f>BD7*VLOOKUP('Données projet'!$B$11,Paramètres!$A$1:$I$89,3,0)*VLOOKUP('Données projet'!$B$11,Paramètres!$A$1:$I$89,5,0)</f>
        <v>1.815722124752801</v>
      </c>
      <c r="BF7" s="14">
        <f t="shared" si="37"/>
        <v>0.78063514886688878</v>
      </c>
      <c r="BG7" s="22">
        <f t="shared" si="7"/>
        <v>4.5219889182209601</v>
      </c>
      <c r="BH7" s="62">
        <f t="shared" si="8"/>
        <v>195.99260901084608</v>
      </c>
      <c r="BI7" s="62">
        <f ca="1">AVERAGE(OFFSET($BH$3,0,0,'Données projet'!$E$11+1,1))-AVERAGE(OFFSET($H$3,0,0,'Données projet'!$E$11+1,1))</f>
        <v>68.47741055388687</v>
      </c>
      <c r="BJ7" s="62">
        <f t="shared" si="38"/>
        <v>335.34467252166542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5.7692307692307692</v>
      </c>
      <c r="BY7" s="13">
        <f>IF('Données projet'!$A$114&gt;35,BY6+BX7-CG6,IF(A7&lt;'Données projet'!$A$114,$BV$205^A7,IF(A7='Données projet'!$A$114,'Données projet'!$B$114,BY6+BX7-CG6)))</f>
        <v>3.775217062651647</v>
      </c>
      <c r="BZ7" s="14">
        <f>BY7*VLOOKUP('Données projet'!$B$12,Paramètres!$A$1:$I$89,3,0)*VLOOKUP('Données projet'!$B$12,Paramètres!$A$1:$I$89,5,0)</f>
        <v>2.2575798034656849</v>
      </c>
      <c r="CA7" s="14">
        <f t="shared" si="39"/>
        <v>0.94630496324253699</v>
      </c>
      <c r="CB7" s="22">
        <f t="shared" si="10"/>
        <v>5.5800993020168193</v>
      </c>
      <c r="CC7" s="62">
        <f t="shared" si="11"/>
        <v>197.05071939464193</v>
      </c>
      <c r="CD7" s="62">
        <f ca="1">AVERAGE(OFFSET($CC$3,0,0,'Données projet'!$E$12+1,1))-AVERAGE(OFFSET($H$3,0,0,'Données projet'!$E$12+1,1))</f>
        <v>211.76609132110815</v>
      </c>
      <c r="CE7" s="62">
        <f t="shared" si="40"/>
        <v>363.07965692095752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6.8</v>
      </c>
      <c r="CT7" s="13">
        <f>IF('Données projet'!$A$140&gt;35,CT6+CS7-DB6,IF(A7&lt;'Données projet'!$A$140,$CQ$205^A7,IF(A7='Données projet'!$A$140,'Données projet'!$B$140,CT6+CS7-DB6)))</f>
        <v>16.795120867813488</v>
      </c>
      <c r="CU7" s="18">
        <f>CT7*VLOOKUP('Données projet'!$B$13,Paramètres!$A$1:$I$89,3,0)*VLOOKUP('Données projet'!$B$13,Paramètres!$A$1:$I$89,5,0)</f>
        <v>15.196225361197643</v>
      </c>
      <c r="CV7" s="14">
        <f t="shared" si="41"/>
        <v>5.1019212633160578</v>
      </c>
      <c r="CW7" s="22">
        <f t="shared" si="13"/>
        <v>35.352605371028027</v>
      </c>
      <c r="CX7" s="62">
        <f t="shared" si="14"/>
        <v>226.82322546365316</v>
      </c>
      <c r="CY7" s="62">
        <f ca="1">AVERAGE(OFFSET($CX$3,0,0,'Données projet'!$E$13+1,1))-AVERAGE(OFFSET($H$3,0,0,'Données projet'!$E$13+1,1))</f>
        <v>374.91250349988451</v>
      </c>
      <c r="CZ7" s="62">
        <f t="shared" si="42"/>
        <v>529.46825265662869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3.95</v>
      </c>
      <c r="DO7" s="13">
        <f>IF('Données projet'!$A$166&gt;35,DO6+DN7-DW6,IF(A7&lt;'Données projet'!$A$166,$DL$205^A7,IF(A7='Données projet'!$A$166,'Données projet'!$B$166,DO6+DN7-DW6)))</f>
        <v>2.3962129904817693</v>
      </c>
      <c r="DP7" s="18">
        <f>DO7*VLOOKUP('Données projet'!$B$14,Paramètres!$A$1:$I$89,3,0)*VLOOKUP('Données projet'!$B$14,Paramètres!$A$1:$I$89,5,0)</f>
        <v>2.0933316684848742</v>
      </c>
      <c r="DQ7" s="14">
        <f t="shared" si="43"/>
        <v>0.88520643060684912</v>
      </c>
      <c r="DR7" s="22">
        <f t="shared" si="16"/>
        <v>5.1876205225847505</v>
      </c>
      <c r="DS7" s="62">
        <f t="shared" si="17"/>
        <v>196.65824061520988</v>
      </c>
      <c r="DT7" s="62">
        <f ca="1">AVERAGE(OFFSET($DS$3,0,0,'Données projet'!$E$14+1,1))-AVERAGE(OFFSET($H$3,0,0,'Données projet'!$E$14+1,1))</f>
        <v>289.18543665577761</v>
      </c>
      <c r="DU7" s="62">
        <f t="shared" si="44"/>
        <v>291.40065947222843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3.65</v>
      </c>
      <c r="EJ7" s="13">
        <f>IF('Données projet'!$A$192&gt;35,EJ6+EI7-ER6,IF(A7&lt;'Données projet'!$A$192,$EG$205^A7,IF(A7='Données projet'!$A$192,'Données projet'!$B$192,EJ6+EI7-ER6)))</f>
        <v>2.3586558182407358</v>
      </c>
      <c r="EK7" s="18">
        <f>EJ7*VLOOKUP('Données projet'!$B$15,Paramètres!$A$1:$I$89,3,0)*VLOOKUP('Données projet'!$B$15,Paramètres!$A$1:$I$89,5,0)</f>
        <v>2.3916769996961063</v>
      </c>
      <c r="EL7" s="14">
        <f t="shared" si="45"/>
        <v>0.9958034297612971</v>
      </c>
      <c r="EM7" s="22">
        <f t="shared" si="19"/>
        <v>5.8998617479716442</v>
      </c>
      <c r="EN7" s="62">
        <f t="shared" si="20"/>
        <v>197.37048184059677</v>
      </c>
      <c r="EO7" s="62">
        <f ca="1">AVERAGE(OFFSET($EN$3,0,0,'Données projet'!$E$15+1,1))-AVERAGE(OFFSET($H$3,0,0,'Données projet'!$E$15+1,1))</f>
        <v>514.72748286045442</v>
      </c>
      <c r="EP7" s="62">
        <f t="shared" si="46"/>
        <v>322.28702110656116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50.885926691928056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4.0999999999999996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15.033333333333331</v>
      </c>
      <c r="H8" s="70">
        <f t="shared" si="1"/>
        <v>196.53333333333333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16.7</v>
      </c>
      <c r="N8" s="14">
        <f>IF('Données projet'!$A$36&gt;35,N7+M8-V7,IF(A8&lt;'Données projet'!$A$36,$K$205^A8,IF(A8='Données projet'!$A$36,'Données projet'!$B$36,N7+M8-V7)))</f>
        <v>12.922847983320089</v>
      </c>
      <c r="O8" s="14">
        <f>N8*VLOOKUP('Données projet'!$B$9,Paramètres!$A$1:$I$89,3,0)*VLOOKUP('Données projet'!$B$9,Paramètres!$A$1:$I$89,5,0)</f>
        <v>11.289399998228433</v>
      </c>
      <c r="P8" s="14">
        <f t="shared" si="33"/>
        <v>3.9236660578101805</v>
      </c>
      <c r="Q8" s="22">
        <f t="shared" si="2"/>
        <v>26.496090047600585</v>
      </c>
      <c r="R8" s="62">
        <f t="shared" si="0"/>
        <v>220.40474930628739</v>
      </c>
      <c r="S8" s="62">
        <f ca="1">AVERAGE(OFFSET($R$3,0,0,'Données projet'!$E$9+1,1))-AVERAGE(OFFSET($H$3,0,0,'Données projet'!$E$9+1,1))</f>
        <v>70.794576398719499</v>
      </c>
      <c r="T8" s="62">
        <f t="shared" si="34"/>
        <v>328.91236364911629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2.6447419684939089</v>
      </c>
      <c r="AK8" s="14">
        <f t="shared" si="35"/>
        <v>1.0883534414958294</v>
      </c>
      <c r="AL8" s="22">
        <f t="shared" si="4"/>
        <v>6.5018078390654601</v>
      </c>
      <c r="AM8" s="62">
        <f t="shared" si="5"/>
        <v>200.41046709775227</v>
      </c>
      <c r="AN8" s="62">
        <f ca="1">AVERAGE(OFFSET($AM$3,0,0,'Données projet'!$E$10+1,1))-AVERAGE(OFFSET($H$3,0,0,'Données projet'!$E$10+1,1))</f>
        <v>466.75323833427217</v>
      </c>
      <c r="AO8" s="62">
        <f t="shared" si="36"/>
        <v>293.88550076209378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14.888888888888889</v>
      </c>
      <c r="BD8" s="13">
        <f>IF('Données projet'!$A$88&gt;35,BD7+BC8-BL7,IF(A8&lt;'Données projet'!$A$88,$BA$205^A8,IF(A8='Données projet'!$A$88,'Données projet'!$B$88,BD7+BC8-BL7)))</f>
        <v>4.7258712667708167</v>
      </c>
      <c r="BE8" s="14">
        <f>BD8*VLOOKUP('Données projet'!$B$11,Paramètres!$A$1:$I$89,3,0)*VLOOKUP('Données projet'!$B$11,Paramètres!$A$1:$I$89,5,0)</f>
        <v>2.4771126831905916</v>
      </c>
      <c r="BF8" s="14">
        <f t="shared" si="37"/>
        <v>1.0271705069182804</v>
      </c>
      <c r="BG8" s="22">
        <f t="shared" si="7"/>
        <v>6.1032932227729511</v>
      </c>
      <c r="BH8" s="62">
        <f t="shared" si="8"/>
        <v>200.01195248145976</v>
      </c>
      <c r="BI8" s="62">
        <f ca="1">AVERAGE(OFFSET($BH$3,0,0,'Données projet'!$E$11+1,1))-AVERAGE(OFFSET($H$3,0,0,'Données projet'!$E$11+1,1))</f>
        <v>68.47741055388687</v>
      </c>
      <c r="BJ8" s="62">
        <f t="shared" si="38"/>
        <v>335.34467252166542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5.7692307692307692</v>
      </c>
      <c r="BY8" s="13">
        <f>IF('Données projet'!$A$114&gt;35,BY7+BX8-CG7,IF(A8&lt;'Données projet'!$A$114,$BV$205^A8,IF(A8='Données projet'!$A$114,'Données projet'!$B$114,BY7+BX8-CG7)))</f>
        <v>5.2623218797648903</v>
      </c>
      <c r="BZ8" s="14">
        <f>BY8*VLOOKUP('Données projet'!$B$12,Paramètres!$A$1:$I$89,3,0)*VLOOKUP('Données projet'!$B$12,Paramètres!$A$1:$I$89,5,0)</f>
        <v>3.1468684840994046</v>
      </c>
      <c r="CA8" s="14">
        <f t="shared" si="39"/>
        <v>1.2690466576879811</v>
      </c>
      <c r="CB8" s="22">
        <f t="shared" si="10"/>
        <v>7.6910522052796955</v>
      </c>
      <c r="CC8" s="62">
        <f t="shared" si="11"/>
        <v>201.59971146396651</v>
      </c>
      <c r="CD8" s="62">
        <f ca="1">AVERAGE(OFFSET($CC$3,0,0,'Données projet'!$E$12+1,1))-AVERAGE(OFFSET($H$3,0,0,'Données projet'!$E$12+1,1))</f>
        <v>211.76609132110815</v>
      </c>
      <c r="CE8" s="62">
        <f t="shared" si="40"/>
        <v>363.07965692095752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>
        <f>VLOOKUP(A8,'Données projet'!$A$139:$I$159,2,0)</f>
        <v>34</v>
      </c>
      <c r="CR8" s="13">
        <f>VLOOKUP(A8,'Données projet'!$A$139:$I$159,9,0)</f>
        <v>6.8</v>
      </c>
      <c r="CS8" s="13">
        <f t="array" ref="CS8">INDEX(CR:CR,MIN(IF(ISNUMBER(CR8:CR204),ROW(CR8:CR204),"")))</f>
        <v>6.8</v>
      </c>
      <c r="CT8" s="13">
        <f>IF('Données projet'!$A$140&gt;35,CT7+CS8-DB7,IF(A8&lt;'Données projet'!$A$140,$CQ$205^A8,IF(A8='Données projet'!$A$140,'Données projet'!$B$140,CT7+CS8-DB7)))</f>
        <v>34</v>
      </c>
      <c r="CU8" s="18">
        <f>CT8*VLOOKUP('Données projet'!$B$13,Paramètres!$A$1:$I$89,3,0)*VLOOKUP('Données projet'!$B$13,Paramètres!$A$1:$I$89,5,0)</f>
        <v>30.763199999999998</v>
      </c>
      <c r="CV8" s="14">
        <f t="shared" si="41"/>
        <v>9.5142970411082253</v>
      </c>
      <c r="CW8" s="22">
        <f t="shared" si="13"/>
        <v>70.149974013263474</v>
      </c>
      <c r="CX8" s="62">
        <f t="shared" si="14"/>
        <v>264.05863327195027</v>
      </c>
      <c r="CY8" s="62">
        <f ca="1">AVERAGE(OFFSET($CX$3,0,0,'Données projet'!$E$13+1,1))-AVERAGE(OFFSET($H$3,0,0,'Données projet'!$E$13+1,1))</f>
        <v>374.91250349988451</v>
      </c>
      <c r="CZ8" s="62">
        <f t="shared" si="42"/>
        <v>529.46825265662869</v>
      </c>
      <c r="DA8" s="16">
        <f>IF(ISNA(VLOOKUP(A8,'Données projet'!$A$139:$I$159,3,0)),0,VLOOKUP(A8,'Données projet'!$A$139:$I$159,3,0))</f>
        <v>1</v>
      </c>
      <c r="DB8" s="16">
        <f>IF(ISNA(VLOOKUP(A8,'Données projet'!$A$139:$I$159,4,0)),0,VLOOKUP(A8,'Données projet'!$A$139:$I$159,4,0))</f>
        <v>6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3.95</v>
      </c>
      <c r="DO8" s="13">
        <f>IF('Données projet'!$A$166&gt;35,DO7+DN8-DW7,IF(A8&lt;'Données projet'!$A$166,$DL$205^A8,IF(A8='Données projet'!$A$166,'Données projet'!$B$166,DO7+DN8-DW7)))</f>
        <v>2.9813075013013308</v>
      </c>
      <c r="DP8" s="18">
        <f>DO8*VLOOKUP('Données projet'!$B$14,Paramètres!$A$1:$I$89,3,0)*VLOOKUP('Données projet'!$B$14,Paramètres!$A$1:$I$89,5,0)</f>
        <v>2.6044702331368428</v>
      </c>
      <c r="DQ8" s="14">
        <f t="shared" si="43"/>
        <v>1.0736969640242655</v>
      </c>
      <c r="DR8" s="22">
        <f t="shared" si="16"/>
        <v>6.4061412017222628</v>
      </c>
      <c r="DS8" s="62">
        <f t="shared" si="17"/>
        <v>200.31480046040906</v>
      </c>
      <c r="DT8" s="62">
        <f ca="1">AVERAGE(OFFSET($DS$3,0,0,'Données projet'!$E$14+1,1))-AVERAGE(OFFSET($H$3,0,0,'Données projet'!$E$14+1,1))</f>
        <v>289.18543665577761</v>
      </c>
      <c r="DU8" s="62">
        <f t="shared" si="44"/>
        <v>291.40065947222843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3.65</v>
      </c>
      <c r="EJ8" s="13">
        <f>IF('Données projet'!$A$192&gt;35,EJ7+EI8-ER7,IF(A8&lt;'Données projet'!$A$192,$EG$205^A8,IF(A8='Données projet'!$A$192,'Données projet'!$B$192,EJ7+EI8-ER7)))</f>
        <v>2.9230127856917649</v>
      </c>
      <c r="EK8" s="18">
        <f>EJ8*VLOOKUP('Données projet'!$B$15,Paramètres!$A$1:$I$89,3,0)*VLOOKUP('Données projet'!$B$15,Paramètres!$A$1:$I$89,5,0)</f>
        <v>2.9639349646914495</v>
      </c>
      <c r="EL8" s="14">
        <f t="shared" si="45"/>
        <v>1.2036361467970902</v>
      </c>
      <c r="EM8" s="22">
        <f t="shared" si="19"/>
        <v>7.2585196858425398</v>
      </c>
      <c r="EN8" s="62">
        <f t="shared" si="20"/>
        <v>201.16717894452935</v>
      </c>
      <c r="EO8" s="62">
        <f ca="1">AVERAGE(OFFSET($EN$3,0,0,'Données projet'!$E$15+1,1))-AVERAGE(OFFSET($H$3,0,0,'Données projet'!$E$15+1,1))</f>
        <v>514.72748286045442</v>
      </c>
      <c r="EP8" s="62">
        <f t="shared" si="46"/>
        <v>322.28702110656116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51.217513131157013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4.0999999999999996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15.033333333333331</v>
      </c>
      <c r="H9" s="70">
        <f t="shared" si="1"/>
        <v>196.53333333333333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16.7</v>
      </c>
      <c r="N9" s="14">
        <f>IF('Données projet'!$A$36&gt;35,N8+M9-V8,IF(A9&lt;'Données projet'!$A$36,$K$205^A9,IF(A9='Données projet'!$A$36,'Données projet'!$B$36,N8+M9-V8)))</f>
        <v>21.559063053142921</v>
      </c>
      <c r="O9" s="14">
        <f>N9*VLOOKUP('Données projet'!$B$9,Paramètres!$A$1:$I$89,3,0)*VLOOKUP('Données projet'!$B$9,Paramètres!$A$1:$I$89,5,0)</f>
        <v>18.833997483225659</v>
      </c>
      <c r="P9" s="14">
        <f t="shared" si="33"/>
        <v>6.1672459007228193</v>
      </c>
      <c r="Q9" s="22">
        <f t="shared" si="2"/>
        <v>43.543832227043595</v>
      </c>
      <c r="R9" s="62">
        <f t="shared" si="0"/>
        <v>239.86943894597596</v>
      </c>
      <c r="S9" s="62">
        <f ca="1">AVERAGE(OFFSET($R$3,0,0,'Données projet'!$E$9+1,1))-AVERAGE(OFFSET($H$3,0,0,'Données projet'!$E$9+1,1))</f>
        <v>70.794576398719499</v>
      </c>
      <c r="T9" s="62">
        <f t="shared" si="34"/>
        <v>328.91236364911629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3.2775509376901719</v>
      </c>
      <c r="AK9" s="14">
        <f t="shared" si="35"/>
        <v>1.315502139804245</v>
      </c>
      <c r="AL9" s="22">
        <f t="shared" si="4"/>
        <v>7.9995674433027766</v>
      </c>
      <c r="AM9" s="62">
        <f t="shared" si="5"/>
        <v>204.32517416223513</v>
      </c>
      <c r="AN9" s="62">
        <f ca="1">AVERAGE(OFFSET($AM$3,0,0,'Données projet'!$E$10+1,1))-AVERAGE(OFFSET($H$3,0,0,'Données projet'!$E$10+1,1))</f>
        <v>466.75323833427217</v>
      </c>
      <c r="AO9" s="62">
        <f t="shared" si="36"/>
        <v>293.88550076209378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14.888888888888889</v>
      </c>
      <c r="BD9" s="13">
        <f>IF('Données projet'!$A$88&gt;35,BD8+BC9-BL8,IF(A9&lt;'Données projet'!$A$88,$BA$205^A9,IF(A9='Données projet'!$A$88,'Données projet'!$B$88,BD8+BC9-BL8)))</f>
        <v>6.4473057272669099</v>
      </c>
      <c r="BE9" s="14">
        <f>BD9*VLOOKUP('Données projet'!$B$11,Paramètres!$A$1:$I$89,3,0)*VLOOKUP('Données projet'!$B$11,Paramètres!$A$1:$I$89,5,0)</f>
        <v>3.3794197700042239</v>
      </c>
      <c r="BF9" s="14">
        <f t="shared" si="37"/>
        <v>1.3515651348958995</v>
      </c>
      <c r="BG9" s="22">
        <f t="shared" si="7"/>
        <v>8.2397987093677134</v>
      </c>
      <c r="BH9" s="62">
        <f t="shared" si="8"/>
        <v>204.56540542830007</v>
      </c>
      <c r="BI9" s="62">
        <f ca="1">AVERAGE(OFFSET($BH$3,0,0,'Données projet'!$E$11+1,1))-AVERAGE(OFFSET($H$3,0,0,'Données projet'!$E$11+1,1))</f>
        <v>68.47741055388687</v>
      </c>
      <c r="BJ9" s="62">
        <f t="shared" si="38"/>
        <v>335.34467252166542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5.7692307692307692</v>
      </c>
      <c r="BY9" s="13">
        <f>IF('Données projet'!$A$114&gt;35,BY8+BX9-CG8,IF(A9&lt;'Données projet'!$A$114,$BV$205^A9,IF(A9='Données projet'!$A$114,'Données projet'!$B$114,BY8+BX9-CG8)))</f>
        <v>7.3352157257950852</v>
      </c>
      <c r="BZ9" s="14">
        <f>BY9*VLOOKUP('Données projet'!$B$12,Paramètres!$A$1:$I$89,3,0)*VLOOKUP('Données projet'!$B$12,Paramètres!$A$1:$I$89,5,0)</f>
        <v>4.3864590040254612</v>
      </c>
      <c r="CA9" s="14">
        <f t="shared" si="39"/>
        <v>1.7018609031391834</v>
      </c>
      <c r="CB9" s="22">
        <f t="shared" si="10"/>
        <v>10.603823838311754</v>
      </c>
      <c r="CC9" s="62">
        <f t="shared" si="11"/>
        <v>206.92943055724413</v>
      </c>
      <c r="CD9" s="62">
        <f ca="1">AVERAGE(OFFSET($CC$3,0,0,'Données projet'!$E$12+1,1))-AVERAGE(OFFSET($H$3,0,0,'Données projet'!$E$12+1,1))</f>
        <v>211.76609132110815</v>
      </c>
      <c r="CE9" s="62">
        <f t="shared" si="40"/>
        <v>363.07965692095752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14.2</v>
      </c>
      <c r="CT9" s="13">
        <f>IF('Données projet'!$A$140&gt;35,CT8+CS9-DB8,IF(A9&lt;'Données projet'!$A$140,$CQ$205^A9,IF(A9='Données projet'!$A$140,'Données projet'!$B$140,CT8+CS9-DB8)))</f>
        <v>42.2</v>
      </c>
      <c r="CU9" s="18">
        <f>CT9*VLOOKUP('Données projet'!$B$13,Paramètres!$A$1:$I$89,3,0)*VLOOKUP('Données projet'!$B$13,Paramètres!$A$1:$I$89,5,0)</f>
        <v>38.182560000000002</v>
      </c>
      <c r="CV9" s="14">
        <f t="shared" si="41"/>
        <v>11.515638334288104</v>
      </c>
      <c r="CW9" s="22">
        <f t="shared" si="13"/>
        <v>86.557695432218452</v>
      </c>
      <c r="CX9" s="62">
        <f t="shared" si="14"/>
        <v>282.88330215115082</v>
      </c>
      <c r="CY9" s="62">
        <f ca="1">AVERAGE(OFFSET($CX$3,0,0,'Données projet'!$E$13+1,1))-AVERAGE(OFFSET($H$3,0,0,'Données projet'!$E$13+1,1))</f>
        <v>374.91250349988451</v>
      </c>
      <c r="CZ9" s="62">
        <f t="shared" si="42"/>
        <v>529.46825265662869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3.95</v>
      </c>
      <c r="DO9" s="13">
        <f>IF('Données projet'!$A$166&gt;35,DO8+DN9-DW8,IF(A9&lt;'Données projet'!$A$166,$DL$205^A9,IF(A9='Données projet'!$A$166,'Données projet'!$B$166,DO8+DN9-DW8)))</f>
        <v>3.709267269905157</v>
      </c>
      <c r="DP9" s="18">
        <f>DO9*VLOOKUP('Données projet'!$B$14,Paramètres!$A$1:$I$89,3,0)*VLOOKUP('Données projet'!$B$14,Paramètres!$A$1:$I$89,5,0)</f>
        <v>3.2404158869891453</v>
      </c>
      <c r="DQ9" s="14">
        <f t="shared" si="43"/>
        <v>1.3023235379849323</v>
      </c>
      <c r="DR9" s="22">
        <f t="shared" si="16"/>
        <v>7.9119378318298503</v>
      </c>
      <c r="DS9" s="62">
        <f t="shared" si="17"/>
        <v>204.23754455076221</v>
      </c>
      <c r="DT9" s="62">
        <f ca="1">AVERAGE(OFFSET($DS$3,0,0,'Données projet'!$E$14+1,1))-AVERAGE(OFFSET($H$3,0,0,'Données projet'!$E$14+1,1))</f>
        <v>289.18543665577761</v>
      </c>
      <c r="DU9" s="62">
        <f t="shared" si="44"/>
        <v>291.40065947222843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3.65</v>
      </c>
      <c r="EJ9" s="13">
        <f>IF('Données projet'!$A$192&gt;35,EJ8+EI9-ER8,IF(A9&lt;'Données projet'!$A$192,$EG$205^A9,IF(A9='Données projet'!$A$192,'Données projet'!$B$192,EJ8+EI9-ER8)))</f>
        <v>3.6224037772879885</v>
      </c>
      <c r="EK9" s="18">
        <f>EJ9*VLOOKUP('Données projet'!$B$15,Paramètres!$A$1:$I$89,3,0)*VLOOKUP('Données projet'!$B$15,Paramètres!$A$1:$I$89,5,0)</f>
        <v>3.6731174301700205</v>
      </c>
      <c r="EL9" s="14">
        <f t="shared" si="45"/>
        <v>1.4548453345092642</v>
      </c>
      <c r="EM9" s="22">
        <f t="shared" si="19"/>
        <v>8.9312018151497536</v>
      </c>
      <c r="EN9" s="62">
        <f t="shared" si="20"/>
        <v>205.25680853408213</v>
      </c>
      <c r="EO9" s="62">
        <f ca="1">AVERAGE(OFFSET($EN$3,0,0,'Données projet'!$E$15+1,1))-AVERAGE(OFFSET($H$3,0,0,'Données projet'!$E$15+1,1))</f>
        <v>514.72748286045442</v>
      </c>
      <c r="EP9" s="62">
        <f t="shared" si="46"/>
        <v>322.28702110656116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51.54334728698155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4.0999999999999996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15.033333333333331</v>
      </c>
      <c r="H10" s="70">
        <f t="shared" si="1"/>
        <v>196.53333333333333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16.7</v>
      </c>
      <c r="N10" s="14">
        <f>IF('Données projet'!$A$36&gt;35,N9+M10-V9,IF(A10&lt;'Données projet'!$A$36,$K$205^A10,IF(A10='Données projet'!$A$36,'Données projet'!$B$36,N9+M10-V9)))</f>
        <v>35.966777627448295</v>
      </c>
      <c r="O10" s="14">
        <f>N10*VLOOKUP('Données projet'!$B$9,Paramètres!$A$1:$I$89,3,0)*VLOOKUP('Données projet'!$B$9,Paramètres!$A$1:$I$89,5,0)</f>
        <v>31.420576935338836</v>
      </c>
      <c r="P10" s="14">
        <f t="shared" si="33"/>
        <v>9.6937204745731886</v>
      </c>
      <c r="Q10" s="22">
        <f t="shared" si="2"/>
        <v>71.607401322263442</v>
      </c>
      <c r="R10" s="62">
        <f t="shared" si="0"/>
        <v>270.32922968956717</v>
      </c>
      <c r="S10" s="62">
        <f ca="1">AVERAGE(OFFSET($R$3,0,0,'Données projet'!$E$9+1,1))-AVERAGE(OFFSET($H$3,0,0,'Données projet'!$E$9+1,1))</f>
        <v>70.794576398719499</v>
      </c>
      <c r="T10" s="62">
        <f t="shared" si="34"/>
        <v>328.91236364911629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4.0617724818240486</v>
      </c>
      <c r="AK10" s="14">
        <f t="shared" si="35"/>
        <v>1.590058719758437</v>
      </c>
      <c r="AL10" s="22">
        <f t="shared" si="4"/>
        <v>9.8436060094228282</v>
      </c>
      <c r="AM10" s="62">
        <f t="shared" si="5"/>
        <v>208.56543437672656</v>
      </c>
      <c r="AN10" s="62">
        <f ca="1">AVERAGE(OFFSET($AM$3,0,0,'Données projet'!$E$10+1,1))-AVERAGE(OFFSET($H$3,0,0,'Données projet'!$E$10+1,1))</f>
        <v>466.75323833427217</v>
      </c>
      <c r="AO10" s="62">
        <f t="shared" si="36"/>
        <v>293.88550076209378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14.888888888888889</v>
      </c>
      <c r="BD10" s="13">
        <f>IF('Données projet'!$A$88&gt;35,BD9+BC10-BL9,IF(A10&lt;'Données projet'!$A$88,$BA$205^A10,IF(A10='Données projet'!$A$88,'Données projet'!$B$88,BD9+BC10-BL9)))</f>
        <v>8.7957857492068143</v>
      </c>
      <c r="BE10" s="14">
        <f>BD10*VLOOKUP('Données projet'!$B$11,Paramètres!$A$1:$I$89,3,0)*VLOOKUP('Données projet'!$B$11,Paramètres!$A$1:$I$89,5,0)</f>
        <v>4.6103990583042442</v>
      </c>
      <c r="BF10" s="14">
        <f t="shared" si="37"/>
        <v>1.7784080652264116</v>
      </c>
      <c r="BG10" s="22">
        <f t="shared" si="7"/>
        <v>11.127172406815893</v>
      </c>
      <c r="BH10" s="62">
        <f t="shared" si="8"/>
        <v>209.84900077411962</v>
      </c>
      <c r="BI10" s="62">
        <f ca="1">AVERAGE(OFFSET($BH$3,0,0,'Données projet'!$E$11+1,1))-AVERAGE(OFFSET($H$3,0,0,'Données projet'!$E$11+1,1))</f>
        <v>68.47741055388687</v>
      </c>
      <c r="BJ10" s="62">
        <f t="shared" si="38"/>
        <v>335.34467252166542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5.7692307692307692</v>
      </c>
      <c r="BY10" s="13">
        <f>IF('Données projet'!$A$114&gt;35,BY9+BX10-CG9,IF(A10&lt;'Données projet'!$A$114,$BV$205^A10,IF(A10='Données projet'!$A$114,'Données projet'!$B$114,BY9+BX10-CG9)))</f>
        <v>10.224648163550844</v>
      </c>
      <c r="BZ10" s="14">
        <f>BY10*VLOOKUP('Données projet'!$B$12,Paramètres!$A$1:$I$89,3,0)*VLOOKUP('Données projet'!$B$12,Paramètres!$A$1:$I$89,5,0)</f>
        <v>6.1143396018034055</v>
      </c>
      <c r="CA10" s="14">
        <f t="shared" si="39"/>
        <v>2.2822884533736612</v>
      </c>
      <c r="CB10" s="22">
        <f t="shared" si="10"/>
        <v>14.624127196100055</v>
      </c>
      <c r="CC10" s="62">
        <f t="shared" si="11"/>
        <v>213.34595556340378</v>
      </c>
      <c r="CD10" s="62">
        <f ca="1">AVERAGE(OFFSET($CC$3,0,0,'Données projet'!$E$12+1,1))-AVERAGE(OFFSET($H$3,0,0,'Données projet'!$E$12+1,1))</f>
        <v>211.76609132110815</v>
      </c>
      <c r="CE10" s="62">
        <f t="shared" si="40"/>
        <v>363.07965692095752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14.2</v>
      </c>
      <c r="CT10" s="13">
        <f>IF('Données projet'!$A$140&gt;35,CT9+CS10-DB9,IF(A10&lt;'Données projet'!$A$140,$CQ$205^A10,IF(A10='Données projet'!$A$140,'Données projet'!$B$140,CT9+CS10-DB9)))</f>
        <v>56.400000000000006</v>
      </c>
      <c r="CU10" s="18">
        <f>CT10*VLOOKUP('Données projet'!$B$13,Paramètres!$A$1:$I$89,3,0)*VLOOKUP('Données projet'!$B$13,Paramètres!$A$1:$I$89,5,0)</f>
        <v>51.030720000000009</v>
      </c>
      <c r="CV10" s="14">
        <f t="shared" si="41"/>
        <v>14.879630660597618</v>
      </c>
      <c r="CW10" s="22">
        <f t="shared" si="13"/>
        <v>114.79386073387418</v>
      </c>
      <c r="CX10" s="62">
        <f t="shared" si="14"/>
        <v>313.51568910117788</v>
      </c>
      <c r="CY10" s="62">
        <f ca="1">AVERAGE(OFFSET($CX$3,0,0,'Données projet'!$E$13+1,1))-AVERAGE(OFFSET($H$3,0,0,'Données projet'!$E$13+1,1))</f>
        <v>374.91250349988451</v>
      </c>
      <c r="CZ10" s="62">
        <f t="shared" si="42"/>
        <v>529.46825265662869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3.95</v>
      </c>
      <c r="DO10" s="13">
        <f>IF('Données projet'!$A$166&gt;35,DO9+DN10-DW9,IF(A10&lt;'Données projet'!$A$166,$DL$205^A10,IF(A10='Données projet'!$A$166,'Données projet'!$B$166,DO9+DN10-DW9)))</f>
        <v>4.6149763731463613</v>
      </c>
      <c r="DP10" s="18">
        <f>DO10*VLOOKUP('Données projet'!$B$14,Paramètres!$A$1:$I$89,3,0)*VLOOKUP('Données projet'!$B$14,Paramètres!$A$1:$I$89,5,0)</f>
        <v>4.0316433595806611</v>
      </c>
      <c r="DQ10" s="14">
        <f t="shared" si="43"/>
        <v>1.5796324795710794</v>
      </c>
      <c r="DR10" s="22">
        <f t="shared" si="16"/>
        <v>9.772972086522616</v>
      </c>
      <c r="DS10" s="62">
        <f t="shared" si="17"/>
        <v>208.49480045382634</v>
      </c>
      <c r="DT10" s="62">
        <f ca="1">AVERAGE(OFFSET($DS$3,0,0,'Données projet'!$E$14+1,1))-AVERAGE(OFFSET($H$3,0,0,'Données projet'!$E$14+1,1))</f>
        <v>289.18543665577761</v>
      </c>
      <c r="DU10" s="62">
        <f t="shared" si="44"/>
        <v>291.40065947222843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3.65</v>
      </c>
      <c r="EJ10" s="13">
        <f>IF('Données projet'!$A$192&gt;35,EJ9+EI10-ER9,IF(A10&lt;'Données projet'!$A$192,$EG$205^A10,IF(A10='Données projet'!$A$192,'Données projet'!$B$192,EJ9+EI10-ER9)))</f>
        <v>4.4891384635544309</v>
      </c>
      <c r="EK10" s="18">
        <f>EJ10*VLOOKUP('Données projet'!$B$15,Paramètres!$A$1:$I$89,3,0)*VLOOKUP('Données projet'!$B$15,Paramètres!$A$1:$I$89,5,0)</f>
        <v>4.5519864020441929</v>
      </c>
      <c r="EL10" s="14">
        <f t="shared" si="45"/>
        <v>1.7584840343783612</v>
      </c>
      <c r="EM10" s="22">
        <f t="shared" si="19"/>
        <v>10.990736010102614</v>
      </c>
      <c r="EN10" s="62">
        <f t="shared" si="20"/>
        <v>209.71256437740632</v>
      </c>
      <c r="EO10" s="62">
        <f ca="1">AVERAGE(OFFSET($EN$3,0,0,'Données projet'!$E$15+1,1))-AVERAGE(OFFSET($H$3,0,0,'Données projet'!$E$15+1,1))</f>
        <v>514.72748286045442</v>
      </c>
      <c r="EP10" s="62">
        <f t="shared" si="46"/>
        <v>322.28702110656116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51.863528948658583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4.0999999999999996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15.033333333333331</v>
      </c>
      <c r="H11" s="70">
        <f t="shared" si="1"/>
        <v>196.53333333333333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16.7</v>
      </c>
      <c r="N11" s="14">
        <f>IF('Données projet'!$A$36&gt;35,N10+M11-V10,IF(A11&lt;'Données projet'!$A$36,$K$205^A11,IF(A11='Données projet'!$A$36,'Données projet'!$B$36,N10+M11-V10)))</f>
        <v>60.003029339149784</v>
      </c>
      <c r="O11" s="14">
        <f>N11*VLOOKUP('Données projet'!$B$9,Paramètres!$A$1:$I$89,3,0)*VLOOKUP('Données projet'!$B$9,Paramètres!$A$1:$I$89,5,0)</f>
        <v>52.418646430681257</v>
      </c>
      <c r="P11" s="14">
        <f t="shared" si="33"/>
        <v>15.236658007773956</v>
      </c>
      <c r="Q11" s="22">
        <f t="shared" si="2"/>
        <v>117.83298856364281</v>
      </c>
      <c r="R11" s="62">
        <f t="shared" si="0"/>
        <v>318.93067231394372</v>
      </c>
      <c r="S11" s="62">
        <f ca="1">AVERAGE(OFFSET($R$3,0,0,'Données projet'!$E$9+1,1))-AVERAGE(OFFSET($H$3,0,0,'Données projet'!$E$9+1,1))</f>
        <v>70.794576398719499</v>
      </c>
      <c r="T11" s="62">
        <f t="shared" si="34"/>
        <v>328.91236364911629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5.0336351769196082</v>
      </c>
      <c r="AK11" s="14">
        <f t="shared" si="35"/>
        <v>1.9219176128866391</v>
      </c>
      <c r="AL11" s="22">
        <f t="shared" si="4"/>
        <v>12.11425444224588</v>
      </c>
      <c r="AM11" s="62">
        <f t="shared" si="5"/>
        <v>213.21193819254677</v>
      </c>
      <c r="AN11" s="62">
        <f ca="1">AVERAGE(OFFSET($AM$3,0,0,'Données projet'!$E$10+1,1))-AVERAGE(OFFSET($H$3,0,0,'Données projet'!$E$10+1,1))</f>
        <v>466.75323833427217</v>
      </c>
      <c r="AO11" s="62">
        <f t="shared" si="36"/>
        <v>293.88550076209378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14.888888888888889</v>
      </c>
      <c r="BD11" s="13">
        <f>IF('Données projet'!$A$88&gt;35,BD10+BC11-BL10,IF(A11&lt;'Données projet'!$A$88,$BA$205^A11,IF(A11='Données projet'!$A$88,'Données projet'!$B$88,BD10+BC11-BL10)))</f>
        <v>11.999717435262058</v>
      </c>
      <c r="BE11" s="14">
        <f>BD11*VLOOKUP('Données projet'!$B$11,Paramètres!$A$1:$I$89,3,0)*VLOOKUP('Données projet'!$B$11,Paramètres!$A$1:$I$89,5,0)</f>
        <v>6.2897718908669606</v>
      </c>
      <c r="BF11" s="14">
        <f t="shared" si="37"/>
        <v>2.3400538862715989</v>
      </c>
      <c r="BG11" s="22">
        <f t="shared" si="7"/>
        <v>15.030279895182991</v>
      </c>
      <c r="BH11" s="62">
        <f t="shared" si="8"/>
        <v>216.12796364548387</v>
      </c>
      <c r="BI11" s="62">
        <f ca="1">AVERAGE(OFFSET($BH$3,0,0,'Données projet'!$E$11+1,1))-AVERAGE(OFFSET($H$3,0,0,'Données projet'!$E$11+1,1))</f>
        <v>68.47741055388687</v>
      </c>
      <c r="BJ11" s="62">
        <f t="shared" si="38"/>
        <v>335.34467252166542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5.7692307692307692</v>
      </c>
      <c r="BY11" s="13">
        <f>IF('Données projet'!$A$114&gt;35,BY10+BX11-CG10,IF(A11&lt;'Données projet'!$A$114,$BV$205^A11,IF(A11='Données projet'!$A$114,'Données projet'!$B$114,BY10+BX11-CG10)))</f>
        <v>14.252263870136129</v>
      </c>
      <c r="BZ11" s="14">
        <f>BY11*VLOOKUP('Données projet'!$B$12,Paramètres!$A$1:$I$89,3,0)*VLOOKUP('Données projet'!$B$12,Paramètres!$A$1:$I$89,5,0)</f>
        <v>8.5228537943414064</v>
      </c>
      <c r="CA11" s="14">
        <f t="shared" si="39"/>
        <v>3.0606735102702713</v>
      </c>
      <c r="CB11" s="22">
        <f t="shared" si="10"/>
        <v>20.174643388865338</v>
      </c>
      <c r="CC11" s="62">
        <f t="shared" si="11"/>
        <v>221.27232713916624</v>
      </c>
      <c r="CD11" s="62">
        <f ca="1">AVERAGE(OFFSET($CC$3,0,0,'Données projet'!$E$12+1,1))-AVERAGE(OFFSET($H$3,0,0,'Données projet'!$E$12+1,1))</f>
        <v>211.76609132110815</v>
      </c>
      <c r="CE11" s="62">
        <f t="shared" si="40"/>
        <v>363.07965692095752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14.2</v>
      </c>
      <c r="CT11" s="13">
        <f>IF('Données projet'!$A$140&gt;35,CT10+CS11-DB10,IF(A11&lt;'Données projet'!$A$140,$CQ$205^A11,IF(A11='Données projet'!$A$140,'Données projet'!$B$140,CT10+CS11-DB10)))</f>
        <v>70.600000000000009</v>
      </c>
      <c r="CU11" s="18">
        <f>CT11*VLOOKUP('Données projet'!$B$13,Paramètres!$A$1:$I$89,3,0)*VLOOKUP('Données projet'!$B$13,Paramètres!$A$1:$I$89,5,0)</f>
        <v>63.878880000000002</v>
      </c>
      <c r="CV11" s="14">
        <f t="shared" si="41"/>
        <v>18.145367520913332</v>
      </c>
      <c r="CW11" s="22">
        <f t="shared" si="13"/>
        <v>142.85889776559074</v>
      </c>
      <c r="CX11" s="62">
        <f t="shared" si="14"/>
        <v>343.95658151589163</v>
      </c>
      <c r="CY11" s="62">
        <f ca="1">AVERAGE(OFFSET($CX$3,0,0,'Données projet'!$E$13+1,1))-AVERAGE(OFFSET($H$3,0,0,'Données projet'!$E$13+1,1))</f>
        <v>374.91250349988451</v>
      </c>
      <c r="CZ11" s="62">
        <f t="shared" si="42"/>
        <v>529.46825265662869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3.95</v>
      </c>
      <c r="DO11" s="13">
        <f>IF('Données projet'!$A$166&gt;35,DO10+DN11-DW10,IF(A11&lt;'Données projet'!$A$166,$DL$205^A11,IF(A11='Données projet'!$A$166,'Données projet'!$B$166,DO10+DN11-DW10)))</f>
        <v>5.7418366957535838</v>
      </c>
      <c r="DP11" s="18">
        <f>DO11*VLOOKUP('Données projet'!$B$14,Paramètres!$A$1:$I$89,3,0)*VLOOKUP('Données projet'!$B$14,Paramètres!$A$1:$I$89,5,0)</f>
        <v>5.0160685374103311</v>
      </c>
      <c r="DQ11" s="14">
        <f t="shared" si="43"/>
        <v>1.9159899193534717</v>
      </c>
      <c r="DR11" s="22">
        <f t="shared" si="16"/>
        <v>12.073335145530288</v>
      </c>
      <c r="DS11" s="62">
        <f t="shared" si="17"/>
        <v>213.17101889583117</v>
      </c>
      <c r="DT11" s="62">
        <f ca="1">AVERAGE(OFFSET($DS$3,0,0,'Données projet'!$E$14+1,1))-AVERAGE(OFFSET($H$3,0,0,'Données projet'!$E$14+1,1))</f>
        <v>289.18543665577761</v>
      </c>
      <c r="DU11" s="62">
        <f t="shared" si="44"/>
        <v>291.40065947222843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3.65</v>
      </c>
      <c r="EJ11" s="13">
        <f>IF('Données projet'!$A$192&gt;35,EJ10+EI11-ER10,IF(A11&lt;'Données projet'!$A$192,$EG$205^A11,IF(A11='Données projet'!$A$192,'Données projet'!$B$192,EJ10+EI11-ER10)))</f>
        <v>5.563257268920875</v>
      </c>
      <c r="EK11" s="18">
        <f>EJ11*VLOOKUP('Données projet'!$B$15,Paramètres!$A$1:$I$89,3,0)*VLOOKUP('Données projet'!$B$15,Paramètres!$A$1:$I$89,5,0)</f>
        <v>5.6411428706857674</v>
      </c>
      <c r="EL11" s="14">
        <f t="shared" si="45"/>
        <v>2.125494735292019</v>
      </c>
      <c r="EM11" s="22">
        <f t="shared" si="19"/>
        <v>13.526893830411311</v>
      </c>
      <c r="EN11" s="62">
        <f t="shared" si="20"/>
        <v>214.62457758071218</v>
      </c>
      <c r="EO11" s="62">
        <f ca="1">AVERAGE(OFFSET($EN$3,0,0,'Données projet'!$E$15+1,1))-AVERAGE(OFFSET($H$3,0,0,'Données projet'!$E$15+1,1))</f>
        <v>514.72748286045442</v>
      </c>
      <c r="EP11" s="62">
        <f t="shared" si="46"/>
        <v>322.28702110656116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52.178156174324485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4.0999999999999996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15.033333333333331</v>
      </c>
      <c r="H12" s="70">
        <f t="shared" si="1"/>
        <v>196.53333333333333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16.7</v>
      </c>
      <c r="N12" s="14">
        <f>IF('Données projet'!$A$36&gt;35,N11+M12-V11,IF(A12&lt;'Données projet'!$A$36,$K$205^A12,IF(A12='Données projet'!$A$36,'Données projet'!$B$36,N11+M12-V11)))</f>
        <v>100.10247699052216</v>
      </c>
      <c r="O12" s="14">
        <f>N12*VLOOKUP('Données projet'!$B$9,Paramètres!$A$1:$I$89,3,0)*VLOOKUP('Données projet'!$B$9,Paramètres!$A$1:$I$89,5,0)</f>
        <v>87.449523898920177</v>
      </c>
      <c r="P12" s="14">
        <f t="shared" si="33"/>
        <v>23.949086200165471</v>
      </c>
      <c r="Q12" s="22">
        <f t="shared" si="2"/>
        <v>194.01924592257419</v>
      </c>
      <c r="R12" s="62">
        <f t="shared" si="0"/>
        <v>397.47277209967012</v>
      </c>
      <c r="S12" s="62">
        <f ca="1">AVERAGE(OFFSET($R$3,0,0,'Données projet'!$E$9+1,1))-AVERAGE(OFFSET($H$3,0,0,'Données projet'!$E$9+1,1))</f>
        <v>70.794576398719499</v>
      </c>
      <c r="T12" s="62">
        <f t="shared" si="34"/>
        <v>328.91236364911629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6.2380360317336141</v>
      </c>
      <c r="AK12" s="14">
        <f t="shared" si="35"/>
        <v>2.3230383034439352</v>
      </c>
      <c r="AL12" s="22">
        <f t="shared" si="4"/>
        <v>14.910537800434229</v>
      </c>
      <c r="AM12" s="62">
        <f t="shared" si="5"/>
        <v>218.36406397753018</v>
      </c>
      <c r="AN12" s="62">
        <f ca="1">AVERAGE(OFFSET($AM$3,0,0,'Données projet'!$E$10+1,1))-AVERAGE(OFFSET($H$3,0,0,'Données projet'!$E$10+1,1))</f>
        <v>466.75323833427217</v>
      </c>
      <c r="AO12" s="62">
        <f t="shared" si="36"/>
        <v>293.88550076209378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14.888888888888889</v>
      </c>
      <c r="BD12" s="13">
        <f>IF('Données projet'!$A$88&gt;35,BD11+BC12-BL11,IF(A12&lt;'Données projet'!$A$88,$BA$205^A12,IF(A12='Données projet'!$A$88,'Données projet'!$B$88,BD11+BC12-BL11)))</f>
        <v>16.370705543744883</v>
      </c>
      <c r="BE12" s="14">
        <f>BD12*VLOOKUP('Données projet'!$B$11,Paramètres!$A$1:$I$89,3,0)*VLOOKUP('Données projet'!$B$11,Paramètres!$A$1:$I$89,5,0)</f>
        <v>8.5808690178093183</v>
      </c>
      <c r="BF12" s="14">
        <f t="shared" si="37"/>
        <v>3.0790752121098111</v>
      </c>
      <c r="BG12" s="22">
        <f t="shared" si="7"/>
        <v>20.307736200442484</v>
      </c>
      <c r="BH12" s="62">
        <f t="shared" si="8"/>
        <v>223.76126237753843</v>
      </c>
      <c r="BI12" s="62">
        <f ca="1">AVERAGE(OFFSET($BH$3,0,0,'Données projet'!$E$11+1,1))-AVERAGE(OFFSET($H$3,0,0,'Données projet'!$E$11+1,1))</f>
        <v>68.47741055388687</v>
      </c>
      <c r="BJ12" s="62">
        <f t="shared" si="38"/>
        <v>335.34467252166542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5.7692307692307692</v>
      </c>
      <c r="BY12" s="13">
        <f>IF('Données projet'!$A$114&gt;35,BY11+BX12-CG11,IF(A12&lt;'Données projet'!$A$114,$BV$205^A12,IF(A12='Données projet'!$A$114,'Données projet'!$B$114,BY11+BX12-CG11)))</f>
        <v>19.866407349653503</v>
      </c>
      <c r="BZ12" s="14">
        <f>BY12*VLOOKUP('Données projet'!$B$12,Paramètres!$A$1:$I$89,3,0)*VLOOKUP('Données projet'!$B$12,Paramètres!$A$1:$I$89,5,0)</f>
        <v>11.880111595092796</v>
      </c>
      <c r="CA12" s="14">
        <f t="shared" si="39"/>
        <v>4.1045303991363813</v>
      </c>
      <c r="CB12" s="22">
        <f t="shared" si="10"/>
        <v>27.839918139949148</v>
      </c>
      <c r="CC12" s="62">
        <f t="shared" si="11"/>
        <v>231.2934443170451</v>
      </c>
      <c r="CD12" s="62">
        <f ca="1">AVERAGE(OFFSET($CC$3,0,0,'Données projet'!$E$12+1,1))-AVERAGE(OFFSET($H$3,0,0,'Données projet'!$E$12+1,1))</f>
        <v>211.76609132110815</v>
      </c>
      <c r="CE12" s="62">
        <f t="shared" si="40"/>
        <v>363.07965692095752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14.2</v>
      </c>
      <c r="CT12" s="13">
        <f>IF('Données projet'!$A$140&gt;35,CT11+CS12-DB11,IF(A12&lt;'Données projet'!$A$140,$CQ$205^A12,IF(A12='Données projet'!$A$140,'Données projet'!$B$140,CT11+CS12-DB11)))</f>
        <v>84.800000000000011</v>
      </c>
      <c r="CU12" s="18">
        <f>CT12*VLOOKUP('Données projet'!$B$13,Paramètres!$A$1:$I$89,3,0)*VLOOKUP('Données projet'!$B$13,Paramètres!$A$1:$I$89,5,0)</f>
        <v>76.727040000000017</v>
      </c>
      <c r="CV12" s="14">
        <f t="shared" si="41"/>
        <v>21.334993267156719</v>
      </c>
      <c r="CW12" s="22">
        <f t="shared" si="13"/>
        <v>170.79137460696464</v>
      </c>
      <c r="CX12" s="62">
        <f t="shared" si="14"/>
        <v>374.24490078406058</v>
      </c>
      <c r="CY12" s="62">
        <f ca="1">AVERAGE(OFFSET($CX$3,0,0,'Données projet'!$E$13+1,1))-AVERAGE(OFFSET($H$3,0,0,'Données projet'!$E$13+1,1))</f>
        <v>374.91250349988451</v>
      </c>
      <c r="CZ12" s="62">
        <f t="shared" si="42"/>
        <v>529.46825265662869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3.95</v>
      </c>
      <c r="DO12" s="13">
        <f>IF('Données projet'!$A$166&gt;35,DO11+DN12-DW11,IF(A12&lt;'Données projet'!$A$166,$DL$205^A12,IF(A12='Données projet'!$A$166,'Données projet'!$B$166,DO11+DN12-DW11)))</f>
        <v>7.143847763238993</v>
      </c>
      <c r="DP12" s="18">
        <f>DO12*VLOOKUP('Données projet'!$B$14,Paramètres!$A$1:$I$89,3,0)*VLOOKUP('Données projet'!$B$14,Paramètres!$A$1:$I$89,5,0)</f>
        <v>6.2408654059655859</v>
      </c>
      <c r="DQ12" s="14">
        <f t="shared" si="43"/>
        <v>2.3239692894013682</v>
      </c>
      <c r="DR12" s="22">
        <f t="shared" si="16"/>
        <v>14.917087094430778</v>
      </c>
      <c r="DS12" s="62">
        <f t="shared" si="17"/>
        <v>218.37061327152671</v>
      </c>
      <c r="DT12" s="62">
        <f ca="1">AVERAGE(OFFSET($DS$3,0,0,'Données projet'!$E$14+1,1))-AVERAGE(OFFSET($H$3,0,0,'Données projet'!$E$14+1,1))</f>
        <v>289.18543665577761</v>
      </c>
      <c r="DU12" s="62">
        <f t="shared" si="44"/>
        <v>291.40065947222843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3.65</v>
      </c>
      <c r="EJ12" s="13">
        <f>IF('Données projet'!$A$192&gt;35,EJ11+EI12-ER11,IF(A12&lt;'Données projet'!$A$192,$EG$205^A12,IF(A12='Données projet'!$A$192,'Données projet'!$B$192,EJ11+EI12-ER11)))</f>
        <v>6.8943811137639424</v>
      </c>
      <c r="EK12" s="18">
        <f>EJ12*VLOOKUP('Données projet'!$B$15,Paramètres!$A$1:$I$89,3,0)*VLOOKUP('Données projet'!$B$15,Paramètres!$A$1:$I$89,5,0)</f>
        <v>6.9909024493566383</v>
      </c>
      <c r="EL12" s="14">
        <f t="shared" si="45"/>
        <v>2.5691037174250742</v>
      </c>
      <c r="EM12" s="22">
        <f t="shared" si="19"/>
        <v>16.650344073811482</v>
      </c>
      <c r="EN12" s="62">
        <f t="shared" si="20"/>
        <v>220.10387025090742</v>
      </c>
      <c r="EO12" s="62">
        <f ca="1">AVERAGE(OFFSET($EN$3,0,0,'Données projet'!$E$15+1,1))-AVERAGE(OFFSET($H$3,0,0,'Données projet'!$E$15+1,1))</f>
        <v>514.72748286045442</v>
      </c>
      <c r="EP12" s="62">
        <f t="shared" si="46"/>
        <v>322.28702110656116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52.487325321026169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4.0999999999999996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15.033333333333331</v>
      </c>
      <c r="H13" s="70">
        <f t="shared" si="1"/>
        <v>196.53333333333333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167</v>
      </c>
      <c r="L13" s="13">
        <f>VLOOKUP(A13,'Données projet'!$A$35:$I$55,9,0)</f>
        <v>16.7</v>
      </c>
      <c r="M13" s="13">
        <f t="array" ref="M13">INDEX(L:L,MIN(IF(ISNUMBER(L13:L209),ROW(L13:L209),"")))</f>
        <v>16.7</v>
      </c>
      <c r="N13" s="14">
        <f>IF('Données projet'!$A$36&gt;35,N12+M13-V12,IF(A13&lt;'Données projet'!$A$36,$K$205^A13,IF(A13='Données projet'!$A$36,'Données projet'!$B$36,N12+M13-V12)))</f>
        <v>167</v>
      </c>
      <c r="O13" s="14">
        <f>N13*VLOOKUP('Données projet'!$B$9,Paramètres!$A$1:$I$89,3,0)*VLOOKUP('Données projet'!$B$9,Paramètres!$A$1:$I$89,5,0)</f>
        <v>145.89120000000003</v>
      </c>
      <c r="P13" s="14">
        <f t="shared" si="33"/>
        <v>37.643342098399685</v>
      </c>
      <c r="Q13" s="22">
        <f t="shared" si="2"/>
        <v>319.6559941547128</v>
      </c>
      <c r="R13" s="62">
        <f t="shared" si="0"/>
        <v>525.44569698244959</v>
      </c>
      <c r="S13" s="62">
        <f ca="1">AVERAGE(OFFSET($R$3,0,0,'Données projet'!$E$9+1,1))-AVERAGE(OFFSET($H$3,0,0,'Données projet'!$E$9+1,1))</f>
        <v>70.794576398719499</v>
      </c>
      <c r="T13" s="62">
        <f t="shared" si="34"/>
        <v>328.91236364911629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167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1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137.65227380407759</v>
      </c>
      <c r="AC13" s="24">
        <f t="shared" si="3"/>
        <v>137.65227380407759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7.7306145887633031</v>
      </c>
      <c r="AK13" s="14">
        <f t="shared" si="35"/>
        <v>2.8078763226288115</v>
      </c>
      <c r="AL13" s="22">
        <f t="shared" si="4"/>
        <v>18.354538337341264</v>
      </c>
      <c r="AM13" s="62">
        <f t="shared" si="5"/>
        <v>224.14424116507809</v>
      </c>
      <c r="AN13" s="62">
        <f ca="1">AVERAGE(OFFSET($AM$3,0,0,'Données projet'!$E$10+1,1))-AVERAGE(OFFSET($H$3,0,0,'Données projet'!$E$10+1,1))</f>
        <v>466.75323833427217</v>
      </c>
      <c r="AO13" s="62">
        <f t="shared" si="36"/>
        <v>293.88550076209378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14.888888888888889</v>
      </c>
      <c r="BD13" s="13">
        <f>IF('Données projet'!$A$88&gt;35,BD12+BC13-BL12,IF(A13&lt;'Données projet'!$A$88,$BA$205^A13,IF(A13='Données projet'!$A$88,'Données projet'!$B$88,BD12+BC13-BL12)))</f>
        <v>22.333859230090003</v>
      </c>
      <c r="BE13" s="14">
        <f>BD13*VLOOKUP('Données projet'!$B$11,Paramètres!$A$1:$I$89,3,0)*VLOOKUP('Données projet'!$B$11,Paramètres!$A$1:$I$89,5,0)</f>
        <v>11.706515654043976</v>
      </c>
      <c r="BF13" s="14">
        <f t="shared" si="37"/>
        <v>4.0514896761350494</v>
      </c>
      <c r="BG13" s="22">
        <f t="shared" si="7"/>
        <v>27.445192616728466</v>
      </c>
      <c r="BH13" s="62">
        <f t="shared" si="8"/>
        <v>233.23489544446528</v>
      </c>
      <c r="BI13" s="62">
        <f ca="1">AVERAGE(OFFSET($BH$3,0,0,'Données projet'!$E$11+1,1))-AVERAGE(OFFSET($H$3,0,0,'Données projet'!$E$11+1,1))</f>
        <v>68.47741055388687</v>
      </c>
      <c r="BJ13" s="62">
        <f t="shared" si="38"/>
        <v>335.34467252166542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5.7692307692307692</v>
      </c>
      <c r="BY13" s="13">
        <f>IF('Données projet'!$A$114&gt;35,BY12+BX13-CG12,IF(A13&lt;'Données projet'!$A$114,$BV$205^A13,IF(A13='Données projet'!$A$114,'Données projet'!$B$114,BY12+BX13-CG12)))</f>
        <v>27.69203156625229</v>
      </c>
      <c r="BZ13" s="14">
        <f>BY13*VLOOKUP('Données projet'!$B$12,Paramètres!$A$1:$I$89,3,0)*VLOOKUP('Données projet'!$B$12,Paramètres!$A$1:$I$89,5,0)</f>
        <v>16.559834876618869</v>
      </c>
      <c r="CA13" s="14">
        <f t="shared" si="39"/>
        <v>5.5043995188977117</v>
      </c>
      <c r="CB13" s="22">
        <f t="shared" si="10"/>
        <v>38.428541572191371</v>
      </c>
      <c r="CC13" s="62">
        <f t="shared" si="11"/>
        <v>244.21824439992818</v>
      </c>
      <c r="CD13" s="62">
        <f ca="1">AVERAGE(OFFSET($CC$3,0,0,'Données projet'!$E$12+1,1))-AVERAGE(OFFSET($H$3,0,0,'Données projet'!$E$12+1,1))</f>
        <v>211.76609132110815</v>
      </c>
      <c r="CE13" s="62">
        <f t="shared" si="40"/>
        <v>363.07965692095752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99</v>
      </c>
      <c r="CR13" s="13">
        <f>VLOOKUP(A13,'Données projet'!$A$139:$I$159,9,0)</f>
        <v>14.2</v>
      </c>
      <c r="CS13" s="13">
        <f t="array" ref="CS13">INDEX(CR:CR,MIN(IF(ISNUMBER(CR13:CR209),ROW(CR13:CR209),"")))</f>
        <v>14.2</v>
      </c>
      <c r="CT13" s="13">
        <f>IF('Données projet'!$A$140&gt;35,CT12+CS13-DB12,IF(A13&lt;'Données projet'!$A$140,$CQ$205^A13,IF(A13='Données projet'!$A$140,'Données projet'!$B$140,CT12+CS13-DB12)))</f>
        <v>99.000000000000014</v>
      </c>
      <c r="CU13" s="18">
        <f>CT13*VLOOKUP('Données projet'!$B$13,Paramètres!$A$1:$I$89,3,0)*VLOOKUP('Données projet'!$B$13,Paramètres!$A$1:$I$89,5,0)</f>
        <v>89.575200000000009</v>
      </c>
      <c r="CV13" s="14">
        <f t="shared" si="41"/>
        <v>24.462745269668691</v>
      </c>
      <c r="CW13" s="22">
        <f t="shared" si="13"/>
        <v>198.61608801133966</v>
      </c>
      <c r="CX13" s="62">
        <f t="shared" si="14"/>
        <v>404.40579083907647</v>
      </c>
      <c r="CY13" s="62">
        <f ca="1">AVERAGE(OFFSET($CX$3,0,0,'Données projet'!$E$13+1,1))-AVERAGE(OFFSET($H$3,0,0,'Données projet'!$E$13+1,1))</f>
        <v>374.91250349988451</v>
      </c>
      <c r="CZ13" s="62">
        <f t="shared" si="42"/>
        <v>529.46825265662869</v>
      </c>
      <c r="DA13" s="16">
        <f>IF(ISNA(VLOOKUP(A13,'Données projet'!$A$139:$I$159,3,0)),0,VLOOKUP(A13,'Données projet'!$A$139:$I$159,3,0))</f>
        <v>2</v>
      </c>
      <c r="DB13" s="16">
        <f>IF(ISNA(VLOOKUP(A13,'Données projet'!$A$139:$I$159,4,0)),0,VLOOKUP(A13,'Données projet'!$A$139:$I$159,4,0))</f>
        <v>28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3.95</v>
      </c>
      <c r="DO13" s="13">
        <f>IF('Données projet'!$A$166&gt;35,DO12+DN13-DW12,IF(A13&lt;'Données projet'!$A$166,$DL$205^A13,IF(A13='Données projet'!$A$166,'Données projet'!$B$166,DO12+DN13-DW12)))</f>
        <v>8.8881944173155834</v>
      </c>
      <c r="DP13" s="18">
        <f>DO13*VLOOKUP('Données projet'!$B$14,Paramètres!$A$1:$I$89,3,0)*VLOOKUP('Données projet'!$B$14,Paramètres!$A$1:$I$89,5,0)</f>
        <v>7.7647266429668944</v>
      </c>
      <c r="DQ13" s="14">
        <f t="shared" si="43"/>
        <v>2.8188213327881941</v>
      </c>
      <c r="DR13" s="22">
        <f t="shared" si="16"/>
        <v>18.433012724440111</v>
      </c>
      <c r="DS13" s="62">
        <f t="shared" si="17"/>
        <v>224.22271555217694</v>
      </c>
      <c r="DT13" s="62">
        <f ca="1">AVERAGE(OFFSET($DS$3,0,0,'Données projet'!$E$14+1,1))-AVERAGE(OFFSET($H$3,0,0,'Données projet'!$E$14+1,1))</f>
        <v>289.18543665577761</v>
      </c>
      <c r="DU13" s="62">
        <f t="shared" si="44"/>
        <v>291.40065947222843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3.65</v>
      </c>
      <c r="EJ13" s="13">
        <f>IF('Données projet'!$A$192&gt;35,EJ12+EI13-ER12,IF(A13&lt;'Données projet'!$A$192,$EG$205^A13,IF(A13='Données projet'!$A$192,'Données projet'!$B$192,EJ12+EI13-ER12)))</f>
        <v>8.5440037453175322</v>
      </c>
      <c r="EK13" s="18">
        <f>EJ13*VLOOKUP('Données projet'!$B$15,Paramètres!$A$1:$I$89,3,0)*VLOOKUP('Données projet'!$B$15,Paramètres!$A$1:$I$89,5,0)</f>
        <v>8.6636197977519771</v>
      </c>
      <c r="EL13" s="14">
        <f t="shared" si="45"/>
        <v>3.1052976990698267</v>
      </c>
      <c r="EM13" s="22">
        <f t="shared" si="19"/>
        <v>20.497531306964643</v>
      </c>
      <c r="EN13" s="62">
        <f t="shared" si="20"/>
        <v>226.28723413470146</v>
      </c>
      <c r="EO13" s="62">
        <f ca="1">AVERAGE(OFFSET($EN$3,0,0,'Données projet'!$E$15+1,1))-AVERAGE(OFFSET($H$3,0,0,'Données projet'!$E$15+1,1))</f>
        <v>514.72748286045442</v>
      </c>
      <c r="EP13" s="62">
        <f t="shared" si="46"/>
        <v>322.28702110656116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52.791131074231252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4.0999999999999996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15.033333333333331</v>
      </c>
      <c r="H14" s="70">
        <f t="shared" si="1"/>
        <v>196.53333333333333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0</v>
      </c>
      <c r="N14" s="14">
        <f>IF('Données projet'!$A$36&gt;35,N13+M14-V13,IF(A14&lt;'Données projet'!$A$36,$K$205^A14,IF(A14='Données projet'!$A$36,'Données projet'!$B$36,N13+M14-V13)))</f>
        <v>0</v>
      </c>
      <c r="O14" s="14">
        <f>N14*VLOOKUP('Données projet'!$B$9,Paramètres!$A$1:$I$89,3,0)*VLOOKUP('Données projet'!$B$9,Paramètres!$A$1:$I$89,5,0)</f>
        <v>0</v>
      </c>
      <c r="P14" s="14" t="e">
        <f t="shared" si="33"/>
        <v>#NUM!</v>
      </c>
      <c r="Q14" s="22" t="e">
        <f t="shared" si="2"/>
        <v>#NUM!</v>
      </c>
      <c r="R14" s="62" t="e">
        <f t="shared" si="0"/>
        <v>#NUM!</v>
      </c>
      <c r="S14" s="62">
        <f ca="1">AVERAGE(OFFSET($R$3,0,0,'Données projet'!$E$9+1,1))-AVERAGE(OFFSET($H$3,0,0,'Données projet'!$E$9+1,1))</f>
        <v>70.794576398719499</v>
      </c>
      <c r="T14" s="62">
        <f t="shared" si="34"/>
        <v>328.91236364911629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97.334856252610635</v>
      </c>
      <c r="AC14" s="24">
        <f t="shared" si="3"/>
        <v>97.334856252610635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9.5803232966244067</v>
      </c>
      <c r="AK14" s="14">
        <f t="shared" si="35"/>
        <v>3.3939041949894282</v>
      </c>
      <c r="AL14" s="22">
        <f t="shared" si="4"/>
        <v>22.596779547894098</v>
      </c>
      <c r="AM14" s="62">
        <f t="shared" si="5"/>
        <v>230.70333440736769</v>
      </c>
      <c r="AN14" s="62">
        <f ca="1">AVERAGE(OFFSET($AM$3,0,0,'Données projet'!$E$10+1,1))-AVERAGE(OFFSET($H$3,0,0,'Données projet'!$E$10+1,1))</f>
        <v>466.75323833427217</v>
      </c>
      <c r="AO14" s="62">
        <f t="shared" si="36"/>
        <v>293.88550076209378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14.888888888888889</v>
      </c>
      <c r="BD14" s="13">
        <f>IF('Données projet'!$A$88&gt;35,BD13+BC14-BL13,IF(A14&lt;'Données projet'!$A$88,$BA$205^A14,IF(A14='Données projet'!$A$88,'Données projet'!$B$88,BD13+BC14-BL13)))</f>
        <v>30.469136884577615</v>
      </c>
      <c r="BE14" s="14">
        <f>BD14*VLOOKUP('Données projet'!$B$11,Paramètres!$A$1:$I$89,3,0)*VLOOKUP('Données projet'!$B$11,Paramètres!$A$1:$I$89,5,0)</f>
        <v>15.970702789420203</v>
      </c>
      <c r="BF14" s="14">
        <f t="shared" si="37"/>
        <v>5.3310060537889461</v>
      </c>
      <c r="BG14" s="22">
        <f t="shared" si="7"/>
        <v>37.100476235255933</v>
      </c>
      <c r="BH14" s="62">
        <f t="shared" si="8"/>
        <v>245.20703109472953</v>
      </c>
      <c r="BI14" s="62">
        <f ca="1">AVERAGE(OFFSET($BH$3,0,0,'Données projet'!$E$11+1,1))-AVERAGE(OFFSET($H$3,0,0,'Données projet'!$E$11+1,1))</f>
        <v>68.47741055388687</v>
      </c>
      <c r="BJ14" s="62">
        <f t="shared" si="38"/>
        <v>335.34467252166542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5.7692307692307692</v>
      </c>
      <c r="BY14" s="13">
        <f>IF('Données projet'!$A$114&gt;35,BY13+BX14-CG13,IF(A14&lt;'Données projet'!$A$114,$BV$205^A14,IF(A14='Données projet'!$A$114,'Données projet'!$B$114,BY13+BX14-CG13)))</f>
        <v>38.600266206646971</v>
      </c>
      <c r="BZ14" s="14">
        <f>BY14*VLOOKUP('Données projet'!$B$12,Paramètres!$A$1:$I$89,3,0)*VLOOKUP('Données projet'!$B$12,Paramètres!$A$1:$I$89,5,0)</f>
        <v>23.08295919157489</v>
      </c>
      <c r="CA14" s="14">
        <f t="shared" si="39"/>
        <v>7.3817004912465372</v>
      </c>
      <c r="CB14" s="22">
        <f t="shared" si="10"/>
        <v>53.059282280913983</v>
      </c>
      <c r="CC14" s="62">
        <f t="shared" si="11"/>
        <v>261.16583714038757</v>
      </c>
      <c r="CD14" s="62">
        <f ca="1">AVERAGE(OFFSET($CC$3,0,0,'Données projet'!$E$12+1,1))-AVERAGE(OFFSET($H$3,0,0,'Données projet'!$E$12+1,1))</f>
        <v>211.76609132110815</v>
      </c>
      <c r="CE14" s="62">
        <f t="shared" si="40"/>
        <v>363.07965692095752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13.8</v>
      </c>
      <c r="CT14" s="13">
        <f>IF('Données projet'!$A$140&gt;35,CT13+CS14-DB13,IF(A14&lt;'Données projet'!$A$140,$CQ$205^A14,IF(A14='Données projet'!$A$140,'Données projet'!$B$140,CT13+CS14-DB13)))</f>
        <v>84.800000000000011</v>
      </c>
      <c r="CU14" s="18">
        <f>CT14*VLOOKUP('Données projet'!$B$13,Paramètres!$A$1:$I$89,3,0)*VLOOKUP('Données projet'!$B$13,Paramètres!$A$1:$I$89,5,0)</f>
        <v>76.727040000000017</v>
      </c>
      <c r="CV14" s="14">
        <f t="shared" si="41"/>
        <v>21.334993267156719</v>
      </c>
      <c r="CW14" s="22">
        <f t="shared" si="13"/>
        <v>170.79137460696464</v>
      </c>
      <c r="CX14" s="62">
        <f t="shared" si="14"/>
        <v>378.8979294664382</v>
      </c>
      <c r="CY14" s="62">
        <f ca="1">AVERAGE(OFFSET($CX$3,0,0,'Données projet'!$E$13+1,1))-AVERAGE(OFFSET($H$3,0,0,'Données projet'!$E$13+1,1))</f>
        <v>374.91250349988451</v>
      </c>
      <c r="CZ14" s="62">
        <f t="shared" si="42"/>
        <v>529.46825265662869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3.95</v>
      </c>
      <c r="DO14" s="13">
        <f>IF('Données projet'!$A$166&gt;35,DO13+DN14-DW13,IF(A14&lt;'Données projet'!$A$166,$DL$205^A14,IF(A14='Données projet'!$A$166,'Données projet'!$B$166,DO13+DN14-DW13)))</f>
        <v>11.058466336099752</v>
      </c>
      <c r="DP14" s="18">
        <f>DO14*VLOOKUP('Données projet'!$B$14,Paramètres!$A$1:$I$89,3,0)*VLOOKUP('Données projet'!$B$14,Paramètres!$A$1:$I$89,5,0)</f>
        <v>9.6606761912167443</v>
      </c>
      <c r="DQ14" s="14">
        <f t="shared" si="43"/>
        <v>3.4190441940945626</v>
      </c>
      <c r="DR14" s="22">
        <f t="shared" si="16"/>
        <v>22.780513004417188</v>
      </c>
      <c r="DS14" s="62">
        <f t="shared" si="17"/>
        <v>230.88706786389076</v>
      </c>
      <c r="DT14" s="62">
        <f ca="1">AVERAGE(OFFSET($DS$3,0,0,'Données projet'!$E$14+1,1))-AVERAGE(OFFSET($H$3,0,0,'Données projet'!$E$14+1,1))</f>
        <v>289.18543665577761</v>
      </c>
      <c r="DU14" s="62">
        <f t="shared" si="44"/>
        <v>291.40065947222843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3.65</v>
      </c>
      <c r="EJ14" s="13">
        <f>IF('Données projet'!$A$192&gt;35,EJ13+EI14-ER13,IF(A14&lt;'Données projet'!$A$192,$EG$205^A14,IF(A14='Données projet'!$A$192,'Données projet'!$B$192,EJ13+EI14-ER13)))</f>
        <v>10.588332555950936</v>
      </c>
      <c r="EK14" s="18">
        <f>EJ14*VLOOKUP('Données projet'!$B$15,Paramètres!$A$1:$I$89,3,0)*VLOOKUP('Données projet'!$B$15,Paramètres!$A$1:$I$89,5,0)</f>
        <v>10.736569211734251</v>
      </c>
      <c r="EL14" s="14">
        <f t="shared" si="45"/>
        <v>3.7533999637480915</v>
      </c>
      <c r="EM14" s="22">
        <f t="shared" si="19"/>
        <v>25.23669631396508</v>
      </c>
      <c r="EN14" s="62">
        <f t="shared" si="20"/>
        <v>233.34325117343866</v>
      </c>
      <c r="EO14" s="62">
        <f ca="1">AVERAGE(OFFSET($EN$3,0,0,'Données projet'!$E$15+1,1))-AVERAGE(OFFSET($H$3,0,0,'Données projet'!$E$15+1,1))</f>
        <v>514.72748286045442</v>
      </c>
      <c r="EP14" s="62">
        <f t="shared" si="46"/>
        <v>322.28702110656116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53.089666476826132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4.0999999999999996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15.033333333333331</v>
      </c>
      <c r="H15" s="70">
        <f t="shared" si="1"/>
        <v>196.53333333333333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0</v>
      </c>
      <c r="N15" s="14">
        <f>IF('Données projet'!$A$36&gt;35,N14+M15-V14,IF(A15&lt;'Données projet'!$A$36,$K$205^A15,IF(A15='Données projet'!$A$36,'Données projet'!$B$36,N14+M15-V14)))</f>
        <v>0</v>
      </c>
      <c r="O15" s="14">
        <f>N15*VLOOKUP('Données projet'!$B$9,Paramètres!$A$1:$I$89,3,0)*VLOOKUP('Données projet'!$B$9,Paramètres!$A$1:$I$89,5,0)</f>
        <v>0</v>
      </c>
      <c r="P15" s="14" t="e">
        <f t="shared" si="33"/>
        <v>#NUM!</v>
      </c>
      <c r="Q15" s="22" t="e">
        <f t="shared" si="2"/>
        <v>#NUM!</v>
      </c>
      <c r="R15" s="62" t="e">
        <f t="shared" si="0"/>
        <v>#NUM!</v>
      </c>
      <c r="S15" s="62">
        <f ca="1">AVERAGE(OFFSET($R$3,0,0,'Données projet'!$E$9+1,1))-AVERAGE(OFFSET($H$3,0,0,'Données projet'!$E$9+1,1))</f>
        <v>70.794576398719499</v>
      </c>
      <c r="T15" s="62">
        <f t="shared" si="34"/>
        <v>328.91236364911629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68.826136902038812</v>
      </c>
      <c r="AC15" s="24">
        <f t="shared" si="3"/>
        <v>68.826136902038812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11.872612896942668</v>
      </c>
      <c r="AK15" s="14">
        <f t="shared" si="35"/>
        <v>4.1022411108131784</v>
      </c>
      <c r="AL15" s="22">
        <f t="shared" si="4"/>
        <v>27.822870730174767</v>
      </c>
      <c r="AM15" s="62">
        <f t="shared" si="5"/>
        <v>238.22728824141572</v>
      </c>
      <c r="AN15" s="62">
        <f ca="1">AVERAGE(OFFSET($AM$3,0,0,'Données projet'!$E$10+1,1))-AVERAGE(OFFSET($H$3,0,0,'Données projet'!$E$10+1,1))</f>
        <v>466.75323833427217</v>
      </c>
      <c r="AO15" s="62">
        <f t="shared" si="36"/>
        <v>293.88550076209378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14.888888888888889</v>
      </c>
      <c r="BD15" s="13">
        <f>IF('Données projet'!$A$88&gt;35,BD14+BC15-BL14,IF(A15&lt;'Données projet'!$A$88,$BA$205^A15,IF(A15='Données projet'!$A$88,'Données projet'!$B$88,BD14+BC15-BL14)))</f>
        <v>41.567751140848699</v>
      </c>
      <c r="BE15" s="14">
        <f>BD15*VLOOKUP('Données projet'!$B$11,Paramètres!$A$1:$I$89,3,0)*VLOOKUP('Données projet'!$B$11,Paramètres!$A$1:$I$89,5,0)</f>
        <v>21.788152437987254</v>
      </c>
      <c r="BF15" s="14">
        <f t="shared" si="37"/>
        <v>7.0146113694766976</v>
      </c>
      <c r="BG15" s="22">
        <f t="shared" si="7"/>
        <v>50.164813631333054</v>
      </c>
      <c r="BH15" s="62">
        <f t="shared" si="8"/>
        <v>260.56923114257398</v>
      </c>
      <c r="BI15" s="62">
        <f ca="1">AVERAGE(OFFSET($BH$3,0,0,'Données projet'!$E$11+1,1))-AVERAGE(OFFSET($H$3,0,0,'Données projet'!$E$11+1,1))</f>
        <v>68.47741055388687</v>
      </c>
      <c r="BJ15" s="62">
        <f t="shared" si="38"/>
        <v>335.34467252166542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5.7692307692307692</v>
      </c>
      <c r="BY15" s="13">
        <f>IF('Données projet'!$A$114&gt;35,BY14+BX15-CG14,IF(A15&lt;'Données projet'!$A$114,$BV$205^A15,IF(A15='Données projet'!$A$114,'Données projet'!$B$114,BY14+BX15-CG14)))</f>
        <v>53.805389743951515</v>
      </c>
      <c r="BZ15" s="14">
        <f>BY15*VLOOKUP('Données projet'!$B$12,Paramètres!$A$1:$I$89,3,0)*VLOOKUP('Données projet'!$B$12,Paramètres!$A$1:$I$89,5,0)</f>
        <v>32.175623066883006</v>
      </c>
      <c r="CA15" s="14">
        <f t="shared" si="39"/>
        <v>9.8992636627112418</v>
      </c>
      <c r="CB15" s="22">
        <f t="shared" si="10"/>
        <v>73.28042772070998</v>
      </c>
      <c r="CC15" s="62">
        <f t="shared" si="11"/>
        <v>283.68484523195093</v>
      </c>
      <c r="CD15" s="62">
        <f ca="1">AVERAGE(OFFSET($CC$3,0,0,'Données projet'!$E$12+1,1))-AVERAGE(OFFSET($H$3,0,0,'Données projet'!$E$12+1,1))</f>
        <v>211.76609132110815</v>
      </c>
      <c r="CE15" s="62">
        <f t="shared" si="40"/>
        <v>363.07965692095752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13.8</v>
      </c>
      <c r="CT15" s="13">
        <f>IF('Données projet'!$A$140&gt;35,CT14+CS15-DB14,IF(A15&lt;'Données projet'!$A$140,$CQ$205^A15,IF(A15='Données projet'!$A$140,'Données projet'!$B$140,CT14+CS15-DB14)))</f>
        <v>98.600000000000009</v>
      </c>
      <c r="CU15" s="18">
        <f>CT15*VLOOKUP('Données projet'!$B$13,Paramètres!$A$1:$I$89,3,0)*VLOOKUP('Données projet'!$B$13,Paramètres!$A$1:$I$89,5,0)</f>
        <v>89.213280000000012</v>
      </c>
      <c r="CV15" s="14">
        <f t="shared" si="41"/>
        <v>24.375390230293569</v>
      </c>
      <c r="CW15" s="22">
        <f t="shared" si="13"/>
        <v>197.83360065109466</v>
      </c>
      <c r="CX15" s="62">
        <f t="shared" si="14"/>
        <v>408.23801816233561</v>
      </c>
      <c r="CY15" s="62">
        <f ca="1">AVERAGE(OFFSET($CX$3,0,0,'Données projet'!$E$13+1,1))-AVERAGE(OFFSET($H$3,0,0,'Données projet'!$E$13+1,1))</f>
        <v>374.91250349988451</v>
      </c>
      <c r="CZ15" s="62">
        <f t="shared" si="42"/>
        <v>529.46825265662869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3.95</v>
      </c>
      <c r="DO15" s="13">
        <f>IF('Données projet'!$A$166&gt;35,DO14+DN15-DW14,IF(A15&lt;'Données projet'!$A$166,$DL$205^A15,IF(A15='Données projet'!$A$166,'Données projet'!$B$166,DO14+DN15-DW14)))</f>
        <v>13.758663679589656</v>
      </c>
      <c r="DP15" s="18">
        <f>DO15*VLOOKUP('Données projet'!$B$14,Paramètres!$A$1:$I$89,3,0)*VLOOKUP('Données projet'!$B$14,Paramètres!$A$1:$I$89,5,0)</f>
        <v>12.019568590489525</v>
      </c>
      <c r="DQ15" s="14">
        <f t="shared" si="43"/>
        <v>4.1470749015542889</v>
      </c>
      <c r="DR15" s="22">
        <f t="shared" si="16"/>
        <v>28.156904081976307</v>
      </c>
      <c r="DS15" s="62">
        <f t="shared" si="17"/>
        <v>238.56132159321726</v>
      </c>
      <c r="DT15" s="62">
        <f ca="1">AVERAGE(OFFSET($DS$3,0,0,'Données projet'!$E$14+1,1))-AVERAGE(OFFSET($H$3,0,0,'Données projet'!$E$14+1,1))</f>
        <v>289.18543665577761</v>
      </c>
      <c r="DU15" s="62">
        <f t="shared" si="44"/>
        <v>291.40065947222843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3.65</v>
      </c>
      <c r="EJ15" s="13">
        <f>IF('Données projet'!$A$192&gt;35,EJ14+EI15-ER14,IF(A15&lt;'Données projet'!$A$192,$EG$205^A15,IF(A15='Données projet'!$A$192,'Données projet'!$B$192,EJ14+EI15-ER14)))</f>
        <v>13.121809125710287</v>
      </c>
      <c r="EK15" s="18">
        <f>EJ15*VLOOKUP('Données projet'!$B$15,Paramètres!$A$1:$I$89,3,0)*VLOOKUP('Données projet'!$B$15,Paramètres!$A$1:$I$89,5,0)</f>
        <v>13.305514453470233</v>
      </c>
      <c r="EL15" s="14">
        <f t="shared" si="45"/>
        <v>4.5367667299931158</v>
      </c>
      <c r="EM15" s="22">
        <f t="shared" si="19"/>
        <v>31.075306394532003</v>
      </c>
      <c r="EN15" s="62">
        <f t="shared" si="20"/>
        <v>241.47972390577294</v>
      </c>
      <c r="EO15" s="62">
        <f ca="1">AVERAGE(OFFSET($EN$3,0,0,'Données projet'!$E$15+1,1))-AVERAGE(OFFSET($H$3,0,0,'Données projet'!$E$15+1,1))</f>
        <v>514.72748286045442</v>
      </c>
      <c r="EP15" s="62">
        <f t="shared" si="46"/>
        <v>322.28702110656116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53.383022957611168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4.0999999999999996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15.033333333333331</v>
      </c>
      <c r="H16" s="70">
        <f t="shared" si="1"/>
        <v>196.53333333333333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0</v>
      </c>
      <c r="N16" s="14">
        <f>IF('Données projet'!$A$36&gt;35,N15+M16-V15,IF(A16&lt;'Données projet'!$A$36,$K$205^A16,IF(A16='Données projet'!$A$36,'Données projet'!$B$36,N15+M16-V15)))</f>
        <v>0</v>
      </c>
      <c r="O16" s="14">
        <f>N16*VLOOKUP('Données projet'!$B$9,Paramètres!$A$1:$I$89,3,0)*VLOOKUP('Données projet'!$B$9,Paramètres!$A$1:$I$89,5,0)</f>
        <v>0</v>
      </c>
      <c r="P16" s="14" t="e">
        <f t="shared" si="33"/>
        <v>#NUM!</v>
      </c>
      <c r="Q16" s="22" t="e">
        <f t="shared" si="2"/>
        <v>#NUM!</v>
      </c>
      <c r="R16" s="62" t="e">
        <f t="shared" si="0"/>
        <v>#NUM!</v>
      </c>
      <c r="S16" s="62">
        <f ca="1">AVERAGE(OFFSET($R$3,0,0,'Données projet'!$E$9+1,1))-AVERAGE(OFFSET($H$3,0,0,'Données projet'!$E$9+1,1))</f>
        <v>70.794576398719499</v>
      </c>
      <c r="T16" s="62">
        <f t="shared" si="34"/>
        <v>328.91236364911629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48.667428126305325</v>
      </c>
      <c r="AC16" s="24">
        <f t="shared" si="3"/>
        <v>48.667428126305325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14.713379980643843</v>
      </c>
      <c r="AK16" s="14">
        <f t="shared" si="35"/>
        <v>4.9584140165447881</v>
      </c>
      <c r="AL16" s="22">
        <f t="shared" si="4"/>
        <v>34.261707878436859</v>
      </c>
      <c r="AM16" s="62">
        <f t="shared" si="5"/>
        <v>246.94532808476427</v>
      </c>
      <c r="AN16" s="62">
        <f ca="1">AVERAGE(OFFSET($AM$3,0,0,'Données projet'!$E$10+1,1))-AVERAGE(OFFSET($H$3,0,0,'Données projet'!$E$10+1,1))</f>
        <v>466.75323833427217</v>
      </c>
      <c r="AO16" s="62">
        <f t="shared" si="36"/>
        <v>293.88550076209378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14.888888888888889</v>
      </c>
      <c r="BD16" s="13">
        <f>IF('Données projet'!$A$88&gt;35,BD15+BC16-BL15,IF(A16&lt;'Données projet'!$A$88,$BA$205^A16,IF(A16='Données projet'!$A$88,'Données projet'!$B$88,BD15+BC16-BL15)))</f>
        <v>56.709119836673757</v>
      </c>
      <c r="BE16" s="14">
        <f>BD16*VLOOKUP('Données projet'!$B$11,Paramètres!$A$1:$I$89,3,0)*VLOOKUP('Données projet'!$B$11,Paramètres!$A$1:$I$89,5,0)</f>
        <v>29.724652253590921</v>
      </c>
      <c r="BF16" s="14">
        <f t="shared" si="37"/>
        <v>9.2299224889868725</v>
      </c>
      <c r="BG16" s="22">
        <f t="shared" si="7"/>
        <v>67.845884343322979</v>
      </c>
      <c r="BH16" s="62">
        <f t="shared" si="8"/>
        <v>280.52950454965037</v>
      </c>
      <c r="BI16" s="62">
        <f ca="1">AVERAGE(OFFSET($BH$3,0,0,'Données projet'!$E$11+1,1))-AVERAGE(OFFSET($H$3,0,0,'Données projet'!$E$11+1,1))</f>
        <v>68.47741055388687</v>
      </c>
      <c r="BJ16" s="62">
        <f t="shared" si="38"/>
        <v>335.34467252166542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75</v>
      </c>
      <c r="BW16" s="13">
        <f>VLOOKUP(A16,'Données projet'!$A$113:$I$133,9,0)</f>
        <v>5.7692307692307692</v>
      </c>
      <c r="BX16" s="13">
        <f t="array" ref="BX16">INDEX(BW:BW,MIN(IF(ISNUMBER(BW16:BW212),ROW(BW16:BW212),"")))</f>
        <v>5.7692307692307692</v>
      </c>
      <c r="BY16" s="13">
        <f>IF('Données projet'!$A$114&gt;35,BY15+BX16-CG15,IF(A16&lt;'Données projet'!$A$114,$BV$205^A16,IF(A16='Données projet'!$A$114,'Données projet'!$B$114,BY15+BX16-CG15)))</f>
        <v>75</v>
      </c>
      <c r="BZ16" s="14">
        <f>BY16*VLOOKUP('Données projet'!$B$12,Paramètres!$A$1:$I$89,3,0)*VLOOKUP('Données projet'!$B$12,Paramètres!$A$1:$I$89,5,0)</f>
        <v>44.85</v>
      </c>
      <c r="CA16" s="14">
        <f t="shared" si="39"/>
        <v>13.275453424327006</v>
      </c>
      <c r="CB16" s="22">
        <f t="shared" si="10"/>
        <v>101.2351647140362</v>
      </c>
      <c r="CC16" s="62">
        <f t="shared" si="11"/>
        <v>313.91878492036363</v>
      </c>
      <c r="CD16" s="62">
        <f ca="1">AVERAGE(OFFSET($CC$3,0,0,'Données projet'!$E$12+1,1))-AVERAGE(OFFSET($H$3,0,0,'Données projet'!$E$12+1,1))</f>
        <v>211.76609132110815</v>
      </c>
      <c r="CE16" s="62">
        <f t="shared" si="40"/>
        <v>363.07965692095752</v>
      </c>
      <c r="CF16" s="16">
        <f>IF(ISNA(VLOOKUP(A16,'Données projet'!$A$113:$I$133,3,0)),0,VLOOKUP(A16,'Données projet'!$A$113:$I$133,3,0))</f>
        <v>1</v>
      </c>
      <c r="CG16" s="16">
        <f>IF(ISNA(VLOOKUP(A16,'Données projet'!$A$113:$I$133,4,0)),0,VLOOKUP(A16,'Données projet'!$A$113:$I$133,4,0))</f>
        <v>15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13.8</v>
      </c>
      <c r="CT16" s="13">
        <f>IF('Données projet'!$A$140&gt;35,CT15+CS16-DB15,IF(A16&lt;'Données projet'!$A$140,$CQ$205^A16,IF(A16='Données projet'!$A$140,'Données projet'!$B$140,CT15+CS16-DB15)))</f>
        <v>112.4</v>
      </c>
      <c r="CU16" s="18">
        <f>CT16*VLOOKUP('Données projet'!$B$13,Paramètres!$A$1:$I$89,3,0)*VLOOKUP('Données projet'!$B$13,Paramètres!$A$1:$I$89,5,0)</f>
        <v>101.69951999999999</v>
      </c>
      <c r="CV16" s="14">
        <f t="shared" si="41"/>
        <v>27.366486780557949</v>
      </c>
      <c r="CW16" s="22">
        <f t="shared" si="13"/>
        <v>224.78996180947172</v>
      </c>
      <c r="CX16" s="62">
        <f t="shared" si="14"/>
        <v>437.47358201579914</v>
      </c>
      <c r="CY16" s="62">
        <f ca="1">AVERAGE(OFFSET($CX$3,0,0,'Données projet'!$E$13+1,1))-AVERAGE(OFFSET($H$3,0,0,'Données projet'!$E$13+1,1))</f>
        <v>374.91250349988451</v>
      </c>
      <c r="CZ16" s="62">
        <f t="shared" si="42"/>
        <v>529.46825265662869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3.95</v>
      </c>
      <c r="DO16" s="13">
        <f>IF('Données projet'!$A$166&gt;35,DO15+DN16-DW15,IF(A16&lt;'Données projet'!$A$166,$DL$205^A16,IF(A16='Données projet'!$A$166,'Données projet'!$B$166,DO15+DN16-DW15)))</f>
        <v>17.118180812297407</v>
      </c>
      <c r="DP16" s="18">
        <f>DO16*VLOOKUP('Données projet'!$B$14,Paramètres!$A$1:$I$89,3,0)*VLOOKUP('Données projet'!$B$14,Paramètres!$A$1:$I$89,5,0)</f>
        <v>14.954442757623017</v>
      </c>
      <c r="DQ16" s="14">
        <f t="shared" si="43"/>
        <v>5.0301280892498079</v>
      </c>
      <c r="DR16" s="22">
        <f t="shared" si="16"/>
        <v>34.806460891636839</v>
      </c>
      <c r="DS16" s="62">
        <f t="shared" si="17"/>
        <v>247.49008109796426</v>
      </c>
      <c r="DT16" s="62">
        <f ca="1">AVERAGE(OFFSET($DS$3,0,0,'Données projet'!$E$14+1,1))-AVERAGE(OFFSET($H$3,0,0,'Données projet'!$E$14+1,1))</f>
        <v>289.18543665577761</v>
      </c>
      <c r="DU16" s="62">
        <f t="shared" si="44"/>
        <v>291.40065947222843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3.65</v>
      </c>
      <c r="EJ16" s="13">
        <f>IF('Données projet'!$A$192&gt;35,EJ15+EI16-ER15,IF(A16&lt;'Données projet'!$A$192,$EG$205^A16,IF(A16='Données projet'!$A$192,'Données projet'!$B$192,EJ15+EI16-ER15)))</f>
        <v>16.261472127148366</v>
      </c>
      <c r="EK16" s="18">
        <f>EJ16*VLOOKUP('Données projet'!$B$15,Paramètres!$A$1:$I$89,3,0)*VLOOKUP('Données projet'!$B$15,Paramètres!$A$1:$I$89,5,0)</f>
        <v>16.489132736928447</v>
      </c>
      <c r="EL16" s="14">
        <f t="shared" si="45"/>
        <v>5.4836288594779292</v>
      </c>
      <c r="EM16" s="22">
        <f t="shared" si="19"/>
        <v>38.269226447074438</v>
      </c>
      <c r="EN16" s="62">
        <f t="shared" si="20"/>
        <v>250.95284665340185</v>
      </c>
      <c r="EO16" s="62">
        <f ca="1">AVERAGE(OFFSET($EN$3,0,0,'Données projet'!$E$15+1,1))-AVERAGE(OFFSET($H$3,0,0,'Données projet'!$E$15+1,1))</f>
        <v>514.72748286045442</v>
      </c>
      <c r="EP16" s="62">
        <f t="shared" si="46"/>
        <v>322.28702110656116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53.671290359301416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4.0999999999999996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15.033333333333331</v>
      </c>
      <c r="H17" s="70">
        <f t="shared" si="1"/>
        <v>196.53333333333333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0</v>
      </c>
      <c r="N17" s="14">
        <f>IF('Données projet'!$A$36&gt;35,N16+M17-V16,IF(A17&lt;'Données projet'!$A$36,$K$205^A17,IF(A17='Données projet'!$A$36,'Données projet'!$B$36,N16+M17-V16)))</f>
        <v>0</v>
      </c>
      <c r="O17" s="14">
        <f>N17*VLOOKUP('Données projet'!$B$9,Paramètres!$A$1:$I$89,3,0)*VLOOKUP('Données projet'!$B$9,Paramètres!$A$1:$I$89,5,0)</f>
        <v>0</v>
      </c>
      <c r="P17" s="14" t="e">
        <f t="shared" si="33"/>
        <v>#NUM!</v>
      </c>
      <c r="Q17" s="22" t="e">
        <f t="shared" si="2"/>
        <v>#NUM!</v>
      </c>
      <c r="R17" s="62" t="e">
        <f t="shared" si="0"/>
        <v>#NUM!</v>
      </c>
      <c r="S17" s="62">
        <f ca="1">AVERAGE(OFFSET($R$3,0,0,'Données projet'!$E$9+1,1))-AVERAGE(OFFSET($H$3,0,0,'Données projet'!$E$9+1,1))</f>
        <v>70.794576398719499</v>
      </c>
      <c r="T17" s="62">
        <f t="shared" si="34"/>
        <v>328.91236364911629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34.413068451019413</v>
      </c>
      <c r="AC17" s="24">
        <f t="shared" si="3"/>
        <v>34.413068451019413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18.233859078363277</v>
      </c>
      <c r="AK17" s="14">
        <f t="shared" si="35"/>
        <v>5.9932775513027368</v>
      </c>
      <c r="AL17" s="22">
        <f t="shared" si="4"/>
        <v>42.195596296668306</v>
      </c>
      <c r="AM17" s="62">
        <f t="shared" si="5"/>
        <v>257.14008294993232</v>
      </c>
      <c r="AN17" s="62">
        <f ca="1">AVERAGE(OFFSET($AM$3,0,0,'Données projet'!$E$10+1,1))-AVERAGE(OFFSET($H$3,0,0,'Données projet'!$E$10+1,1))</f>
        <v>466.75323833427217</v>
      </c>
      <c r="AO17" s="62">
        <f t="shared" si="36"/>
        <v>293.88550076209378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14.888888888888889</v>
      </c>
      <c r="BD17" s="13">
        <f>IF('Données projet'!$A$88&gt;35,BD16+BC17-BL16,IF(A17&lt;'Données projet'!$A$88,$BA$205^A17,IF(A17='Données projet'!$A$88,'Données projet'!$B$88,BD16+BC17-BL16)))</f>
        <v>77.365846945949656</v>
      </c>
      <c r="BE17" s="14">
        <f>BD17*VLOOKUP('Données projet'!$B$11,Paramètres!$A$1:$I$89,3,0)*VLOOKUP('Données projet'!$B$11,Paramètres!$A$1:$I$89,5,0)</f>
        <v>40.552082335188977</v>
      </c>
      <c r="BF17" s="14">
        <f t="shared" si="37"/>
        <v>12.144859446299026</v>
      </c>
      <c r="BG17" s="22">
        <f t="shared" si="7"/>
        <v>91.780506936091612</v>
      </c>
      <c r="BH17" s="62">
        <f t="shared" si="8"/>
        <v>306.72499358935562</v>
      </c>
      <c r="BI17" s="62">
        <f ca="1">AVERAGE(OFFSET($BH$3,0,0,'Données projet'!$E$11+1,1))-AVERAGE(OFFSET($H$3,0,0,'Données projet'!$E$11+1,1))</f>
        <v>68.47741055388687</v>
      </c>
      <c r="BJ17" s="62">
        <f t="shared" si="38"/>
        <v>335.34467252166542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17.166666666666668</v>
      </c>
      <c r="BY17" s="13">
        <f>IF('Données projet'!$A$114&gt;35,BY16+BX17-CG16,IF(A17&lt;'Données projet'!$A$114,$BV$205^A17,IF(A17='Données projet'!$A$114,'Données projet'!$B$114,BY16+BX17-CG16)))</f>
        <v>77.166666666666671</v>
      </c>
      <c r="BZ17" s="14">
        <f>BY17*VLOOKUP('Données projet'!$B$12,Paramètres!$A$1:$I$89,3,0)*VLOOKUP('Données projet'!$B$12,Paramètres!$A$1:$I$89,5,0)</f>
        <v>46.145666666666671</v>
      </c>
      <c r="CA17" s="14">
        <f t="shared" si="39"/>
        <v>13.613761874667908</v>
      </c>
      <c r="CB17" s="22">
        <f t="shared" si="10"/>
        <v>104.08100470949104</v>
      </c>
      <c r="CC17" s="62">
        <f t="shared" si="11"/>
        <v>319.02549136275508</v>
      </c>
      <c r="CD17" s="62">
        <f ca="1">AVERAGE(OFFSET($CC$3,0,0,'Données projet'!$E$12+1,1))-AVERAGE(OFFSET($H$3,0,0,'Données projet'!$E$12+1,1))</f>
        <v>211.76609132110815</v>
      </c>
      <c r="CE17" s="62">
        <f t="shared" si="40"/>
        <v>363.07965692095752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13.8</v>
      </c>
      <c r="CT17" s="13">
        <f>IF('Données projet'!$A$140&gt;35,CT16+CS17-DB16,IF(A17&lt;'Données projet'!$A$140,$CQ$205^A17,IF(A17='Données projet'!$A$140,'Données projet'!$B$140,CT16+CS17-DB16)))</f>
        <v>126.2</v>
      </c>
      <c r="CU17" s="18">
        <f>CT17*VLOOKUP('Données projet'!$B$13,Paramètres!$A$1:$I$89,3,0)*VLOOKUP('Données projet'!$B$13,Paramètres!$A$1:$I$89,5,0)</f>
        <v>114.18576</v>
      </c>
      <c r="CV17" s="14">
        <f t="shared" si="41"/>
        <v>30.315028515433259</v>
      </c>
      <c r="CW17" s="22">
        <f t="shared" si="13"/>
        <v>251.67220666437959</v>
      </c>
      <c r="CX17" s="62">
        <f t="shared" si="14"/>
        <v>466.61669331764358</v>
      </c>
      <c r="CY17" s="62">
        <f ca="1">AVERAGE(OFFSET($CX$3,0,0,'Données projet'!$E$13+1,1))-AVERAGE(OFFSET($H$3,0,0,'Données projet'!$E$13+1,1))</f>
        <v>374.91250349988451</v>
      </c>
      <c r="CZ17" s="62">
        <f t="shared" si="42"/>
        <v>529.46825265662869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3.95</v>
      </c>
      <c r="DO17" s="13">
        <f>IF('Données projet'!$A$166&gt;35,DO16+DN17-DW16,IF(A17&lt;'Données projet'!$A$166,$DL$205^A17,IF(A17='Données projet'!$A$166,'Données projet'!$B$166,DO16+DN17-DW16)))</f>
        <v>21.298006924699145</v>
      </c>
      <c r="DP17" s="18">
        <f>DO17*VLOOKUP('Données projet'!$B$14,Paramètres!$A$1:$I$89,3,0)*VLOOKUP('Données projet'!$B$14,Paramètres!$A$1:$I$89,5,0)</f>
        <v>18.605938849417175</v>
      </c>
      <c r="DQ17" s="14">
        <f t="shared" si="43"/>
        <v>6.1012133117674976</v>
      </c>
      <c r="DR17" s="22">
        <f t="shared" si="16"/>
        <v>43.031623347396639</v>
      </c>
      <c r="DS17" s="62">
        <f t="shared" si="17"/>
        <v>257.97611000066064</v>
      </c>
      <c r="DT17" s="62">
        <f ca="1">AVERAGE(OFFSET($DS$3,0,0,'Données projet'!$E$14+1,1))-AVERAGE(OFFSET($H$3,0,0,'Données projet'!$E$14+1,1))</f>
        <v>289.18543665577761</v>
      </c>
      <c r="DU17" s="62">
        <f t="shared" si="44"/>
        <v>291.40065947222843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3.65</v>
      </c>
      <c r="EJ17" s="13">
        <f>IF('Données projet'!$A$192&gt;35,EJ16+EI17-ER16,IF(A17&lt;'Données projet'!$A$192,$EG$205^A17,IF(A17='Données projet'!$A$192,'Données projet'!$B$192,EJ16+EI17-ER16)))</f>
        <v>20.152364144963837</v>
      </c>
      <c r="EK17" s="18">
        <f>EJ17*VLOOKUP('Données projet'!$B$15,Paramètres!$A$1:$I$89,3,0)*VLOOKUP('Données projet'!$B$15,Paramètres!$A$1:$I$89,5,0)</f>
        <v>20.434497242993334</v>
      </c>
      <c r="EL17" s="14">
        <f t="shared" si="45"/>
        <v>6.6281092368495731</v>
      </c>
      <c r="EM17" s="22">
        <f t="shared" si="19"/>
        <v>47.134039619059727</v>
      </c>
      <c r="EN17" s="62">
        <f t="shared" si="20"/>
        <v>262.07852627232376</v>
      </c>
      <c r="EO17" s="62">
        <f ca="1">AVERAGE(OFFSET($EN$3,0,0,'Données projet'!$E$15+1,1))-AVERAGE(OFFSET($H$3,0,0,'Données projet'!$E$15+1,1))</f>
        <v>514.72748286045442</v>
      </c>
      <c r="EP17" s="62">
        <f t="shared" si="46"/>
        <v>322.28702110656116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53.954556966041707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4.0999999999999996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15.033333333333331</v>
      </c>
      <c r="H18" s="70">
        <f t="shared" si="1"/>
        <v>196.53333333333333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0</v>
      </c>
      <c r="N18" s="14">
        <f>IF('Données projet'!$A$36&gt;35,N17+M18-V17,IF(A18&lt;'Données projet'!$A$36,$K$205^A18,IF(A18='Données projet'!$A$36,'Données projet'!$B$36,N17+M18-V17)))</f>
        <v>0</v>
      </c>
      <c r="O18" s="14">
        <f>N18*VLOOKUP('Données projet'!$B$9,Paramètres!$A$1:$I$89,3,0)*VLOOKUP('Données projet'!$B$9,Paramètres!$A$1:$I$89,5,0)</f>
        <v>0</v>
      </c>
      <c r="P18" s="14" t="e">
        <f t="shared" si="33"/>
        <v>#NUM!</v>
      </c>
      <c r="Q18" s="22" t="e">
        <f t="shared" si="2"/>
        <v>#NUM!</v>
      </c>
      <c r="R18" s="62" t="e">
        <f t="shared" si="0"/>
        <v>#NUM!</v>
      </c>
      <c r="S18" s="62">
        <f ca="1">AVERAGE(OFFSET($R$3,0,0,'Données projet'!$E$9+1,1))-AVERAGE(OFFSET($H$3,0,0,'Données projet'!$E$9+1,1))</f>
        <v>70.794576398719499</v>
      </c>
      <c r="T18" s="62">
        <f t="shared" si="34"/>
        <v>328.91236364911629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24.333714063152669</v>
      </c>
      <c r="AC18" s="24">
        <f t="shared" si="3"/>
        <v>24.333714063152669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22.596685284210423</v>
      </c>
      <c r="AK18" s="14">
        <f t="shared" si="35"/>
        <v>7.2441259820371586</v>
      </c>
      <c r="AL18" s="22">
        <f t="shared" si="4"/>
        <v>51.972746288714539</v>
      </c>
      <c r="AM18" s="62">
        <f t="shared" si="5"/>
        <v>269.16008123367698</v>
      </c>
      <c r="AN18" s="62">
        <f ca="1">AVERAGE(OFFSET($AM$3,0,0,'Données projet'!$E$10+1,1))-AVERAGE(OFFSET($H$3,0,0,'Données projet'!$E$10+1,1))</f>
        <v>466.75323833427217</v>
      </c>
      <c r="AO18" s="62">
        <f t="shared" si="36"/>
        <v>293.88550076209378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14.888888888888889</v>
      </c>
      <c r="BD18" s="13">
        <f>IF('Données projet'!$A$88&gt;35,BD17+BC18-BL17,IF(A18&lt;'Données projet'!$A$88,$BA$205^A18,IF(A18='Données projet'!$A$88,'Données projet'!$B$88,BD17+BC18-BL17)))</f>
        <v>105.54694361158656</v>
      </c>
      <c r="BE18" s="14">
        <f>BD18*VLOOKUP('Données projet'!$B$11,Paramètres!$A$1:$I$89,3,0)*VLOOKUP('Données projet'!$B$11,Paramètres!$A$1:$I$89,5,0)</f>
        <v>55.323485963449215</v>
      </c>
      <c r="BF18" s="14">
        <f t="shared" si="37"/>
        <v>15.980373740554452</v>
      </c>
      <c r="BG18" s="22">
        <f t="shared" si="7"/>
        <v>124.18755565113973</v>
      </c>
      <c r="BH18" s="62">
        <f t="shared" si="8"/>
        <v>341.3748905961022</v>
      </c>
      <c r="BI18" s="62">
        <f ca="1">AVERAGE(OFFSET($BH$3,0,0,'Données projet'!$E$11+1,1))-AVERAGE(OFFSET($H$3,0,0,'Données projet'!$E$11+1,1))</f>
        <v>68.47741055388687</v>
      </c>
      <c r="BJ18" s="62">
        <f t="shared" si="38"/>
        <v>335.34467252166542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17.166666666666668</v>
      </c>
      <c r="BY18" s="13">
        <f>IF('Données projet'!$A$114&gt;35,BY17+BX18-CG17,IF(A18&lt;'Données projet'!$A$114,$BV$205^A18,IF(A18='Données projet'!$A$114,'Données projet'!$B$114,BY17+BX18-CG17)))</f>
        <v>94.333333333333343</v>
      </c>
      <c r="BZ18" s="14">
        <f>BY18*VLOOKUP('Données projet'!$B$12,Paramètres!$A$1:$I$89,3,0)*VLOOKUP('Données projet'!$B$12,Paramètres!$A$1:$I$89,5,0)</f>
        <v>56.411333333333339</v>
      </c>
      <c r="CA18" s="14">
        <f t="shared" si="39"/>
        <v>16.257710461388346</v>
      </c>
      <c r="CB18" s="22">
        <f t="shared" si="10"/>
        <v>126.56525127580693</v>
      </c>
      <c r="CC18" s="62">
        <f t="shared" si="11"/>
        <v>343.75258622076939</v>
      </c>
      <c r="CD18" s="62">
        <f ca="1">AVERAGE(OFFSET($CC$3,0,0,'Données projet'!$E$12+1,1))-AVERAGE(OFFSET($H$3,0,0,'Données projet'!$E$12+1,1))</f>
        <v>211.76609132110815</v>
      </c>
      <c r="CE18" s="62">
        <f t="shared" si="40"/>
        <v>363.07965692095752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140</v>
      </c>
      <c r="CR18" s="13">
        <f>VLOOKUP(A18,'Données projet'!$A$139:$I$159,9,0)</f>
        <v>13.8</v>
      </c>
      <c r="CS18" s="13">
        <f t="array" ref="CS18">INDEX(CR:CR,MIN(IF(ISNUMBER(CR18:CR214),ROW(CR18:CR214),"")))</f>
        <v>13.8</v>
      </c>
      <c r="CT18" s="13">
        <f>IF('Données projet'!$A$140&gt;35,CT17+CS18-DB17,IF(A18&lt;'Données projet'!$A$140,$CQ$205^A18,IF(A18='Données projet'!$A$140,'Données projet'!$B$140,CT17+CS18-DB17)))</f>
        <v>140</v>
      </c>
      <c r="CU18" s="18">
        <f>CT18*VLOOKUP('Données projet'!$B$13,Paramètres!$A$1:$I$89,3,0)*VLOOKUP('Données projet'!$B$13,Paramètres!$A$1:$I$89,5,0)</f>
        <v>126.67199999999998</v>
      </c>
      <c r="CV18" s="14">
        <f t="shared" si="41"/>
        <v>33.226199426361347</v>
      </c>
      <c r="CW18" s="22">
        <f t="shared" si="13"/>
        <v>278.48936400091264</v>
      </c>
      <c r="CX18" s="62">
        <f t="shared" si="14"/>
        <v>495.6766989458751</v>
      </c>
      <c r="CY18" s="62">
        <f ca="1">AVERAGE(OFFSET($CX$3,0,0,'Données projet'!$E$13+1,1))-AVERAGE(OFFSET($H$3,0,0,'Données projet'!$E$13+1,1))</f>
        <v>374.91250349988451</v>
      </c>
      <c r="CZ18" s="62">
        <f t="shared" si="42"/>
        <v>529.46825265662869</v>
      </c>
      <c r="DA18" s="16">
        <f>IF(ISNA(VLOOKUP(A18,'Données projet'!$A$139:$I$159,3,0)),0,VLOOKUP(A18,'Données projet'!$A$139:$I$159,3,0))</f>
        <v>3</v>
      </c>
      <c r="DB18" s="16">
        <f>IF(ISNA(VLOOKUP(A18,'Données projet'!$A$139:$I$159,4,0)),0,VLOOKUP(A18,'Données projet'!$A$139:$I$159,4,0))</f>
        <v>23</v>
      </c>
      <c r="DC18" s="17">
        <f>IF(ISNA(VLOOKUP(A18,'Données projet'!$A$139:$I$159,5,0)),0%,VLOOKUP(A18,'Données projet'!$A$139:$I$159,5,0)*VLOOKUP('Données projet'!$B$13,Paramètres!$A$1:$I$89,7,0))</f>
        <v>0.06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1.3803168471739502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1.3803168471739502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3.95</v>
      </c>
      <c r="DO18" s="13">
        <f>IF('Données projet'!$A$166&gt;35,DO17+DN18-DW17,IF(A18&lt;'Données projet'!$A$166,$DL$205^A18,IF(A18='Données projet'!$A$166,'Données projet'!$B$166,DO17+DN18-DW17)))</f>
        <v>26.498440689367563</v>
      </c>
      <c r="DP18" s="18">
        <f>DO18*VLOOKUP('Données projet'!$B$14,Paramètres!$A$1:$I$89,3,0)*VLOOKUP('Données projet'!$B$14,Paramètres!$A$1:$I$89,5,0)</f>
        <v>23.149037786231506</v>
      </c>
      <c r="DQ18" s="14">
        <f t="shared" si="43"/>
        <v>7.4003689797172942</v>
      </c>
      <c r="DR18" s="22">
        <f t="shared" si="16"/>
        <v>53.206883450694164</v>
      </c>
      <c r="DS18" s="62">
        <f t="shared" si="17"/>
        <v>270.39421839565659</v>
      </c>
      <c r="DT18" s="62">
        <f ca="1">AVERAGE(OFFSET($DS$3,0,0,'Données projet'!$E$14+1,1))-AVERAGE(OFFSET($H$3,0,0,'Données projet'!$E$14+1,1))</f>
        <v>289.18543665577761</v>
      </c>
      <c r="DU18" s="62">
        <f t="shared" si="44"/>
        <v>291.40065947222843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3.65</v>
      </c>
      <c r="EJ18" s="13">
        <f>IF('Données projet'!$A$192&gt;35,EJ17+EI18-ER17,IF(A18&lt;'Données projet'!$A$192,$EG$205^A18,IF(A18='Données projet'!$A$192,'Données projet'!$B$192,EJ17+EI18-ER17)))</f>
        <v>24.974232188561476</v>
      </c>
      <c r="EK18" s="18">
        <f>EJ18*VLOOKUP('Données projet'!$B$15,Paramètres!$A$1:$I$89,3,0)*VLOOKUP('Données projet'!$B$15,Paramètres!$A$1:$I$89,5,0)</f>
        <v>25.323871439201337</v>
      </c>
      <c r="EL18" s="14">
        <f t="shared" si="45"/>
        <v>8.0114524854610902</v>
      </c>
      <c r="EM18" s="22">
        <f t="shared" si="19"/>
        <v>58.059022502120392</v>
      </c>
      <c r="EN18" s="62">
        <f t="shared" si="20"/>
        <v>275.24635744708286</v>
      </c>
      <c r="EO18" s="62">
        <f ca="1">AVERAGE(OFFSET($EN$3,0,0,'Données projet'!$E$15+1,1))-AVERAGE(OFFSET($H$3,0,0,'Données projet'!$E$15+1,1))</f>
        <v>514.72748286045442</v>
      </c>
      <c r="EP18" s="62">
        <f t="shared" si="46"/>
        <v>322.28702110656116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54.232909530444303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4.0999999999999996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15.033333333333331</v>
      </c>
      <c r="H19" s="70">
        <f t="shared" si="1"/>
        <v>196.53333333333333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0</v>
      </c>
      <c r="O19" s="14">
        <f>N19*VLOOKUP('Données projet'!$B$9,Paramètres!$A$1:$I$89,3,0)*VLOOKUP('Données projet'!$B$9,Paramètres!$A$1:$I$89,5,0)</f>
        <v>0</v>
      </c>
      <c r="P19" s="14" t="e">
        <f t="shared" si="33"/>
        <v>#NUM!</v>
      </c>
      <c r="Q19" s="22" t="e">
        <f t="shared" si="2"/>
        <v>#NUM!</v>
      </c>
      <c r="R19" s="62" t="e">
        <f t="shared" si="0"/>
        <v>#NUM!</v>
      </c>
      <c r="S19" s="62">
        <f ca="1">AVERAGE(OFFSET($R$3,0,0,'Données projet'!$E$9+1,1))-AVERAGE(OFFSET($H$3,0,0,'Données projet'!$E$9+1,1))</f>
        <v>70.794576398719499</v>
      </c>
      <c r="T19" s="62">
        <f t="shared" si="34"/>
        <v>328.91236364911629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17.20653422550971</v>
      </c>
      <c r="AC19" s="24">
        <f t="shared" si="3"/>
        <v>17.20653422550971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28.003407487093821</v>
      </c>
      <c r="AK19" s="14">
        <f t="shared" si="35"/>
        <v>8.7560372090925433</v>
      </c>
      <c r="AL19" s="22">
        <f t="shared" si="4"/>
        <v>64.022699512524582</v>
      </c>
      <c r="AM19" s="62">
        <f t="shared" si="5"/>
        <v>283.43517716865813</v>
      </c>
      <c r="AN19" s="62">
        <f ca="1">AVERAGE(OFFSET($AM$3,0,0,'Données projet'!$E$10+1,1))-AVERAGE(OFFSET($H$3,0,0,'Données projet'!$E$10+1,1))</f>
        <v>466.75323833427217</v>
      </c>
      <c r="AO19" s="62">
        <f t="shared" si="36"/>
        <v>293.88550076209378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14.888888888888889</v>
      </c>
      <c r="BD19" s="13">
        <f>IF('Données projet'!$A$88&gt;35,BD18+BC19-BL18,IF(A19&lt;'Données projet'!$A$88,$BA$205^A19,IF(A19='Données projet'!$A$88,'Données projet'!$B$88,BD18+BC19-BL18)))</f>
        <v>143.99321852613221</v>
      </c>
      <c r="BE19" s="14">
        <f>BD19*VLOOKUP('Données projet'!$B$11,Paramètres!$A$1:$I$89,3,0)*VLOOKUP('Données projet'!$B$11,Paramètres!$A$1:$I$89,5,0)</f>
        <v>75.475485422657457</v>
      </c>
      <c r="BF19" s="14">
        <f t="shared" si="37"/>
        <v>21.0271964049467</v>
      </c>
      <c r="BG19" s="22">
        <f t="shared" si="7"/>
        <v>168.07550418307724</v>
      </c>
      <c r="BH19" s="62">
        <f t="shared" si="8"/>
        <v>387.48798183921076</v>
      </c>
      <c r="BI19" s="62">
        <f ca="1">AVERAGE(OFFSET($BH$3,0,0,'Données projet'!$E$11+1,1))-AVERAGE(OFFSET($H$3,0,0,'Données projet'!$E$11+1,1))</f>
        <v>68.47741055388687</v>
      </c>
      <c r="BJ19" s="62">
        <f t="shared" si="38"/>
        <v>335.34467252166542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17.166666666666668</v>
      </c>
      <c r="BY19" s="13">
        <f>IF('Données projet'!$A$114&gt;35,BY18+BX19-CG18,IF(A19&lt;'Données projet'!$A$114,$BV$205^A19,IF(A19='Données projet'!$A$114,'Données projet'!$B$114,BY18+BX19-CG18)))</f>
        <v>111.50000000000001</v>
      </c>
      <c r="BZ19" s="14">
        <f>BY19*VLOOKUP('Données projet'!$B$12,Paramètres!$A$1:$I$89,3,0)*VLOOKUP('Données projet'!$B$12,Paramètres!$A$1:$I$89,5,0)</f>
        <v>66.677000000000007</v>
      </c>
      <c r="CA19" s="14">
        <f t="shared" si="39"/>
        <v>18.845918291779732</v>
      </c>
      <c r="CB19" s="22">
        <f t="shared" si="10"/>
        <v>148.95241602484973</v>
      </c>
      <c r="CC19" s="62">
        <f t="shared" si="11"/>
        <v>368.36489368098324</v>
      </c>
      <c r="CD19" s="62">
        <f ca="1">AVERAGE(OFFSET($CC$3,0,0,'Données projet'!$E$12+1,1))-AVERAGE(OFFSET($H$3,0,0,'Données projet'!$E$12+1,1))</f>
        <v>211.76609132110815</v>
      </c>
      <c r="CE19" s="62">
        <f t="shared" si="40"/>
        <v>363.07965692095752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12.6</v>
      </c>
      <c r="CT19" s="13">
        <f>IF('Données projet'!$A$140&gt;35,CT18+CS19-DB18,IF(A19&lt;'Données projet'!$A$140,$CQ$205^A19,IF(A19='Données projet'!$A$140,'Données projet'!$B$140,CT18+CS19-DB18)))</f>
        <v>129.6</v>
      </c>
      <c r="CU19" s="18">
        <f>CT19*VLOOKUP('Données projet'!$B$13,Paramètres!$A$1:$I$89,3,0)*VLOOKUP('Données projet'!$B$13,Paramètres!$A$1:$I$89,5,0)</f>
        <v>117.26208</v>
      </c>
      <c r="CV19" s="14">
        <f t="shared" si="41"/>
        <v>31.035569170075775</v>
      </c>
      <c r="CW19" s="22">
        <f t="shared" si="13"/>
        <v>258.28507230454863</v>
      </c>
      <c r="CX19" s="62">
        <f t="shared" si="14"/>
        <v>477.69754996068218</v>
      </c>
      <c r="CY19" s="62">
        <f ca="1">AVERAGE(OFFSET($CX$3,0,0,'Données projet'!$E$13+1,1))-AVERAGE(OFFSET($H$3,0,0,'Données projet'!$E$13+1,1))</f>
        <v>374.91250349988451</v>
      </c>
      <c r="CZ19" s="62">
        <f t="shared" si="42"/>
        <v>529.46825265662869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1.3532496757110142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1.3532496757110142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3.95</v>
      </c>
      <c r="DO19" s="13">
        <f>IF('Données projet'!$A$166&gt;35,DO18+DN19-DW18,IF(A19&lt;'Données projet'!$A$166,$DL$205^A19,IF(A19='Données projet'!$A$166,'Données projet'!$B$166,DO18+DN19-DW18)))</f>
        <v>32.968688640702432</v>
      </c>
      <c r="DP19" s="18">
        <f>DO19*VLOOKUP('Données projet'!$B$14,Paramètres!$A$1:$I$89,3,0)*VLOOKUP('Données projet'!$B$14,Paramètres!$A$1:$I$89,5,0)</f>
        <v>28.801446396517651</v>
      </c>
      <c r="DQ19" s="14">
        <f t="shared" si="43"/>
        <v>8.9761590420605479</v>
      </c>
      <c r="DR19" s="22">
        <f t="shared" si="16"/>
        <v>65.795996138857035</v>
      </c>
      <c r="DS19" s="62">
        <f t="shared" si="17"/>
        <v>285.20847379499054</v>
      </c>
      <c r="DT19" s="62">
        <f ca="1">AVERAGE(OFFSET($DS$3,0,0,'Données projet'!$E$14+1,1))-AVERAGE(OFFSET($H$3,0,0,'Données projet'!$E$14+1,1))</f>
        <v>289.18543665577761</v>
      </c>
      <c r="DU19" s="62">
        <f t="shared" si="44"/>
        <v>291.40065947222843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3.65</v>
      </c>
      <c r="EJ19" s="13">
        <f>IF('Données projet'!$A$192&gt;35,EJ18+EI19-ER18,IF(A19&lt;'Données projet'!$A$192,$EG$205^A19,IF(A19='Données projet'!$A$192,'Données projet'!$B$192,EJ18+EI19-ER18)))</f>
        <v>30.949831440200953</v>
      </c>
      <c r="EK19" s="18">
        <f>EJ19*VLOOKUP('Données projet'!$B$15,Paramètres!$A$1:$I$89,3,0)*VLOOKUP('Données projet'!$B$15,Paramètres!$A$1:$I$89,5,0)</f>
        <v>31.383129080363769</v>
      </c>
      <c r="EL19" s="14">
        <f t="shared" si="45"/>
        <v>9.6835113353243223</v>
      </c>
      <c r="EM19" s="22">
        <f t="shared" si="19"/>
        <v>71.524398723990075</v>
      </c>
      <c r="EN19" s="62">
        <f t="shared" si="20"/>
        <v>290.93687638012358</v>
      </c>
      <c r="EO19" s="62">
        <f ca="1">AVERAGE(OFFSET($EN$3,0,0,'Données projet'!$E$15+1,1))-AVERAGE(OFFSET($H$3,0,0,'Données projet'!$E$15+1,1))</f>
        <v>514.72748286045442</v>
      </c>
      <c r="EP19" s="62">
        <f t="shared" si="46"/>
        <v>322.28702110656116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54.506433300157624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4.0999999999999996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15.033333333333331</v>
      </c>
      <c r="H20" s="70">
        <f t="shared" si="1"/>
        <v>196.53333333333333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70.794576398719499</v>
      </c>
      <c r="T20" s="62">
        <f t="shared" si="34"/>
        <v>328.91236364911629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12.166857031576336</v>
      </c>
      <c r="AC20" s="24">
        <f t="shared" si="3"/>
        <v>12.166857031576336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34.703799297332367</v>
      </c>
      <c r="AK20" s="14">
        <f t="shared" si="35"/>
        <v>10.583497277259243</v>
      </c>
      <c r="AL20" s="22">
        <f t="shared" si="4"/>
        <v>78.875374867413711</v>
      </c>
      <c r="AM20" s="62">
        <f t="shared" si="5"/>
        <v>300.49559680642938</v>
      </c>
      <c r="AN20" s="62">
        <f ca="1">AVERAGE(OFFSET($AM$3,0,0,'Données projet'!$E$10+1,1))-AVERAGE(OFFSET($H$3,0,0,'Données projet'!$E$10+1,1))</f>
        <v>466.75323833427217</v>
      </c>
      <c r="AO20" s="62">
        <f t="shared" si="36"/>
        <v>293.88550076209378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14.888888888888889</v>
      </c>
      <c r="BD20" s="13">
        <f>IF('Données projet'!$A$88&gt;35,BD19+BC20-BL19,IF(A20&lt;'Données projet'!$A$88,$BA$205^A20,IF(A20='Données projet'!$A$88,'Données projet'!$B$88,BD19+BC20-BL19)))</f>
        <v>196.44384074081668</v>
      </c>
      <c r="BE20" s="14">
        <f>BD20*VLOOKUP('Données projet'!$B$11,Paramètres!$A$1:$I$89,3,0)*VLOOKUP('Données projet'!$B$11,Paramètres!$A$1:$I$89,5,0)</f>
        <v>102.96800356270647</v>
      </c>
      <c r="BF20" s="14">
        <f t="shared" si="37"/>
        <v>27.667875347004461</v>
      </c>
      <c r="BG20" s="22">
        <f t="shared" si="7"/>
        <v>227.52415576774652</v>
      </c>
      <c r="BH20" s="62">
        <f t="shared" si="8"/>
        <v>449.14437770676216</v>
      </c>
      <c r="BI20" s="62">
        <f ca="1">AVERAGE(OFFSET($BH$3,0,0,'Données projet'!$E$11+1,1))-AVERAGE(OFFSET($H$3,0,0,'Données projet'!$E$11+1,1))</f>
        <v>68.47741055388687</v>
      </c>
      <c r="BJ20" s="62">
        <f t="shared" si="38"/>
        <v>335.34467252166542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17.166666666666668</v>
      </c>
      <c r="BY20" s="13">
        <f>IF('Données projet'!$A$114&gt;35,BY19+BX20-CG19,IF(A20&lt;'Données projet'!$A$114,$BV$205^A20,IF(A20='Données projet'!$A$114,'Données projet'!$B$114,BY19+BX20-CG19)))</f>
        <v>128.66666666666669</v>
      </c>
      <c r="BZ20" s="14">
        <f>BY20*VLOOKUP('Données projet'!$B$12,Paramètres!$A$1:$I$89,3,0)*VLOOKUP('Données projet'!$B$12,Paramètres!$A$1:$I$89,5,0)</f>
        <v>76.942666666666682</v>
      </c>
      <c r="CA20" s="14">
        <f t="shared" si="39"/>
        <v>21.387963426287346</v>
      </c>
      <c r="CB20" s="22">
        <f t="shared" si="10"/>
        <v>171.25918074522826</v>
      </c>
      <c r="CC20" s="62">
        <f t="shared" si="11"/>
        <v>392.87940268424393</v>
      </c>
      <c r="CD20" s="62">
        <f ca="1">AVERAGE(OFFSET($CC$3,0,0,'Données projet'!$E$12+1,1))-AVERAGE(OFFSET($H$3,0,0,'Données projet'!$E$12+1,1))</f>
        <v>211.76609132110815</v>
      </c>
      <c r="CE20" s="62">
        <f t="shared" si="40"/>
        <v>363.07965692095752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12.6</v>
      </c>
      <c r="CT20" s="13">
        <f>IF('Données projet'!$A$140&gt;35,CT19+CS20-DB19,IF(A20&lt;'Données projet'!$A$140,$CQ$205^A20,IF(A20='Données projet'!$A$140,'Données projet'!$B$140,CT19+CS20-DB19)))</f>
        <v>142.19999999999999</v>
      </c>
      <c r="CU20" s="18">
        <f>CT20*VLOOKUP('Données projet'!$B$13,Paramètres!$A$1:$I$89,3,0)*VLOOKUP('Données projet'!$B$13,Paramètres!$A$1:$I$89,5,0)</f>
        <v>128.66255999999998</v>
      </c>
      <c r="CV20" s="14">
        <f t="shared" si="41"/>
        <v>33.687130461083775</v>
      </c>
      <c r="CW20" s="22">
        <f t="shared" si="13"/>
        <v>282.75904421972086</v>
      </c>
      <c r="CX20" s="62">
        <f t="shared" si="14"/>
        <v>504.37926615873653</v>
      </c>
      <c r="CY20" s="62">
        <f ca="1">AVERAGE(OFFSET($CX$3,0,0,'Données projet'!$E$13+1,1))-AVERAGE(OFFSET($H$3,0,0,'Données projet'!$E$13+1,1))</f>
        <v>374.91250349988451</v>
      </c>
      <c r="CZ20" s="62">
        <f t="shared" si="42"/>
        <v>529.46825265662869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1.3267132749711219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1.3267132749711219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3.95</v>
      </c>
      <c r="DO20" s="13">
        <f>IF('Données projet'!$A$166&gt;35,DO19+DN20-DW19,IF(A20&lt;'Données projet'!$A$166,$DL$205^A20,IF(A20='Données projet'!$A$166,'Données projet'!$B$166,DO19+DN20-DW19)))</f>
        <v>41.018807235842807</v>
      </c>
      <c r="DP20" s="18">
        <f>DO20*VLOOKUP('Données projet'!$B$14,Paramètres!$A$1:$I$89,3,0)*VLOOKUP('Données projet'!$B$14,Paramètres!$A$1:$I$89,5,0)</f>
        <v>35.834030001232279</v>
      </c>
      <c r="DQ20" s="14">
        <f t="shared" si="43"/>
        <v>10.887488362971231</v>
      </c>
      <c r="DR20" s="22">
        <f t="shared" si="16"/>
        <v>81.373311150987774</v>
      </c>
      <c r="DS20" s="62">
        <f t="shared" si="17"/>
        <v>302.99353309000344</v>
      </c>
      <c r="DT20" s="62">
        <f ca="1">AVERAGE(OFFSET($DS$3,0,0,'Données projet'!$E$14+1,1))-AVERAGE(OFFSET($H$3,0,0,'Données projet'!$E$14+1,1))</f>
        <v>289.18543665577761</v>
      </c>
      <c r="DU20" s="62">
        <f t="shared" si="44"/>
        <v>291.40065947222843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3.65</v>
      </c>
      <c r="EJ20" s="13">
        <f>IF('Données projet'!$A$192&gt;35,EJ19+EI20-ER19,IF(A20&lt;'Données projet'!$A$192,$EG$205^A20,IF(A20='Données projet'!$A$192,'Données projet'!$B$192,EJ19+EI20-ER19)))</f>
        <v>38.355215845858055</v>
      </c>
      <c r="EK20" s="18">
        <f>EJ20*VLOOKUP('Données projet'!$B$15,Paramètres!$A$1:$I$89,3,0)*VLOOKUP('Données projet'!$B$15,Paramètres!$A$1:$I$89,5,0)</f>
        <v>38.892188867700071</v>
      </c>
      <c r="EL20" s="14">
        <f t="shared" si="45"/>
        <v>11.704543208803392</v>
      </c>
      <c r="EM20" s="22">
        <f t="shared" si="19"/>
        <v>88.122641699910204</v>
      </c>
      <c r="EN20" s="62">
        <f t="shared" si="20"/>
        <v>309.74286363892583</v>
      </c>
      <c r="EO20" s="62">
        <f ca="1">AVERAGE(OFFSET($EN$3,0,0,'Données projet'!$E$15+1,1))-AVERAGE(OFFSET($H$3,0,0,'Données projet'!$E$15+1,1))</f>
        <v>514.72748286045442</v>
      </c>
      <c r="EP20" s="62">
        <f t="shared" si="46"/>
        <v>322.28702110656116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54.775212043973966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4.0999999999999996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15.033333333333331</v>
      </c>
      <c r="H21" s="70">
        <f t="shared" si="1"/>
        <v>196.53333333333333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70.794576398719499</v>
      </c>
      <c r="T21" s="62">
        <f t="shared" si="34"/>
        <v>328.91236364911629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8.6032671127548568</v>
      </c>
      <c r="AC21" s="24">
        <f t="shared" si="3"/>
        <v>8.6032671127548568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43.007397804163212</v>
      </c>
      <c r="AK21" s="14">
        <f t="shared" si="35"/>
        <v>12.792363936215189</v>
      </c>
      <c r="AL21" s="22">
        <f t="shared" si="4"/>
        <v>97.184585031159045</v>
      </c>
      <c r="AM21" s="62">
        <f t="shared" si="5"/>
        <v>320.99545464860159</v>
      </c>
      <c r="AN21" s="62">
        <f ca="1">AVERAGE(OFFSET($AM$3,0,0,'Données projet'!$E$10+1,1))-AVERAGE(OFFSET($H$3,0,0,'Données projet'!$E$10+1,1))</f>
        <v>466.75323833427217</v>
      </c>
      <c r="AO21" s="62">
        <f t="shared" si="36"/>
        <v>293.88550076209378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268</v>
      </c>
      <c r="BB21" s="13">
        <f>VLOOKUP(A21,'Données projet'!$A$87:$I$107,9,0)</f>
        <v>14.888888888888889</v>
      </c>
      <c r="BC21" s="13">
        <f t="array" ref="BC21">INDEX(BB:BB,MIN(IF(ISNUMBER(BB21:BB217),ROW(BB21:BB217),"")))</f>
        <v>14.888888888888889</v>
      </c>
      <c r="BD21" s="13">
        <f>IF('Données projet'!$A$88&gt;35,BD20+BC21-BL20,IF(A21&lt;'Données projet'!$A$88,$BA$205^A21,IF(A21='Données projet'!$A$88,'Données projet'!$B$88,BD20+BC21-BL20)))</f>
        <v>268</v>
      </c>
      <c r="BE21" s="14">
        <f>BD21*VLOOKUP('Données projet'!$B$11,Paramètres!$A$1:$I$89,3,0)*VLOOKUP('Données projet'!$B$11,Paramètres!$A$1:$I$89,5,0)</f>
        <v>140.47488000000001</v>
      </c>
      <c r="BF21" s="14">
        <f t="shared" si="37"/>
        <v>36.405772385199718</v>
      </c>
      <c r="BG21" s="22">
        <f t="shared" si="7"/>
        <v>308.06713623755621</v>
      </c>
      <c r="BH21" s="62">
        <f t="shared" si="8"/>
        <v>531.87800585499872</v>
      </c>
      <c r="BI21" s="62">
        <f ca="1">AVERAGE(OFFSET($BH$3,0,0,'Données projet'!$E$11+1,1))-AVERAGE(OFFSET($H$3,0,0,'Données projet'!$E$11+1,1))</f>
        <v>68.47741055388687</v>
      </c>
      <c r="BJ21" s="62">
        <f t="shared" si="38"/>
        <v>335.34467252166542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268</v>
      </c>
      <c r="BM21" s="17">
        <f>IF(ISNA(VLOOKUP(A21,'Données projet'!$A$87:$I$107,5,0)),0%,VLOOKUP(A21,'Données projet'!$A$87:$I$107,5,0)*VLOOKUP('Données projet'!$B$11,Paramètres!$A$1:$I$89,7,0))</f>
        <v>0.42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0.3</v>
      </c>
      <c r="BP21" s="23">
        <f>EXP(-LN(2)/35)*BP20+(1-EXP(-LN(2)/35))/(LN(2)/35)*BL21*BM21*VLOOKUP('Données projet'!$B$11,Paramètres!$A$1:$I$89,3,0)*0.475*44/12</f>
        <v>65.222143941547174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39.762549031788645</v>
      </c>
      <c r="BS21" s="24">
        <f t="shared" si="9"/>
        <v>104.98469297333583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17.166666666666668</v>
      </c>
      <c r="BY21" s="13">
        <f>IF('Données projet'!$A$114&gt;35,BY20+BX21-CG20,IF(A21&lt;'Données projet'!$A$114,$BV$205^A21,IF(A21='Données projet'!$A$114,'Données projet'!$B$114,BY20+BX21-CG20)))</f>
        <v>145.83333333333334</v>
      </c>
      <c r="BZ21" s="14">
        <f>BY21*VLOOKUP('Données projet'!$B$12,Paramètres!$A$1:$I$89,3,0)*VLOOKUP('Données projet'!$B$12,Paramètres!$A$1:$I$89,5,0)</f>
        <v>87.208333333333343</v>
      </c>
      <c r="CA21" s="14">
        <f t="shared" si="39"/>
        <v>23.890712489742075</v>
      </c>
      <c r="CB21" s="22">
        <f t="shared" si="10"/>
        <v>193.49750480852299</v>
      </c>
      <c r="CC21" s="62">
        <f t="shared" si="11"/>
        <v>417.30837442596555</v>
      </c>
      <c r="CD21" s="62">
        <f ca="1">AVERAGE(OFFSET($CC$3,0,0,'Données projet'!$E$12+1,1))-AVERAGE(OFFSET($H$3,0,0,'Données projet'!$E$12+1,1))</f>
        <v>211.76609132110815</v>
      </c>
      <c r="CE21" s="62">
        <f t="shared" si="40"/>
        <v>363.07965692095752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12.6</v>
      </c>
      <c r="CT21" s="13">
        <f>IF('Données projet'!$A$140&gt;35,CT20+CS21-DB20,IF(A21&lt;'Données projet'!$A$140,$CQ$205^A21,IF(A21='Données projet'!$A$140,'Données projet'!$B$140,CT20+CS21-DB20)))</f>
        <v>154.79999999999998</v>
      </c>
      <c r="CU21" s="18">
        <f>CT21*VLOOKUP('Données projet'!$B$13,Paramètres!$A$1:$I$89,3,0)*VLOOKUP('Données projet'!$B$13,Paramètres!$A$1:$I$89,5,0)</f>
        <v>140.06303999999997</v>
      </c>
      <c r="CV21" s="14">
        <f t="shared" si="41"/>
        <v>36.31144669536954</v>
      </c>
      <c r="CW21" s="22">
        <f t="shared" si="13"/>
        <v>307.18556432776853</v>
      </c>
      <c r="CX21" s="62">
        <f t="shared" si="14"/>
        <v>530.99643394521104</v>
      </c>
      <c r="CY21" s="62">
        <f ca="1">AVERAGE(OFFSET($CX$3,0,0,'Données projet'!$E$13+1,1))-AVERAGE(OFFSET($H$3,0,0,'Données projet'!$E$13+1,1))</f>
        <v>374.91250349988451</v>
      </c>
      <c r="CZ21" s="62">
        <f t="shared" si="42"/>
        <v>529.46825265662869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1.3006972368641325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1.3006972368641325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3.95</v>
      </c>
      <c r="DO21" s="13">
        <f>IF('Données projet'!$A$166&gt;35,DO20+DN21-DW20,IF(A21&lt;'Données projet'!$A$166,$DL$205^A21,IF(A21='Données projet'!$A$166,'Données projet'!$B$166,DO20+DN21-DW20)))</f>
        <v>51.034560864334757</v>
      </c>
      <c r="DP21" s="18">
        <f>DO21*VLOOKUP('Données projet'!$B$14,Paramètres!$A$1:$I$89,3,0)*VLOOKUP('Données projet'!$B$14,Paramètres!$A$1:$I$89,5,0)</f>
        <v>44.583792371082851</v>
      </c>
      <c r="DQ21" s="14">
        <f t="shared" si="43"/>
        <v>13.205804654127736</v>
      </c>
      <c r="DR21" s="22">
        <f t="shared" si="16"/>
        <v>100.65021481890842</v>
      </c>
      <c r="DS21" s="62">
        <f t="shared" si="17"/>
        <v>324.46108443635097</v>
      </c>
      <c r="DT21" s="62">
        <f ca="1">AVERAGE(OFFSET($DS$3,0,0,'Données projet'!$E$14+1,1))-AVERAGE(OFFSET($H$3,0,0,'Données projet'!$E$14+1,1))</f>
        <v>289.18543665577761</v>
      </c>
      <c r="DU21" s="62">
        <f t="shared" si="44"/>
        <v>291.40065947222843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3.65</v>
      </c>
      <c r="EJ21" s="13">
        <f>IF('Données projet'!$A$192&gt;35,EJ20+EI21-ER20,IF(A21&lt;'Données projet'!$A$192,$EG$205^A21,IF(A21='Données projet'!$A$192,'Données projet'!$B$192,EJ20+EI21-ER20)))</f>
        <v>47.532490941824946</v>
      </c>
      <c r="EK21" s="18">
        <f>EJ21*VLOOKUP('Données projet'!$B$15,Paramètres!$A$1:$I$89,3,0)*VLOOKUP('Données projet'!$B$15,Paramètres!$A$1:$I$89,5,0)</f>
        <v>48.197945815010499</v>
      </c>
      <c r="EL21" s="14">
        <f t="shared" si="45"/>
        <v>14.147381769152156</v>
      </c>
      <c r="EM21" s="22">
        <f t="shared" si="19"/>
        <v>108.58477887574996</v>
      </c>
      <c r="EN21" s="62">
        <f t="shared" si="20"/>
        <v>332.39564849319254</v>
      </c>
      <c r="EO21" s="62">
        <f ca="1">AVERAGE(OFFSET($EN$3,0,0,'Données projet'!$E$15+1,1))-AVERAGE(OFFSET($H$3,0,0,'Données projet'!$E$15+1,1))</f>
        <v>514.72748286045442</v>
      </c>
      <c r="EP21" s="62">
        <f t="shared" si="46"/>
        <v>322.28702110656116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55.039328077484335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4.0999999999999996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15.033333333333331</v>
      </c>
      <c r="H22" s="70">
        <f t="shared" si="1"/>
        <v>196.53333333333333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70.794576398719499</v>
      </c>
      <c r="T22" s="62">
        <f t="shared" si="34"/>
        <v>328.91236364911629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6.0834285157881691</v>
      </c>
      <c r="AC22" s="24">
        <f t="shared" si="3"/>
        <v>6.0834285157881691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53.297803218557732</v>
      </c>
      <c r="AK22" s="14">
        <f t="shared" si="35"/>
        <v>15.462240012873817</v>
      </c>
      <c r="AL22" s="22">
        <f t="shared" si="4"/>
        <v>119.75707529474329</v>
      </c>
      <c r="AM22" s="62">
        <f t="shared" si="5"/>
        <v>345.74179257402261</v>
      </c>
      <c r="AN22" s="62">
        <f ca="1">AVERAGE(OFFSET($AM$3,0,0,'Données projet'!$E$10+1,1))-AVERAGE(OFFSET($H$3,0,0,'Données projet'!$E$10+1,1))</f>
        <v>466.75323833427217</v>
      </c>
      <c r="AO22" s="62">
        <f t="shared" si="36"/>
        <v>293.88550076209378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68.47741055388687</v>
      </c>
      <c r="BJ22" s="62">
        <f t="shared" si="38"/>
        <v>335.34467252166542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63.943177480433135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28.116368057640344</v>
      </c>
      <c r="BS22" s="24">
        <f t="shared" si="9"/>
        <v>92.059545538073479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>
        <f>VLOOKUP(A22,'Données projet'!$A$113:$I$133,2,0)</f>
        <v>163</v>
      </c>
      <c r="BW22" s="13">
        <f>VLOOKUP(A22,'Données projet'!$A$113:$I$133,9,0)</f>
        <v>17.166666666666668</v>
      </c>
      <c r="BX22" s="13">
        <f t="array" ref="BX22">INDEX(BW:BW,MIN(IF(ISNUMBER(BW22:BW218),ROW(BW22:BW218),"")))</f>
        <v>17.166666666666668</v>
      </c>
      <c r="BY22" s="13">
        <f>IF('Données projet'!$A$114&gt;35,BY21+BX22-CG21,IF(A22&lt;'Données projet'!$A$114,$BV$205^A22,IF(A22='Données projet'!$A$114,'Données projet'!$B$114,BY21+BX22-CG21)))</f>
        <v>163</v>
      </c>
      <c r="BZ22" s="14">
        <f>BY22*VLOOKUP('Données projet'!$B$12,Paramètres!$A$1:$I$89,3,0)*VLOOKUP('Données projet'!$B$12,Paramètres!$A$1:$I$89,5,0)</f>
        <v>97.474000000000004</v>
      </c>
      <c r="CA22" s="14">
        <f t="shared" si="39"/>
        <v>26.359319748929014</v>
      </c>
      <c r="CB22" s="22">
        <f t="shared" si="10"/>
        <v>215.67636522938469</v>
      </c>
      <c r="CC22" s="62">
        <f t="shared" si="11"/>
        <v>441.66108250866404</v>
      </c>
      <c r="CD22" s="62">
        <f ca="1">AVERAGE(OFFSET($CC$3,0,0,'Données projet'!$E$12+1,1))-AVERAGE(OFFSET($H$3,0,0,'Données projet'!$E$12+1,1))</f>
        <v>211.76609132110815</v>
      </c>
      <c r="CE22" s="62">
        <f t="shared" si="40"/>
        <v>363.07965692095752</v>
      </c>
      <c r="CF22" s="16">
        <f>IF(ISNA(VLOOKUP(A22,'Données projet'!$A$113:$I$133,3,0)),0,VLOOKUP(A22,'Données projet'!$A$113:$I$133,3,0))</f>
        <v>2</v>
      </c>
      <c r="CG22" s="16">
        <f>IF(ISNA(VLOOKUP(A22,'Données projet'!$A$113:$I$133,4,0)),0,VLOOKUP(A22,'Données projet'!$A$113:$I$133,4,0))</f>
        <v>40</v>
      </c>
      <c r="CH22" s="17">
        <f>IF(ISNA(VLOOKUP(A22,'Données projet'!$A$113:$I$133,5,0)),0%,VLOOKUP(A22,'Données projet'!$A$113:$I$133,5,0)*VLOOKUP('Données projet'!$B$12,Paramètres!$A$1:$I$89,7,0))</f>
        <v>4.5000000000000005E-2</v>
      </c>
      <c r="CI22" s="17">
        <f>IF(ISNA(VLOOKUP(A22,'Données projet'!$A$113:$I$133,6,0)),0%,VLOOKUP(A22,'Données projet'!$A$113:$I$133,6,0)*VLOOKUP('Données projet'!$B$12,Paramètres!$A$1:$I$89,7,0))</f>
        <v>9.0000000000000011E-2</v>
      </c>
      <c r="CJ22" s="17">
        <f>IF(ISNA(VLOOKUP(A22,'Données projet'!$A$113:$I$133,7,0)),0%,VLOOKUP(A22,'Données projet'!$A$113:$I$133,7,0))</f>
        <v>0.7</v>
      </c>
      <c r="CK22" s="23">
        <f>EXP(-LN(2)/35)*CK21+(1-EXP(-LN(2)/35))/(LN(2)/35)*CG22*CH22*VLOOKUP('Données projet'!$B$12,Paramètres!$A$1:$I$89,3,0)*0.475*44/12</f>
        <v>1.427913979835121</v>
      </c>
      <c r="CL22" s="23">
        <f>EXP(-LN(2)/25)*CL21+(1-EXP(-LN(2)/25))/(LN(2)/25)*Calculateur!CG22*Calculateur!CI22*VLOOKUP('Données projet'!$B$12,Paramètres!$A$1:$I$89,3,0)*0.475*44/12</f>
        <v>2.8445834768372578</v>
      </c>
      <c r="CM22" s="23">
        <f>EXP(-LN(2)/2)*CM21+(1-EXP(-LN(2)/2))/(LN(2)/2)*CG22*CJ22*VLOOKUP('Données projet'!$B$12,Paramètres!$A$1:$I$89,3,0)*0.475*44/12</f>
        <v>18.958097589783147</v>
      </c>
      <c r="CN22" s="24">
        <f t="shared" si="12"/>
        <v>23.230595046455527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12.6</v>
      </c>
      <c r="CT22" s="13">
        <f>IF('Données projet'!$A$140&gt;35,CT21+CS22-DB21,IF(A22&lt;'Données projet'!$A$140,$CQ$205^A22,IF(A22='Données projet'!$A$140,'Données projet'!$B$140,CT21+CS22-DB21)))</f>
        <v>167.39999999999998</v>
      </c>
      <c r="CU22" s="18">
        <f>CT22*VLOOKUP('Données projet'!$B$13,Paramètres!$A$1:$I$89,3,0)*VLOOKUP('Données projet'!$B$13,Paramètres!$A$1:$I$89,5,0)</f>
        <v>151.46351999999999</v>
      </c>
      <c r="CV22" s="14">
        <f t="shared" si="41"/>
        <v>38.910987614777085</v>
      </c>
      <c r="CW22" s="22">
        <f t="shared" si="13"/>
        <v>331.56893409573678</v>
      </c>
      <c r="CX22" s="62">
        <f t="shared" si="14"/>
        <v>557.5536513750161</v>
      </c>
      <c r="CY22" s="62">
        <f ca="1">AVERAGE(OFFSET($CX$3,0,0,'Données projet'!$E$13+1,1))-AVERAGE(OFFSET($H$3,0,0,'Données projet'!$E$13+1,1))</f>
        <v>374.91250349988451</v>
      </c>
      <c r="CZ22" s="62">
        <f t="shared" si="42"/>
        <v>529.46825265662869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1.2751913573962048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1.2751913573962048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3.95</v>
      </c>
      <c r="DO22" s="13">
        <f>IF('Données projet'!$A$166&gt;35,DO21+DN22-DW21,IF(A22&lt;'Données projet'!$A$166,$DL$205^A22,IF(A22='Données projet'!$A$166,'Données projet'!$B$166,DO21+DN22-DW21)))</f>
        <v>63.495907807373236</v>
      </c>
      <c r="DP22" s="18">
        <f>DO22*VLOOKUP('Données projet'!$B$14,Paramètres!$A$1:$I$89,3,0)*VLOOKUP('Données projet'!$B$14,Paramètres!$A$1:$I$89,5,0)</f>
        <v>55.470025060521266</v>
      </c>
      <c r="DQ22" s="14">
        <f t="shared" si="43"/>
        <v>16.01776927322376</v>
      </c>
      <c r="DR22" s="22">
        <f t="shared" si="16"/>
        <v>124.50790846460593</v>
      </c>
      <c r="DS22" s="62">
        <f t="shared" si="17"/>
        <v>350.4926257438853</v>
      </c>
      <c r="DT22" s="62">
        <f ca="1">AVERAGE(OFFSET($DS$3,0,0,'Données projet'!$E$14+1,1))-AVERAGE(OFFSET($H$3,0,0,'Données projet'!$E$14+1,1))</f>
        <v>289.18543665577761</v>
      </c>
      <c r="DU22" s="62">
        <f t="shared" si="44"/>
        <v>291.40065947222843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3.65</v>
      </c>
      <c r="EJ22" s="13">
        <f>IF('Données projet'!$A$192&gt;35,EJ21+EI22-ER21,IF(A22&lt;'Données projet'!$A$192,$EG$205^A22,IF(A22='Données projet'!$A$192,'Données projet'!$B$192,EJ21+EI22-ER21)))</f>
        <v>58.90561805764559</v>
      </c>
      <c r="EK22" s="18">
        <f>EJ22*VLOOKUP('Données projet'!$B$15,Paramètres!$A$1:$I$89,3,0)*VLOOKUP('Données projet'!$B$15,Paramètres!$A$1:$I$89,5,0)</f>
        <v>59.730296710452635</v>
      </c>
      <c r="EL22" s="14">
        <f t="shared" si="45"/>
        <v>17.100061689857345</v>
      </c>
      <c r="EM22" s="22">
        <f t="shared" si="19"/>
        <v>133.81287421387319</v>
      </c>
      <c r="EN22" s="62">
        <f t="shared" si="20"/>
        <v>359.79759149315254</v>
      </c>
      <c r="EO22" s="62">
        <f ca="1">AVERAGE(OFFSET($EN$3,0,0,'Données projet'!$E$15+1,1))-AVERAGE(OFFSET($H$3,0,0,'Données projet'!$E$15+1,1))</f>
        <v>514.72748286045442</v>
      </c>
      <c r="EP22" s="62">
        <f t="shared" si="46"/>
        <v>322.28702110656116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55.298862288288298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4.0999999999999996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15.033333333333331</v>
      </c>
      <c r="H23" s="70">
        <f t="shared" si="1"/>
        <v>196.53333333333333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70.794576398719499</v>
      </c>
      <c r="T23" s="62">
        <f t="shared" si="34"/>
        <v>328.91236364911629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4.3016335563774284</v>
      </c>
      <c r="AC23" s="24">
        <f t="shared" si="3"/>
        <v>4.3016335563774284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66.050399999999996</v>
      </c>
      <c r="AK23" s="14">
        <f t="shared" si="35"/>
        <v>18.689342126897891</v>
      </c>
      <c r="AL23" s="22">
        <f t="shared" si="4"/>
        <v>147.58838420434714</v>
      </c>
      <c r="AM23" s="62">
        <f t="shared" si="5"/>
        <v>375.7304405716016</v>
      </c>
      <c r="AN23" s="62">
        <f ca="1">AVERAGE(OFFSET($AM$3,0,0,'Données projet'!$E$10+1,1))-AVERAGE(OFFSET($H$3,0,0,'Données projet'!$E$10+1,1))</f>
        <v>466.75323833427217</v>
      </c>
      <c r="AO23" s="62">
        <f t="shared" si="36"/>
        <v>293.88550076209378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68.47741055388687</v>
      </c>
      <c r="BJ23" s="62">
        <f t="shared" si="38"/>
        <v>335.34467252166542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62.689290771529031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19.881274515894326</v>
      </c>
      <c r="BS23" s="24">
        <f t="shared" si="9"/>
        <v>82.570565287423364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16.5</v>
      </c>
      <c r="BY23" s="13">
        <f>IF('Données projet'!$A$114&gt;35,BY22+BX23-CG22,IF(A23&lt;'Données projet'!$A$114,$BV$205^A23,IF(A23='Données projet'!$A$114,'Données projet'!$B$114,BY22+BX23-CG22)))</f>
        <v>139.5</v>
      </c>
      <c r="BZ23" s="14">
        <f>BY23*VLOOKUP('Données projet'!$B$12,Paramètres!$A$1:$I$89,3,0)*VLOOKUP('Données projet'!$B$12,Paramètres!$A$1:$I$89,5,0)</f>
        <v>83.421000000000006</v>
      </c>
      <c r="CA23" s="14">
        <f t="shared" si="39"/>
        <v>22.97158706718762</v>
      </c>
      <c r="CB23" s="22">
        <f t="shared" si="10"/>
        <v>185.30042247535178</v>
      </c>
      <c r="CC23" s="62">
        <f t="shared" si="11"/>
        <v>413.44247884260625</v>
      </c>
      <c r="CD23" s="62">
        <f ca="1">AVERAGE(OFFSET($CC$3,0,0,'Données projet'!$E$12+1,1))-AVERAGE(OFFSET($H$3,0,0,'Données projet'!$E$12+1,1))</f>
        <v>211.76609132110815</v>
      </c>
      <c r="CE23" s="62">
        <f t="shared" si="40"/>
        <v>363.07965692095752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1.3999134576320837</v>
      </c>
      <c r="CL23" s="23">
        <f>EXP(-LN(2)/25)*CL22+(1-EXP(-LN(2)/25))/(LN(2)/25)*Calculateur!CG23*Calculateur!CI23*VLOOKUP('Données projet'!$B$12,Paramètres!$A$1:$I$89,3,0)*0.475*44/12</f>
        <v>2.7667981920729994</v>
      </c>
      <c r="CM23" s="23">
        <f>EXP(-LN(2)/2)*CM22+(1-EXP(-LN(2)/2))/(LN(2)/2)*CG23*CJ23*VLOOKUP('Données projet'!$B$12,Paramètres!$A$1:$I$89,3,0)*0.475*44/12</f>
        <v>13.405399364132007</v>
      </c>
      <c r="CN23" s="24">
        <f t="shared" si="12"/>
        <v>17.572111013837091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180</v>
      </c>
      <c r="CR23" s="13">
        <f>VLOOKUP(A23,'Données projet'!$A$139:$I$159,9,0)</f>
        <v>12.6</v>
      </c>
      <c r="CS23" s="13">
        <f t="array" ref="CS23">INDEX(CR:CR,MIN(IF(ISNUMBER(CR23:CR219),ROW(CR23:CR219),"")))</f>
        <v>12.6</v>
      </c>
      <c r="CT23" s="13">
        <f>IF('Données projet'!$A$140&gt;35,CT22+CS23-DB22,IF(A23&lt;'Données projet'!$A$140,$CQ$205^A23,IF(A23='Données projet'!$A$140,'Données projet'!$B$140,CT22+CS23-DB22)))</f>
        <v>179.99999999999997</v>
      </c>
      <c r="CU23" s="18">
        <f>CT23*VLOOKUP('Données projet'!$B$13,Paramètres!$A$1:$I$89,3,0)*VLOOKUP('Données projet'!$B$13,Paramètres!$A$1:$I$89,5,0)</f>
        <v>162.86399999999998</v>
      </c>
      <c r="CV23" s="14">
        <f t="shared" si="41"/>
        <v>41.487830069509123</v>
      </c>
      <c r="CW23" s="22">
        <f t="shared" si="13"/>
        <v>355.91277070439497</v>
      </c>
      <c r="CX23" s="62">
        <f t="shared" si="14"/>
        <v>584.05482707164947</v>
      </c>
      <c r="CY23" s="62">
        <f ca="1">AVERAGE(OFFSET($CX$3,0,0,'Données projet'!$E$13+1,1))-AVERAGE(OFFSET($H$3,0,0,'Données projet'!$E$13+1,1))</f>
        <v>374.91250349988451</v>
      </c>
      <c r="CZ23" s="62">
        <f t="shared" si="42"/>
        <v>529.46825265662869</v>
      </c>
      <c r="DA23" s="16">
        <f>IF(ISNA(VLOOKUP(A23,'Données projet'!$A$139:$I$159,3,0)),0,VLOOKUP(A23,'Données projet'!$A$139:$I$159,3,0))</f>
        <v>4</v>
      </c>
      <c r="DB23" s="16">
        <f>IF(ISNA(VLOOKUP(A23,'Données projet'!$A$139:$I$159,4,0)),0,VLOOKUP(A23,'Données projet'!$A$139:$I$159,4,0))</f>
        <v>18</v>
      </c>
      <c r="DC23" s="17">
        <f>IF(ISNA(VLOOKUP(A23,'Données projet'!$A$139:$I$159,5,0)),0%,VLOOKUP(A23,'Données projet'!$A$139:$I$159,5,0)*VLOOKUP('Données projet'!$B$13,Paramètres!$A$1:$I$89,7,0))</f>
        <v>0.24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5.5711775020816985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5.5711775020816985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79</v>
      </c>
      <c r="DM23" s="13">
        <f>VLOOKUP(A23,'Données projet'!$A$165:$I$185,9,0)</f>
        <v>3.95</v>
      </c>
      <c r="DN23" s="13">
        <f t="array" ref="DN23">INDEX(DM:DM,MIN(IF(ISNUMBER(DM23:DM219),ROW(DM23:DM219),"")))</f>
        <v>3.95</v>
      </c>
      <c r="DO23" s="13">
        <f>IF('Données projet'!$A$166&gt;35,DO22+DN23-DW22,IF(A23&lt;'Données projet'!$A$166,$DL$205^A23,IF(A23='Données projet'!$A$166,'Données projet'!$B$166,DO22+DN23-DW22)))</f>
        <v>79</v>
      </c>
      <c r="DP23" s="18">
        <f>DO23*VLOOKUP('Données projet'!$B$14,Paramètres!$A$1:$I$89,3,0)*VLOOKUP('Données projet'!$B$14,Paramètres!$A$1:$I$89,5,0)</f>
        <v>69.014400000000009</v>
      </c>
      <c r="DQ23" s="14">
        <f t="shared" si="43"/>
        <v>19.428496726251055</v>
      </c>
      <c r="DR23" s="22">
        <f t="shared" si="16"/>
        <v>154.03804513155393</v>
      </c>
      <c r="DS23" s="62">
        <f t="shared" si="17"/>
        <v>382.18010149880843</v>
      </c>
      <c r="DT23" s="62">
        <f ca="1">AVERAGE(OFFSET($DS$3,0,0,'Données projet'!$E$14+1,1))-AVERAGE(OFFSET($H$3,0,0,'Données projet'!$E$14+1,1))</f>
        <v>289.18543665577761</v>
      </c>
      <c r="DU23" s="62">
        <f t="shared" si="44"/>
        <v>291.40065947222843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73</v>
      </c>
      <c r="EH23" s="13">
        <f>VLOOKUP(A23,'Données projet'!$A$191:$I$211,9,0)</f>
        <v>3.65</v>
      </c>
      <c r="EI23" s="13">
        <f t="array" ref="EI23">INDEX(EH:EH,MIN(IF(ISNUMBER(EH23:EH219),ROW(EH23:EH219),"")))</f>
        <v>3.65</v>
      </c>
      <c r="EJ23" s="13">
        <f>IF('Données projet'!$A$192&gt;35,EJ22+EI23-ER22,IF(A23&lt;'Données projet'!$A$192,$EG$205^A23,IF(A23='Données projet'!$A$192,'Données projet'!$B$192,EJ22+EI23-ER22)))</f>
        <v>73</v>
      </c>
      <c r="EK23" s="18">
        <f>EJ23*VLOOKUP('Données projet'!$B$15,Paramètres!$A$1:$I$89,3,0)*VLOOKUP('Données projet'!$B$15,Paramètres!$A$1:$I$89,5,0)</f>
        <v>74.022000000000006</v>
      </c>
      <c r="EL23" s="14">
        <f t="shared" si="45"/>
        <v>20.668991235856851</v>
      </c>
      <c r="EM23" s="22">
        <f t="shared" si="19"/>
        <v>164.92014306911736</v>
      </c>
      <c r="EN23" s="62">
        <f t="shared" si="20"/>
        <v>393.06219943637183</v>
      </c>
      <c r="EO23" s="62">
        <f ca="1">AVERAGE(OFFSET($EN$3,0,0,'Données projet'!$E$15+1,1))-AVERAGE(OFFSET($H$3,0,0,'Données projet'!$E$15+1,1))</f>
        <v>514.72748286045442</v>
      </c>
      <c r="EP23" s="62">
        <f t="shared" si="46"/>
        <v>322.28702110656116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6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55.553894160766376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4.0999999999999996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15.033333333333331</v>
      </c>
      <c r="H24" s="70">
        <f t="shared" si="1"/>
        <v>196.53333333333333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70.794576398719499</v>
      </c>
      <c r="T24" s="62">
        <f t="shared" si="34"/>
        <v>328.91236364911629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3.0417142578940846</v>
      </c>
      <c r="AC24" s="24">
        <f t="shared" si="3"/>
        <v>3.0417142578940846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67.136160000000004</v>
      </c>
      <c r="AK24" s="14">
        <f t="shared" si="35"/>
        <v>18.960545405756019</v>
      </c>
      <c r="AL24" s="22">
        <f t="shared" si="4"/>
        <v>149.95176191502506</v>
      </c>
      <c r="AM24" s="62">
        <f t="shared" si="5"/>
        <v>380.23493518324204</v>
      </c>
      <c r="AN24" s="62">
        <f ca="1">AVERAGE(OFFSET($AM$3,0,0,'Données projet'!$E$10+1,1))-AVERAGE(OFFSET($H$3,0,0,'Données projet'!$E$10+1,1))</f>
        <v>466.75323833427217</v>
      </c>
      <c r="AO24" s="62">
        <f t="shared" si="36"/>
        <v>293.88550076209378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68.47741055388687</v>
      </c>
      <c r="BJ24" s="62">
        <f t="shared" si="38"/>
        <v>335.34467252166542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61.459992016191158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14.058184028820174</v>
      </c>
      <c r="BS24" s="24">
        <f t="shared" si="9"/>
        <v>75.51817604501133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16.5</v>
      </c>
      <c r="BY24" s="13">
        <f>IF('Données projet'!$A$114&gt;35,BY23+BX24-CG23,IF(A24&lt;'Données projet'!$A$114,$BV$205^A24,IF(A24='Données projet'!$A$114,'Données projet'!$B$114,BY23+BX24-CG23)))</f>
        <v>156</v>
      </c>
      <c r="BZ24" s="14">
        <f>BY24*VLOOKUP('Données projet'!$B$12,Paramètres!$A$1:$I$89,3,0)*VLOOKUP('Données projet'!$B$12,Paramètres!$A$1:$I$89,5,0)</f>
        <v>93.288000000000011</v>
      </c>
      <c r="CA24" s="14">
        <f t="shared" si="39"/>
        <v>25.356547829040977</v>
      </c>
      <c r="CB24" s="22">
        <f t="shared" si="10"/>
        <v>206.63925413557971</v>
      </c>
      <c r="CC24" s="62">
        <f t="shared" si="11"/>
        <v>436.92242740379669</v>
      </c>
      <c r="CD24" s="62">
        <f ca="1">AVERAGE(OFFSET($CC$3,0,0,'Données projet'!$E$12+1,1))-AVERAGE(OFFSET($H$3,0,0,'Données projet'!$E$12+1,1))</f>
        <v>211.76609132110815</v>
      </c>
      <c r="CE24" s="62">
        <f t="shared" si="40"/>
        <v>363.07965692095752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1.3724620085908157</v>
      </c>
      <c r="CL24" s="23">
        <f>EXP(-LN(2)/25)*CL23+(1-EXP(-LN(2)/25))/(LN(2)/25)*Calculateur!CG24*Calculateur!CI24*VLOOKUP('Données projet'!$B$12,Paramètres!$A$1:$I$89,3,0)*0.475*44/12</f>
        <v>2.6911399500111699</v>
      </c>
      <c r="CM24" s="23">
        <f>EXP(-LN(2)/2)*CM23+(1-EXP(-LN(2)/2))/(LN(2)/2)*CG24*CJ24*VLOOKUP('Données projet'!$B$12,Paramètres!$A$1:$I$89,3,0)*0.475*44/12</f>
        <v>9.4790487948915754</v>
      </c>
      <c r="CN24" s="24">
        <f t="shared" si="12"/>
        <v>13.542650753493561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10.4</v>
      </c>
      <c r="CT24" s="13">
        <f>IF('Données projet'!$A$140&gt;35,CT23+CS24-DB23,IF(A24&lt;'Données projet'!$A$140,$CQ$205^A24,IF(A24='Données projet'!$A$140,'Données projet'!$B$140,CT23+CS24-DB23)))</f>
        <v>172.39999999999998</v>
      </c>
      <c r="CU24" s="18">
        <f>CT24*VLOOKUP('Données projet'!$B$13,Paramètres!$A$1:$I$89,3,0)*VLOOKUP('Données projet'!$B$13,Paramètres!$A$1:$I$89,5,0)</f>
        <v>155.98751999999996</v>
      </c>
      <c r="CV24" s="14">
        <f t="shared" si="41"/>
        <v>39.936155927663087</v>
      </c>
      <c r="CW24" s="22">
        <f t="shared" si="13"/>
        <v>341.23373557401311</v>
      </c>
      <c r="CX24" s="62">
        <f t="shared" si="14"/>
        <v>571.51690884223012</v>
      </c>
      <c r="CY24" s="62">
        <f ca="1">AVERAGE(OFFSET($CX$3,0,0,'Données projet'!$E$13+1,1))-AVERAGE(OFFSET($H$3,0,0,'Données projet'!$E$13+1,1))</f>
        <v>374.91250349988451</v>
      </c>
      <c r="CZ24" s="62">
        <f t="shared" si="42"/>
        <v>529.46825265662869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5.4619301093486197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5.4619301093486197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9</v>
      </c>
      <c r="DO24" s="13">
        <f>IF('Données projet'!$A$166&gt;35,DO23+DN24-DW23,IF(A24&lt;'Données projet'!$A$166,$DL$205^A24,IF(A24='Données projet'!$A$166,'Données projet'!$B$166,DO23+DN24-DW23)))</f>
        <v>71</v>
      </c>
      <c r="DP24" s="18">
        <f>DO24*VLOOKUP('Données projet'!$B$14,Paramètres!$A$1:$I$89,3,0)*VLOOKUP('Données projet'!$B$14,Paramètres!$A$1:$I$89,5,0)</f>
        <v>62.025600000000011</v>
      </c>
      <c r="DQ24" s="14">
        <f t="shared" si="43"/>
        <v>17.679410406677221</v>
      </c>
      <c r="DR24" s="22">
        <f t="shared" si="16"/>
        <v>138.8195597916295</v>
      </c>
      <c r="DS24" s="62">
        <f t="shared" si="17"/>
        <v>369.10273305984651</v>
      </c>
      <c r="DT24" s="62">
        <f ca="1">AVERAGE(OFFSET($DS$3,0,0,'Données projet'!$E$14+1,1))-AVERAGE(OFFSET($H$3,0,0,'Données projet'!$E$14+1,1))</f>
        <v>289.18543665577761</v>
      </c>
      <c r="DU24" s="62">
        <f t="shared" si="44"/>
        <v>291.40065947222843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7.2</v>
      </c>
      <c r="EJ24" s="13">
        <f>IF('Données projet'!$A$192&gt;35,EJ23+EI24-ER23,IF(A24&lt;'Données projet'!$A$192,$EG$205^A24,IF(A24='Données projet'!$A$192,'Données projet'!$B$192,EJ23+EI24-ER23)))</f>
        <v>74.2</v>
      </c>
      <c r="EK24" s="18">
        <f>EJ24*VLOOKUP('Données projet'!$B$15,Paramètres!$A$1:$I$89,3,0)*VLOOKUP('Données projet'!$B$15,Paramètres!$A$1:$I$89,5,0)</f>
        <v>75.238800000000012</v>
      </c>
      <c r="EL24" s="14">
        <f t="shared" si="45"/>
        <v>20.96892143970209</v>
      </c>
      <c r="EM24" s="22">
        <f t="shared" si="19"/>
        <v>167.56178150748116</v>
      </c>
      <c r="EN24" s="62">
        <f t="shared" si="20"/>
        <v>397.84495477569817</v>
      </c>
      <c r="EO24" s="62">
        <f ca="1">AVERAGE(OFFSET($EN$3,0,0,'Données projet'!$E$15+1,1))-AVERAGE(OFFSET($H$3,0,0,'Données projet'!$E$15+1,1))</f>
        <v>514.72748286045442</v>
      </c>
      <c r="EP24" s="62">
        <f t="shared" si="46"/>
        <v>322.28702110656116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55.804501800422813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4.0999999999999996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15.033333333333331</v>
      </c>
      <c r="H25" s="70">
        <f t="shared" si="1"/>
        <v>196.53333333333333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70.794576398719499</v>
      </c>
      <c r="T25" s="62">
        <f t="shared" si="34"/>
        <v>328.91236364911629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2.1508167781887142</v>
      </c>
      <c r="AC25" s="24">
        <f t="shared" si="3"/>
        <v>2.1508167781887142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73.650720000000007</v>
      </c>
      <c r="AK25" s="14">
        <f t="shared" si="35"/>
        <v>20.577360172493922</v>
      </c>
      <c r="AL25" s="22">
        <f t="shared" si="4"/>
        <v>164.11390630042692</v>
      </c>
      <c r="AM25" s="62">
        <f t="shared" si="5"/>
        <v>396.52225570127098</v>
      </c>
      <c r="AN25" s="62">
        <f ca="1">AVERAGE(OFFSET($AM$3,0,0,'Données projet'!$E$10+1,1))-AVERAGE(OFFSET($H$3,0,0,'Données projet'!$E$10+1,1))</f>
        <v>466.75323833427217</v>
      </c>
      <c r="AO25" s="62">
        <f t="shared" si="36"/>
        <v>293.88550076209378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68.47741055388687</v>
      </c>
      <c r="BJ25" s="62">
        <f t="shared" si="38"/>
        <v>335.34467252166542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60.254799059647254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9.9406372579471647</v>
      </c>
      <c r="BS25" s="24">
        <f t="shared" si="9"/>
        <v>70.195436317594414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16.5</v>
      </c>
      <c r="BY25" s="13">
        <f>IF('Données projet'!$A$114&gt;35,BY24+BX25-CG24,IF(A25&lt;'Données projet'!$A$114,$BV$205^A25,IF(A25='Données projet'!$A$114,'Données projet'!$B$114,BY24+BX25-CG24)))</f>
        <v>172.5</v>
      </c>
      <c r="BZ25" s="14">
        <f>BY25*VLOOKUP('Données projet'!$B$12,Paramètres!$A$1:$I$89,3,0)*VLOOKUP('Données projet'!$B$12,Paramètres!$A$1:$I$89,5,0)</f>
        <v>103.15500000000002</v>
      </c>
      <c r="CA25" s="14">
        <f t="shared" si="39"/>
        <v>27.71226857071613</v>
      </c>
      <c r="CB25" s="22">
        <f t="shared" si="10"/>
        <v>227.92715942733059</v>
      </c>
      <c r="CC25" s="62">
        <f t="shared" si="11"/>
        <v>460.33550882817462</v>
      </c>
      <c r="CD25" s="62">
        <f ca="1">AVERAGE(OFFSET($CC$3,0,0,'Données projet'!$E$12+1,1))-AVERAGE(OFFSET($H$3,0,0,'Données projet'!$E$12+1,1))</f>
        <v>211.76609132110815</v>
      </c>
      <c r="CE25" s="62">
        <f t="shared" si="40"/>
        <v>363.07965692095752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1.3455488657215164</v>
      </c>
      <c r="CL25" s="23">
        <f>EXP(-LN(2)/25)*CL24+(1-EXP(-LN(2)/25))/(LN(2)/25)*Calculateur!CG25*Calculateur!CI25*VLOOKUP('Données projet'!$B$12,Paramètres!$A$1:$I$89,3,0)*0.475*44/12</f>
        <v>2.6175505865572153</v>
      </c>
      <c r="CM25" s="23">
        <f>EXP(-LN(2)/2)*CM24+(1-EXP(-LN(2)/2))/(LN(2)/2)*CG25*CJ25*VLOOKUP('Données projet'!$B$12,Paramètres!$A$1:$I$89,3,0)*0.475*44/12</f>
        <v>6.7026996820660045</v>
      </c>
      <c r="CN25" s="24">
        <f t="shared" si="12"/>
        <v>10.665799134344736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10.4</v>
      </c>
      <c r="CT25" s="13">
        <f>IF('Données projet'!$A$140&gt;35,CT24+CS25-DB24,IF(A25&lt;'Données projet'!$A$140,$CQ$205^A25,IF(A25='Données projet'!$A$140,'Données projet'!$B$140,CT24+CS25-DB24)))</f>
        <v>182.79999999999998</v>
      </c>
      <c r="CU25" s="18">
        <f>CT25*VLOOKUP('Données projet'!$B$13,Paramètres!$A$1:$I$89,3,0)*VLOOKUP('Données projet'!$B$13,Paramètres!$A$1:$I$89,5,0)</f>
        <v>165.39743999999999</v>
      </c>
      <c r="CV25" s="14">
        <f t="shared" si="41"/>
        <v>42.057562385840804</v>
      </c>
      <c r="CW25" s="22">
        <f t="shared" si="13"/>
        <v>361.31746248867267</v>
      </c>
      <c r="CX25" s="62">
        <f t="shared" si="14"/>
        <v>593.72581188951676</v>
      </c>
      <c r="CY25" s="62">
        <f ca="1">AVERAGE(OFFSET($CX$3,0,0,'Données projet'!$E$13+1,1))-AVERAGE(OFFSET($H$3,0,0,'Données projet'!$E$13+1,1))</f>
        <v>374.91250349988451</v>
      </c>
      <c r="CZ25" s="62">
        <f t="shared" si="42"/>
        <v>529.46825265662869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5.3548249913527064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5.3548249913527064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9</v>
      </c>
      <c r="DO25" s="13">
        <f>IF('Données projet'!$A$166&gt;35,DO24+DN25-DW24,IF(A25&lt;'Données projet'!$A$166,$DL$205^A25,IF(A25='Données projet'!$A$166,'Données projet'!$B$166,DO24+DN25-DW24)))</f>
        <v>80</v>
      </c>
      <c r="DP25" s="18">
        <f>DO25*VLOOKUP('Données projet'!$B$14,Paramètres!$A$1:$I$89,3,0)*VLOOKUP('Données projet'!$B$14,Paramètres!$A$1:$I$89,5,0)</f>
        <v>69.888000000000005</v>
      </c>
      <c r="DQ25" s="14">
        <f t="shared" si="43"/>
        <v>19.645641432461961</v>
      </c>
      <c r="DR25" s="22">
        <f t="shared" si="16"/>
        <v>155.93775882820458</v>
      </c>
      <c r="DS25" s="62">
        <f t="shared" si="17"/>
        <v>388.34610822904864</v>
      </c>
      <c r="DT25" s="62">
        <f ca="1">AVERAGE(OFFSET($DS$3,0,0,'Données projet'!$E$14+1,1))-AVERAGE(OFFSET($H$3,0,0,'Données projet'!$E$14+1,1))</f>
        <v>289.18543665577761</v>
      </c>
      <c r="DU25" s="62">
        <f t="shared" si="44"/>
        <v>291.40065947222843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7.2</v>
      </c>
      <c r="EJ25" s="13">
        <f>IF('Données projet'!$A$192&gt;35,EJ24+EI25-ER24,IF(A25&lt;'Données projet'!$A$192,$EG$205^A25,IF(A25='Données projet'!$A$192,'Données projet'!$B$192,EJ24+EI25-ER24)))</f>
        <v>81.400000000000006</v>
      </c>
      <c r="EK25" s="18">
        <f>EJ25*VLOOKUP('Données projet'!$B$15,Paramètres!$A$1:$I$89,3,0)*VLOOKUP('Données projet'!$B$15,Paramètres!$A$1:$I$89,5,0)</f>
        <v>82.539600000000007</v>
      </c>
      <c r="EL25" s="14">
        <f t="shared" si="45"/>
        <v>22.756995627482848</v>
      </c>
      <c r="EM25" s="22">
        <f t="shared" si="19"/>
        <v>183.39157071786599</v>
      </c>
      <c r="EN25" s="62">
        <f t="shared" si="20"/>
        <v>415.79992011871002</v>
      </c>
      <c r="EO25" s="62">
        <f ca="1">AVERAGE(OFFSET($EN$3,0,0,'Données projet'!$E$15+1,1))-AVERAGE(OFFSET($H$3,0,0,'Données projet'!$E$15+1,1))</f>
        <v>514.72748286045442</v>
      </c>
      <c r="EP25" s="62">
        <f t="shared" si="46"/>
        <v>322.28702110656116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56.050761957805953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4.0999999999999996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15.033333333333331</v>
      </c>
      <c r="H26" s="70">
        <f t="shared" si="1"/>
        <v>196.53333333333333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70.794576398719499</v>
      </c>
      <c r="T26" s="62">
        <f t="shared" si="34"/>
        <v>328.91236364911629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1.5208571289470423</v>
      </c>
      <c r="AC26" s="24">
        <f t="shared" si="3"/>
        <v>1.5208571289470423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80.165279999999996</v>
      </c>
      <c r="AK26" s="14">
        <f t="shared" si="35"/>
        <v>22.177591092468788</v>
      </c>
      <c r="AL26" s="22">
        <f t="shared" si="4"/>
        <v>178.24716715271646</v>
      </c>
      <c r="AM26" s="62">
        <f t="shared" si="5"/>
        <v>412.76502845454456</v>
      </c>
      <c r="AN26" s="62">
        <f ca="1">AVERAGE(OFFSET($AM$3,0,0,'Données projet'!$E$10+1,1))-AVERAGE(OFFSET($H$3,0,0,'Données projet'!$E$10+1,1))</f>
        <v>466.75323833427217</v>
      </c>
      <c r="AO26" s="62">
        <f t="shared" si="36"/>
        <v>293.88550076209378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68.47741055388687</v>
      </c>
      <c r="BJ26" s="62">
        <f t="shared" si="38"/>
        <v>335.34467252166542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59.073239201886061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7.0290920144100877</v>
      </c>
      <c r="BS26" s="24">
        <f t="shared" si="9"/>
        <v>66.10233121629615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16.5</v>
      </c>
      <c r="BY26" s="13">
        <f>IF('Données projet'!$A$114&gt;35,BY25+BX26-CG25,IF(A26&lt;'Données projet'!$A$114,$BV$205^A26,IF(A26='Données projet'!$A$114,'Données projet'!$B$114,BY25+BX26-CG25)))</f>
        <v>189</v>
      </c>
      <c r="BZ26" s="14">
        <f>BY26*VLOOKUP('Données projet'!$B$12,Paramètres!$A$1:$I$89,3,0)*VLOOKUP('Données projet'!$B$12,Paramètres!$A$1:$I$89,5,0)</f>
        <v>113.02200000000001</v>
      </c>
      <c r="CA26" s="14">
        <f t="shared" si="39"/>
        <v>30.041864379091852</v>
      </c>
      <c r="CB26" s="22">
        <f t="shared" si="10"/>
        <v>249.16956379358496</v>
      </c>
      <c r="CC26" s="62">
        <f t="shared" si="11"/>
        <v>483.68742509541312</v>
      </c>
      <c r="CD26" s="62">
        <f ca="1">AVERAGE(OFFSET($CC$3,0,0,'Données projet'!$E$12+1,1))-AVERAGE(OFFSET($H$3,0,0,'Données projet'!$E$12+1,1))</f>
        <v>211.76609132110815</v>
      </c>
      <c r="CE26" s="62">
        <f t="shared" si="40"/>
        <v>363.07965692095752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1.3191634731684878</v>
      </c>
      <c r="CL26" s="23">
        <f>EXP(-LN(2)/25)*CL25+(1-EXP(-LN(2)/25))/(LN(2)/25)*Calculateur!CG26*Calculateur!CI26*VLOOKUP('Données projet'!$B$12,Paramètres!$A$1:$I$89,3,0)*0.475*44/12</f>
        <v>2.5459735281168054</v>
      </c>
      <c r="CM26" s="23">
        <f>EXP(-LN(2)/2)*CM25+(1-EXP(-LN(2)/2))/(LN(2)/2)*CG26*CJ26*VLOOKUP('Données projet'!$B$12,Paramètres!$A$1:$I$89,3,0)*0.475*44/12</f>
        <v>4.7395243974457886</v>
      </c>
      <c r="CN26" s="24">
        <f t="shared" si="12"/>
        <v>8.604661398731082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10.4</v>
      </c>
      <c r="CT26" s="13">
        <f>IF('Données projet'!$A$140&gt;35,CT25+CS26-DB25,IF(A26&lt;'Données projet'!$A$140,$CQ$205^A26,IF(A26='Données projet'!$A$140,'Données projet'!$B$140,CT25+CS26-DB25)))</f>
        <v>193.2</v>
      </c>
      <c r="CU26" s="18">
        <f>CT26*VLOOKUP('Données projet'!$B$13,Paramètres!$A$1:$I$89,3,0)*VLOOKUP('Données projet'!$B$13,Paramètres!$A$1:$I$89,5,0)</f>
        <v>174.80735999999999</v>
      </c>
      <c r="CV26" s="14">
        <f t="shared" si="41"/>
        <v>44.164958649772579</v>
      </c>
      <c r="CW26" s="22">
        <f t="shared" si="13"/>
        <v>381.37678831502052</v>
      </c>
      <c r="CX26" s="62">
        <f t="shared" si="14"/>
        <v>615.89464961684871</v>
      </c>
      <c r="CY26" s="62">
        <f ca="1">AVERAGE(OFFSET($CX$3,0,0,'Données projet'!$E$13+1,1))-AVERAGE(OFFSET($H$3,0,0,'Données projet'!$E$13+1,1))</f>
        <v>374.91250349988451</v>
      </c>
      <c r="CZ26" s="62">
        <f t="shared" si="42"/>
        <v>529.46825265662869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5.2498201393930222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5.2498201393930222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9</v>
      </c>
      <c r="DO26" s="13">
        <f>IF('Données projet'!$A$166&gt;35,DO25+DN26-DW25,IF(A26&lt;'Données projet'!$A$166,$DL$205^A26,IF(A26='Données projet'!$A$166,'Données projet'!$B$166,DO25+DN26-DW25)))</f>
        <v>89</v>
      </c>
      <c r="DP26" s="18">
        <f>DO26*VLOOKUP('Données projet'!$B$14,Paramètres!$A$1:$I$89,3,0)*VLOOKUP('Données projet'!$B$14,Paramètres!$A$1:$I$89,5,0)</f>
        <v>77.750400000000013</v>
      </c>
      <c r="DQ26" s="14">
        <f t="shared" si="43"/>
        <v>21.586235486267142</v>
      </c>
      <c r="DR26" s="22">
        <f t="shared" si="16"/>
        <v>173.01130680524864</v>
      </c>
      <c r="DS26" s="62">
        <f t="shared" si="17"/>
        <v>407.52916810707677</v>
      </c>
      <c r="DT26" s="62">
        <f ca="1">AVERAGE(OFFSET($DS$3,0,0,'Données projet'!$E$14+1,1))-AVERAGE(OFFSET($H$3,0,0,'Données projet'!$E$14+1,1))</f>
        <v>289.18543665577761</v>
      </c>
      <c r="DU26" s="62">
        <f t="shared" si="44"/>
        <v>291.40065947222843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7.2</v>
      </c>
      <c r="EJ26" s="13">
        <f>IF('Données projet'!$A$192&gt;35,EJ25+EI26-ER25,IF(A26&lt;'Données projet'!$A$192,$EG$205^A26,IF(A26='Données projet'!$A$192,'Données projet'!$B$192,EJ25+EI26-ER25)))</f>
        <v>88.600000000000009</v>
      </c>
      <c r="EK26" s="18">
        <f>EJ26*VLOOKUP('Données projet'!$B$15,Paramètres!$A$1:$I$89,3,0)*VLOOKUP('Données projet'!$B$15,Paramètres!$A$1:$I$89,5,0)</f>
        <v>89.840400000000017</v>
      </c>
      <c r="EL26" s="14">
        <f t="shared" si="45"/>
        <v>24.526729341796202</v>
      </c>
      <c r="EM26" s="22">
        <f t="shared" si="19"/>
        <v>199.18941693696172</v>
      </c>
      <c r="EN26" s="62">
        <f t="shared" si="20"/>
        <v>433.70727823878985</v>
      </c>
      <c r="EO26" s="62">
        <f ca="1">AVERAGE(OFFSET($EN$3,0,0,'Données projet'!$E$15+1,1))-AVERAGE(OFFSET($H$3,0,0,'Données projet'!$E$15+1,1))</f>
        <v>514.72748286045442</v>
      </c>
      <c r="EP26" s="62">
        <f t="shared" si="46"/>
        <v>322.28702110656116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56.292750052013737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4.0999999999999996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15.033333333333331</v>
      </c>
      <c r="H27" s="70">
        <f t="shared" si="1"/>
        <v>196.53333333333333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70.794576398719499</v>
      </c>
      <c r="T27" s="62">
        <f t="shared" si="34"/>
        <v>328.91236364911629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1.0754083890943571</v>
      </c>
      <c r="AC27" s="24">
        <f t="shared" si="3"/>
        <v>1.0754083890943571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86.679839999999999</v>
      </c>
      <c r="AK27" s="14">
        <f t="shared" si="35"/>
        <v>23.762739053789723</v>
      </c>
      <c r="AL27" s="22">
        <f t="shared" si="4"/>
        <v>192.35415851868379</v>
      </c>
      <c r="AM27" s="62">
        <f t="shared" si="5"/>
        <v>428.96613922925201</v>
      </c>
      <c r="AN27" s="62">
        <f ca="1">AVERAGE(OFFSET($AM$3,0,0,'Données projet'!$E$10+1,1))-AVERAGE(OFFSET($H$3,0,0,'Données projet'!$E$10+1,1))</f>
        <v>466.75323833427217</v>
      </c>
      <c r="AO27" s="62">
        <f t="shared" si="36"/>
        <v>293.88550076209378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68.47741055388687</v>
      </c>
      <c r="BJ27" s="62">
        <f t="shared" si="38"/>
        <v>335.34467252166542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57.91484901225521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4.9703186289735823</v>
      </c>
      <c r="BS27" s="24">
        <f t="shared" si="9"/>
        <v>62.88516764122879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16.5</v>
      </c>
      <c r="BY27" s="13">
        <f>IF('Données projet'!$A$114&gt;35,BY26+BX27-CG26,IF(A27&lt;'Données projet'!$A$114,$BV$205^A27,IF(A27='Données projet'!$A$114,'Données projet'!$B$114,BY26+BX27-CG26)))</f>
        <v>205.5</v>
      </c>
      <c r="BZ27" s="14">
        <f>BY27*VLOOKUP('Données projet'!$B$12,Paramètres!$A$1:$I$89,3,0)*VLOOKUP('Données projet'!$B$12,Paramètres!$A$1:$I$89,5,0)</f>
        <v>122.88900000000001</v>
      </c>
      <c r="CA27" s="14">
        <f t="shared" si="39"/>
        <v>32.347875332170432</v>
      </c>
      <c r="CB27" s="22">
        <f t="shared" si="10"/>
        <v>270.37089120353011</v>
      </c>
      <c r="CC27" s="62">
        <f t="shared" si="11"/>
        <v>506.98287191409838</v>
      </c>
      <c r="CD27" s="62">
        <f ca="1">AVERAGE(OFFSET($CC$3,0,0,'Données projet'!$E$12+1,1))-AVERAGE(OFFSET($H$3,0,0,'Données projet'!$E$12+1,1))</f>
        <v>211.76609132110815</v>
      </c>
      <c r="CE27" s="62">
        <f t="shared" si="40"/>
        <v>363.07965692095752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1.2932954820699238</v>
      </c>
      <c r="CL27" s="23">
        <f>EXP(-LN(2)/25)*CL26+(1-EXP(-LN(2)/25))/(LN(2)/25)*Calculateur!CG27*Calculateur!CI27*VLOOKUP('Données projet'!$B$12,Paramètres!$A$1:$I$89,3,0)*0.475*44/12</f>
        <v>2.4763537481035223</v>
      </c>
      <c r="CM27" s="23">
        <f>EXP(-LN(2)/2)*CM26+(1-EXP(-LN(2)/2))/(LN(2)/2)*CG27*CJ27*VLOOKUP('Données projet'!$B$12,Paramètres!$A$1:$I$89,3,0)*0.475*44/12</f>
        <v>3.3513498410330032</v>
      </c>
      <c r="CN27" s="24">
        <f t="shared" si="12"/>
        <v>7.120999071206449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10.4</v>
      </c>
      <c r="CT27" s="13">
        <f>IF('Données projet'!$A$140&gt;35,CT26+CS27-DB26,IF(A27&lt;'Données projet'!$A$140,$CQ$205^A27,IF(A27='Données projet'!$A$140,'Données projet'!$B$140,CT26+CS27-DB26)))</f>
        <v>203.6</v>
      </c>
      <c r="CU27" s="18">
        <f>CT27*VLOOKUP('Données projet'!$B$13,Paramètres!$A$1:$I$89,3,0)*VLOOKUP('Données projet'!$B$13,Paramètres!$A$1:$I$89,5,0)</f>
        <v>184.21727999999999</v>
      </c>
      <c r="CV27" s="14">
        <f t="shared" si="41"/>
        <v>46.25918487744358</v>
      </c>
      <c r="CW27" s="22">
        <f t="shared" si="13"/>
        <v>401.41317632821421</v>
      </c>
      <c r="CX27" s="62">
        <f t="shared" si="14"/>
        <v>638.02515703878248</v>
      </c>
      <c r="CY27" s="62">
        <f ca="1">AVERAGE(OFFSET($CX$3,0,0,'Données projet'!$E$13+1,1))-AVERAGE(OFFSET($H$3,0,0,'Données projet'!$E$13+1,1))</f>
        <v>374.91250349988451</v>
      </c>
      <c r="CZ27" s="62">
        <f t="shared" si="42"/>
        <v>529.46825265662869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5.1468743685336316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5.1468743685336316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9</v>
      </c>
      <c r="DO27" s="13">
        <f>IF('Données projet'!$A$166&gt;35,DO26+DN27-DW26,IF(A27&lt;'Données projet'!$A$166,$DL$205^A27,IF(A27='Données projet'!$A$166,'Données projet'!$B$166,DO26+DN27-DW26)))</f>
        <v>98</v>
      </c>
      <c r="DP27" s="18">
        <f>DO27*VLOOKUP('Données projet'!$B$14,Paramètres!$A$1:$I$89,3,0)*VLOOKUP('Données projet'!$B$14,Paramètres!$A$1:$I$89,5,0)</f>
        <v>85.612800000000007</v>
      </c>
      <c r="DQ27" s="14">
        <f t="shared" si="43"/>
        <v>23.504080242391282</v>
      </c>
      <c r="DR27" s="22">
        <f t="shared" si="16"/>
        <v>190.04523308883151</v>
      </c>
      <c r="DS27" s="62">
        <f t="shared" si="17"/>
        <v>426.65721379939976</v>
      </c>
      <c r="DT27" s="62">
        <f ca="1">AVERAGE(OFFSET($DS$3,0,0,'Données projet'!$E$14+1,1))-AVERAGE(OFFSET($H$3,0,0,'Données projet'!$E$14+1,1))</f>
        <v>289.18543665577761</v>
      </c>
      <c r="DU27" s="62">
        <f t="shared" si="44"/>
        <v>291.40065947222843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7.2</v>
      </c>
      <c r="EJ27" s="13">
        <f>IF('Données projet'!$A$192&gt;35,EJ26+EI27-ER26,IF(A27&lt;'Données projet'!$A$192,$EG$205^A27,IF(A27='Données projet'!$A$192,'Données projet'!$B$192,EJ26+EI27-ER26)))</f>
        <v>95.800000000000011</v>
      </c>
      <c r="EK27" s="18">
        <f>EJ27*VLOOKUP('Données projet'!$B$15,Paramètres!$A$1:$I$89,3,0)*VLOOKUP('Données projet'!$B$15,Paramètres!$A$1:$I$89,5,0)</f>
        <v>97.141200000000026</v>
      </c>
      <c r="EL27" s="14">
        <f t="shared" si="45"/>
        <v>26.279782450761708</v>
      </c>
      <c r="EM27" s="22">
        <f t="shared" si="19"/>
        <v>214.95821110174333</v>
      </c>
      <c r="EN27" s="62">
        <f t="shared" si="20"/>
        <v>451.57019181231158</v>
      </c>
      <c r="EO27" s="62">
        <f ca="1">AVERAGE(OFFSET($EN$3,0,0,'Données projet'!$E$15+1,1))-AVERAGE(OFFSET($H$3,0,0,'Données projet'!$E$15+1,1))</f>
        <v>514.72748286045442</v>
      </c>
      <c r="EP27" s="62">
        <f t="shared" si="46"/>
        <v>322.28702110656116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56.530540193791339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4.0999999999999996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15.033333333333331</v>
      </c>
      <c r="H28" s="70">
        <f t="shared" si="1"/>
        <v>196.53333333333333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70.794576398719499</v>
      </c>
      <c r="T28" s="62">
        <f t="shared" si="34"/>
        <v>328.91236364911629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0.76042856447352114</v>
      </c>
      <c r="AC28" s="24">
        <f t="shared" si="3"/>
        <v>0.76042856447352114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93.194400000000002</v>
      </c>
      <c r="AK28" s="14">
        <f t="shared" si="35"/>
        <v>25.33406653691528</v>
      </c>
      <c r="AL28" s="22">
        <f t="shared" si="4"/>
        <v>206.43707921846078</v>
      </c>
      <c r="AM28" s="62">
        <f t="shared" si="5"/>
        <v>445.12805387085314</v>
      </c>
      <c r="AN28" s="62">
        <f ca="1">AVERAGE(OFFSET($AM$3,0,0,'Données projet'!$E$10+1,1))-AVERAGE(OFFSET($H$3,0,0,'Données projet'!$E$10+1,1))</f>
        <v>466.75323833427217</v>
      </c>
      <c r="AO28" s="62">
        <f t="shared" si="36"/>
        <v>293.88550076209378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0.129</v>
      </c>
      <c r="AT28" s="17">
        <f>IF(ISNA(VLOOKUP(A28,'Données projet'!$A$61:$I$81,7,0)),0%,VLOOKUP(A28,'Données projet'!$A$61:$I$81,7,0))</f>
        <v>0.7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3.5986042274365828</v>
      </c>
      <c r="AW28" s="23">
        <f>EXP(-LN(2)/2)*AW27+(1-EXP(-LN(2)/2))/(LN(2)/2)*AQ28*AT28*VLOOKUP('Données projet'!$B$10,Paramètres!$A$1:$I$89,3,0)*0.475*44/12</f>
        <v>16.73258178576512</v>
      </c>
      <c r="AX28" s="23">
        <f t="shared" si="6"/>
        <v>20.331186013201702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68.47741055388687</v>
      </c>
      <c r="BJ28" s="62">
        <f t="shared" si="38"/>
        <v>335.34467252166542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56.779174147694775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3.5145460072050438</v>
      </c>
      <c r="BS28" s="24">
        <f t="shared" si="9"/>
        <v>60.293720154899816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222</v>
      </c>
      <c r="BW28" s="13">
        <f>VLOOKUP(A28,'Données projet'!$A$113:$I$133,9,0)</f>
        <v>16.5</v>
      </c>
      <c r="BX28" s="13">
        <f t="array" ref="BX28">INDEX(BW:BW,MIN(IF(ISNUMBER(BW28:BW224),ROW(BW28:BW224),"")))</f>
        <v>16.5</v>
      </c>
      <c r="BY28" s="13">
        <f>IF('Données projet'!$A$114&gt;35,BY27+BX28-CG27,IF(A28&lt;'Données projet'!$A$114,$BV$205^A28,IF(A28='Données projet'!$A$114,'Données projet'!$B$114,BY27+BX28-CG27)))</f>
        <v>222</v>
      </c>
      <c r="BZ28" s="14">
        <f>BY28*VLOOKUP('Données projet'!$B$12,Paramètres!$A$1:$I$89,3,0)*VLOOKUP('Données projet'!$B$12,Paramètres!$A$1:$I$89,5,0)</f>
        <v>132.756</v>
      </c>
      <c r="CA28" s="14">
        <f t="shared" si="39"/>
        <v>34.632410397339967</v>
      </c>
      <c r="CB28" s="22">
        <f t="shared" si="10"/>
        <v>291.53481477536712</v>
      </c>
      <c r="CC28" s="62">
        <f t="shared" si="11"/>
        <v>530.22578942775954</v>
      </c>
      <c r="CD28" s="62">
        <f ca="1">AVERAGE(OFFSET($CC$3,0,0,'Données projet'!$E$12+1,1))-AVERAGE(OFFSET($H$3,0,0,'Données projet'!$E$12+1,1))</f>
        <v>211.76609132110815</v>
      </c>
      <c r="CE28" s="62">
        <f t="shared" si="40"/>
        <v>363.07965692095752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54</v>
      </c>
      <c r="CH28" s="17">
        <f>IF(ISNA(VLOOKUP(A28,'Données projet'!$A$113:$I$133,5,0)),0%,VLOOKUP(A28,'Données projet'!$A$113:$I$133,5,0)*VLOOKUP('Données projet'!$B$12,Paramètres!$A$1:$I$89,7,0))</f>
        <v>0.22500000000000001</v>
      </c>
      <c r="CI28" s="17">
        <f>IF(ISNA(VLOOKUP(A28,'Données projet'!$A$113:$I$133,6,0)),0%,VLOOKUP(A28,'Données projet'!$A$113:$I$133,6,0)*VLOOKUP('Données projet'!$B$12,Paramètres!$A$1:$I$89,7,0))</f>
        <v>9.0000000000000011E-2</v>
      </c>
      <c r="CJ28" s="17">
        <f>IF(ISNA(VLOOKUP(A28,'Données projet'!$A$113:$I$133,7,0)),0%,VLOOKUP(A28,'Données projet'!$A$113:$I$133,7,0))</f>
        <v>0.3</v>
      </c>
      <c r="CK28" s="23">
        <f>EXP(-LN(2)/35)*CK27+(1-EXP(-LN(2)/35))/(LN(2)/35)*CG28*CH28*VLOOKUP('Données projet'!$B$12,Paramètres!$A$1:$I$89,3,0)*0.475*44/12</f>
        <v>10.906354110385953</v>
      </c>
      <c r="CL28" s="23">
        <f>EXP(-LN(2)/25)*CL27+(1-EXP(-LN(2)/25))/(LN(2)/25)*Calculateur!CG28*Calculateur!CI28*VLOOKUP('Données projet'!$B$12,Paramètres!$A$1:$I$89,3,0)*0.475*44/12</f>
        <v>6.2488254183661462</v>
      </c>
      <c r="CM28" s="23">
        <f>EXP(-LN(2)/2)*CM27+(1-EXP(-LN(2)/2))/(LN(2)/2)*CG28*CJ28*VLOOKUP('Données projet'!$B$12,Paramètres!$A$1:$I$89,3,0)*0.475*44/12</f>
        <v>13.338375804240286</v>
      </c>
      <c r="CN28" s="24">
        <f t="shared" si="12"/>
        <v>30.493555332992386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214</v>
      </c>
      <c r="CR28" s="13">
        <f>VLOOKUP(A28,'Données projet'!$A$139:$I$159,9,0)</f>
        <v>10.4</v>
      </c>
      <c r="CS28" s="13">
        <f t="array" ref="CS28">INDEX(CR:CR,MIN(IF(ISNUMBER(CR28:CR224),ROW(CR28:CR224),"")))</f>
        <v>10.4</v>
      </c>
      <c r="CT28" s="13">
        <f>IF('Données projet'!$A$140&gt;35,CT27+CS28-DB27,IF(A28&lt;'Données projet'!$A$140,$CQ$205^A28,IF(A28='Données projet'!$A$140,'Données projet'!$B$140,CT27+CS28-DB27)))</f>
        <v>214</v>
      </c>
      <c r="CU28" s="18">
        <f>CT28*VLOOKUP('Données projet'!$B$13,Paramètres!$A$1:$I$89,3,0)*VLOOKUP('Données projet'!$B$13,Paramètres!$A$1:$I$89,5,0)</f>
        <v>193.62719999999999</v>
      </c>
      <c r="CV28" s="14">
        <f t="shared" si="41"/>
        <v>48.340990547231193</v>
      </c>
      <c r="CW28" s="22">
        <f t="shared" si="13"/>
        <v>421.42793186976093</v>
      </c>
      <c r="CX28" s="62">
        <f t="shared" si="14"/>
        <v>660.11890652215334</v>
      </c>
      <c r="CY28" s="62">
        <f ca="1">AVERAGE(OFFSET($CX$3,0,0,'Données projet'!$E$13+1,1))-AVERAGE(OFFSET($H$3,0,0,'Données projet'!$E$13+1,1))</f>
        <v>374.91250349988451</v>
      </c>
      <c r="CZ28" s="62">
        <f t="shared" si="42"/>
        <v>529.46825265662869</v>
      </c>
      <c r="DA28" s="16">
        <f>IF(ISNA(VLOOKUP(A28,'Données projet'!$A$139:$I$159,3,0)),0,VLOOKUP(A28,'Données projet'!$A$139:$I$159,3,0))</f>
        <v>5</v>
      </c>
      <c r="DB28" s="16">
        <f>IF(ISNA(VLOOKUP(A28,'Données projet'!$A$139:$I$159,4,0)),0,VLOOKUP(A28,'Données projet'!$A$139:$I$159,4,0))</f>
        <v>14</v>
      </c>
      <c r="DC28" s="17">
        <f>IF(ISNA(VLOOKUP(A28,'Données projet'!$A$139:$I$159,5,0)),0%,VLOOKUP(A28,'Données projet'!$A$139:$I$159,5,0)*VLOOKUP('Données projet'!$B$13,Paramètres!$A$1:$I$89,7,0))</f>
        <v>0.24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8.4067187554388223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8.4067187554388223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107</v>
      </c>
      <c r="DM28" s="13">
        <f>VLOOKUP(A28,'Données projet'!$A$165:$I$185,9,0)</f>
        <v>9</v>
      </c>
      <c r="DN28" s="13">
        <f t="array" ref="DN28">INDEX(DM:DM,MIN(IF(ISNUMBER(DM28:DM224),ROW(DM28:DM224),"")))</f>
        <v>9</v>
      </c>
      <c r="DO28" s="13">
        <f>IF('Données projet'!$A$166&gt;35,DO27+DN28-DW27,IF(A28&lt;'Données projet'!$A$166,$DL$205^A28,IF(A28='Données projet'!$A$166,'Données projet'!$B$166,DO27+DN28-DW27)))</f>
        <v>107</v>
      </c>
      <c r="DP28" s="18">
        <f>DO28*VLOOKUP('Données projet'!$B$14,Paramètres!$A$1:$I$89,3,0)*VLOOKUP('Données projet'!$B$14,Paramètres!$A$1:$I$89,5,0)</f>
        <v>93.475200000000015</v>
      </c>
      <c r="DQ28" s="14">
        <f t="shared" si="43"/>
        <v>25.401502539965662</v>
      </c>
      <c r="DR28" s="22">
        <f t="shared" si="16"/>
        <v>207.04359025710687</v>
      </c>
      <c r="DS28" s="62">
        <f t="shared" si="17"/>
        <v>445.73456490949923</v>
      </c>
      <c r="DT28" s="62">
        <f ca="1">AVERAGE(OFFSET($DS$3,0,0,'Données projet'!$E$14+1,1))-AVERAGE(OFFSET($H$3,0,0,'Données projet'!$E$14+1,1))</f>
        <v>289.18543665577761</v>
      </c>
      <c r="DU28" s="62">
        <f t="shared" si="44"/>
        <v>291.40065947222843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26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0.215</v>
      </c>
      <c r="DZ28" s="17">
        <f>IF(ISNA(VLOOKUP(A28,'Données projet'!$A$165:$I$185,7,0)),0%,VLOOKUP(A28,'Données projet'!$A$165:$I$185,7,0))</f>
        <v>0.5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5.37722470766386</v>
      </c>
      <c r="EC28" s="23">
        <f>EXP(-LN(2)/2)*EC27+(1-EXP(-LN(2)/2))/(LN(2)/2)*DW28*DZ28*VLOOKUP('Données projet'!$B$14,Paramètres!$A$1:$I$89,3,0)*0.475*44/12</f>
        <v>10.715446463790473</v>
      </c>
      <c r="ED28" s="24">
        <f t="shared" si="18"/>
        <v>16.092671171454334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103</v>
      </c>
      <c r="EH28" s="13">
        <f>VLOOKUP(A28,'Données projet'!$A$191:$I$211,9,0)</f>
        <v>7.2</v>
      </c>
      <c r="EI28" s="13">
        <f t="array" ref="EI28">INDEX(EH:EH,MIN(IF(ISNUMBER(EH28:EH224),ROW(EH28:EH224),"")))</f>
        <v>7.2</v>
      </c>
      <c r="EJ28" s="13">
        <f>IF('Données projet'!$A$192&gt;35,EJ27+EI28-ER27,IF(A28&lt;'Données projet'!$A$192,$EG$205^A28,IF(A28='Données projet'!$A$192,'Données projet'!$B$192,EJ27+EI28-ER27)))</f>
        <v>103.00000000000001</v>
      </c>
      <c r="EK28" s="18">
        <f>EJ28*VLOOKUP('Données projet'!$B$15,Paramètres!$A$1:$I$89,3,0)*VLOOKUP('Données projet'!$B$15,Paramètres!$A$1:$I$89,5,0)</f>
        <v>104.44200000000004</v>
      </c>
      <c r="EL28" s="14">
        <f t="shared" si="45"/>
        <v>28.01755116176631</v>
      </c>
      <c r="EM28" s="22">
        <f t="shared" si="19"/>
        <v>230.70038494007636</v>
      </c>
      <c r="EN28" s="62">
        <f t="shared" si="20"/>
        <v>469.39135959246869</v>
      </c>
      <c r="EO28" s="62">
        <f ca="1">AVERAGE(OFFSET($EN$3,0,0,'Données projet'!$E$15+1,1))-AVERAGE(OFFSET($H$3,0,0,'Données projet'!$E$15+1,1))</f>
        <v>514.72748286045442</v>
      </c>
      <c r="EP28" s="62">
        <f t="shared" si="46"/>
        <v>322.28702110656116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0.129</v>
      </c>
      <c r="EU28" s="17">
        <f>IF(ISNA(VLOOKUP(A28,'Données projet'!$A$191:$I$211,7,0)),0%,VLOOKUP(A28,'Données projet'!$A$191:$I$211,7,0))</f>
        <v>0.7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4.032918530747895</v>
      </c>
      <c r="EX28" s="23">
        <f>EXP(-LN(2)/2)*EX27+(1-EXP(-LN(2)/2))/(LN(2)/2)*ER28*EU28*VLOOKUP('Données projet'!$B$15,Paramètres!$A$1:$I$89,3,0)*0.475*44/12</f>
        <v>18.752031311633324</v>
      </c>
      <c r="EY28" s="24">
        <f t="shared" si="21"/>
        <v>22.78494984238122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56.764205208228212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4.0999999999999996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15.033333333333331</v>
      </c>
      <c r="H29" s="70">
        <f t="shared" si="1"/>
        <v>196.53333333333333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70.794576398719499</v>
      </c>
      <c r="T29" s="62">
        <f t="shared" si="34"/>
        <v>328.91236364911629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0.53770419454717855</v>
      </c>
      <c r="AC29" s="24">
        <f t="shared" si="3"/>
        <v>0.53770419454717855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76.184160000000006</v>
      </c>
      <c r="AK29" s="14">
        <f t="shared" si="35"/>
        <v>21.201554232857223</v>
      </c>
      <c r="AL29" s="22">
        <f t="shared" si="4"/>
        <v>169.613452288893</v>
      </c>
      <c r="AM29" s="62">
        <f t="shared" si="5"/>
        <v>410.36855780922895</v>
      </c>
      <c r="AN29" s="62">
        <f ca="1">AVERAGE(OFFSET($AM$3,0,0,'Données projet'!$E$10+1,1))-AVERAGE(OFFSET($H$3,0,0,'Données projet'!$E$10+1,1))</f>
        <v>466.75323833427217</v>
      </c>
      <c r="AO29" s="62">
        <f t="shared" si="36"/>
        <v>293.88550076209378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3.5002002055949579</v>
      </c>
      <c r="AW29" s="23">
        <f>EXP(-LN(2)/2)*AW28+(1-EXP(-LN(2)/2))/(LN(2)/2)*AQ29*AT29*VLOOKUP('Données projet'!$B$10,Paramètres!$A$1:$I$89,3,0)*0.475*44/12</f>
        <v>11.831722047473029</v>
      </c>
      <c r="AX29" s="23">
        <f t="shared" si="6"/>
        <v>15.331922253067987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68.47741055388687</v>
      </c>
      <c r="BJ29" s="62">
        <f t="shared" si="38"/>
        <v>335.34467252166542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55.6657691745351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2.4851593144867912</v>
      </c>
      <c r="BS29" s="24">
        <f t="shared" si="9"/>
        <v>58.150928489021894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13.8</v>
      </c>
      <c r="BY29" s="13">
        <f>IF('Données projet'!$A$114&gt;35,BY28+BX29-CG28,IF(A29&lt;'Données projet'!$A$114,$BV$205^A29,IF(A29='Données projet'!$A$114,'Données projet'!$B$114,BY28+BX29-CG28)))</f>
        <v>181.8</v>
      </c>
      <c r="BZ29" s="14">
        <f>BY29*VLOOKUP('Données projet'!$B$12,Paramètres!$A$1:$I$89,3,0)*VLOOKUP('Données projet'!$B$12,Paramètres!$A$1:$I$89,5,0)</f>
        <v>108.71640000000002</v>
      </c>
      <c r="CA29" s="14">
        <f t="shared" si="39"/>
        <v>29.028352113364011</v>
      </c>
      <c r="CB29" s="22">
        <f t="shared" si="10"/>
        <v>239.90544326410898</v>
      </c>
      <c r="CC29" s="62">
        <f t="shared" si="11"/>
        <v>480.66054878444493</v>
      </c>
      <c r="CD29" s="62">
        <f ca="1">AVERAGE(OFFSET($CC$3,0,0,'Données projet'!$E$12+1,1))-AVERAGE(OFFSET($H$3,0,0,'Données projet'!$E$12+1,1))</f>
        <v>211.76609132110815</v>
      </c>
      <c r="CE29" s="62">
        <f t="shared" si="40"/>
        <v>363.07965692095752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10.692487158500439</v>
      </c>
      <c r="CL29" s="23">
        <f>EXP(-LN(2)/25)*CL28+(1-EXP(-LN(2)/25))/(LN(2)/25)*Calculateur!CG29*Calculateur!CI29*VLOOKUP('Données projet'!$B$12,Paramètres!$A$1:$I$89,3,0)*0.475*44/12</f>
        <v>6.0779509586894775</v>
      </c>
      <c r="CM29" s="23">
        <f>EXP(-LN(2)/2)*CM28+(1-EXP(-LN(2)/2))/(LN(2)/2)*CG29*CJ29*VLOOKUP('Données projet'!$B$12,Paramètres!$A$1:$I$89,3,0)*0.475*44/12</f>
        <v>9.4316559811928773</v>
      </c>
      <c r="CN29" s="24">
        <f t="shared" si="12"/>
        <v>26.202094098382794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8.6</v>
      </c>
      <c r="CT29" s="13">
        <f>IF('Données projet'!$A$140&gt;35,CT28+CS29-DB28,IF(A29&lt;'Données projet'!$A$140,$CQ$205^A29,IF(A29='Données projet'!$A$140,'Données projet'!$B$140,CT28+CS29-DB28)))</f>
        <v>208.6</v>
      </c>
      <c r="CU29" s="18">
        <f>CT29*VLOOKUP('Données projet'!$B$13,Paramètres!$A$1:$I$89,3,0)*VLOOKUP('Données projet'!$B$13,Paramètres!$A$1:$I$89,5,0)</f>
        <v>188.74127999999999</v>
      </c>
      <c r="CV29" s="14">
        <f t="shared" si="41"/>
        <v>47.261560168122358</v>
      </c>
      <c r="CW29" s="22">
        <f t="shared" si="13"/>
        <v>411.03827995947972</v>
      </c>
      <c r="CX29" s="62">
        <f t="shared" si="14"/>
        <v>651.7933854798157</v>
      </c>
      <c r="CY29" s="62">
        <f ca="1">AVERAGE(OFFSET($CX$3,0,0,'Données projet'!$E$13+1,1))-AVERAGE(OFFSET($H$3,0,0,'Données projet'!$E$13+1,1))</f>
        <v>374.91250349988451</v>
      </c>
      <c r="CZ29" s="62">
        <f t="shared" si="42"/>
        <v>529.46825265662869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8.2418681282368009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8.2418681282368009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8.6</v>
      </c>
      <c r="DO29" s="13">
        <f>IF('Données projet'!$A$166&gt;35,DO28+DN29-DW28,IF(A29&lt;'Données projet'!$A$166,$DL$205^A29,IF(A29='Données projet'!$A$166,'Données projet'!$B$166,DO28+DN29-DW28)))</f>
        <v>89.6</v>
      </c>
      <c r="DP29" s="18">
        <f>DO29*VLOOKUP('Données projet'!$B$14,Paramètres!$A$1:$I$89,3,0)*VLOOKUP('Données projet'!$B$14,Paramètres!$A$1:$I$89,5,0)</f>
        <v>78.274560000000008</v>
      </c>
      <c r="DQ29" s="14">
        <f t="shared" si="43"/>
        <v>21.714771212170209</v>
      </c>
      <c r="DR29" s="22">
        <f t="shared" si="16"/>
        <v>174.14808519452978</v>
      </c>
      <c r="DS29" s="62">
        <f t="shared" si="17"/>
        <v>414.90319071486579</v>
      </c>
      <c r="DT29" s="62">
        <f ca="1">AVERAGE(OFFSET($DS$3,0,0,'Données projet'!$E$14+1,1))-AVERAGE(OFFSET($H$3,0,0,'Données projet'!$E$14+1,1))</f>
        <v>289.18543665577761</v>
      </c>
      <c r="DU29" s="62">
        <f t="shared" si="44"/>
        <v>291.40065947222843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5.2301842152568341</v>
      </c>
      <c r="EC29" s="23">
        <f>EXP(-LN(2)/2)*EC28+(1-EXP(-LN(2)/2))/(LN(2)/2)*DW29*DZ29*VLOOKUP('Données projet'!$B$14,Paramètres!$A$1:$I$89,3,0)*0.475*44/12</f>
        <v>7.5769648579876545</v>
      </c>
      <c r="ED29" s="24">
        <f t="shared" si="18"/>
        <v>12.807149073244489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9.1999999999999993</v>
      </c>
      <c r="EJ29" s="13">
        <f>IF('Données projet'!$A$192&gt;35,EJ28+EI29-ER28,IF(A29&lt;'Données projet'!$A$192,$EG$205^A29,IF(A29='Données projet'!$A$192,'Données projet'!$B$192,EJ28+EI29-ER28)))</f>
        <v>84.200000000000017</v>
      </c>
      <c r="EK29" s="18">
        <f>EJ29*VLOOKUP('Données projet'!$B$15,Paramètres!$A$1:$I$89,3,0)*VLOOKUP('Données projet'!$B$15,Paramètres!$A$1:$I$89,5,0)</f>
        <v>85.378800000000027</v>
      </c>
      <c r="EL29" s="14">
        <f t="shared" si="45"/>
        <v>23.447306793896516</v>
      </c>
      <c r="EM29" s="22">
        <f t="shared" si="19"/>
        <v>189.53880266603645</v>
      </c>
      <c r="EN29" s="62">
        <f t="shared" si="20"/>
        <v>430.29390818637239</v>
      </c>
      <c r="EO29" s="62">
        <f ca="1">AVERAGE(OFFSET($EN$3,0,0,'Données projet'!$E$15+1,1))-AVERAGE(OFFSET($H$3,0,0,'Données projet'!$E$15+1,1))</f>
        <v>514.72748286045442</v>
      </c>
      <c r="EP29" s="62">
        <f t="shared" si="46"/>
        <v>322.28702110656116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3.9226381614426256</v>
      </c>
      <c r="EX29" s="23">
        <f>EXP(-LN(2)/2)*EX28+(1-EXP(-LN(2)/2))/(LN(2)/2)*ER29*EU29*VLOOKUP('Données projet'!$B$15,Paramètres!$A$1:$I$89,3,0)*0.475*44/12</f>
        <v>13.259688501478394</v>
      </c>
      <c r="EY29" s="24">
        <f t="shared" si="21"/>
        <v>17.182326662921021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56.993816657061323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4.0999999999999996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15.033333333333331</v>
      </c>
      <c r="H30" s="70">
        <f t="shared" si="1"/>
        <v>196.53333333333333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70.794576398719499</v>
      </c>
      <c r="T30" s="62">
        <f t="shared" si="34"/>
        <v>328.91236364911629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0.38021428223676057</v>
      </c>
      <c r="AC30" s="24">
        <f t="shared" si="3"/>
        <v>0.38021428223676057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84.508320000000026</v>
      </c>
      <c r="AK30" s="14">
        <f t="shared" si="35"/>
        <v>23.235950088324714</v>
      </c>
      <c r="AL30" s="22">
        <f t="shared" si="4"/>
        <v>187.65460373716556</v>
      </c>
      <c r="AM30" s="62">
        <f t="shared" si="5"/>
        <v>430.45923489266761</v>
      </c>
      <c r="AN30" s="62">
        <f ca="1">AVERAGE(OFFSET($AM$3,0,0,'Données projet'!$E$10+1,1))-AVERAGE(OFFSET($H$3,0,0,'Données projet'!$E$10+1,1))</f>
        <v>466.75323833427217</v>
      </c>
      <c r="AO30" s="62">
        <f t="shared" si="36"/>
        <v>293.88550076209378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3.4044870469054347</v>
      </c>
      <c r="AW30" s="23">
        <f>EXP(-LN(2)/2)*AW29+(1-EXP(-LN(2)/2))/(LN(2)/2)*AQ30*AT30*VLOOKUP('Données projet'!$B$10,Paramètres!$A$1:$I$89,3,0)*0.475*44/12</f>
        <v>8.3662908928825619</v>
      </c>
      <c r="AX30" s="23">
        <f t="shared" si="6"/>
        <v>11.770777939787997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68.47741055388687</v>
      </c>
      <c r="BJ30" s="62">
        <f t="shared" si="38"/>
        <v>335.34467252166542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54.574197393789106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1.7572730036025219</v>
      </c>
      <c r="BS30" s="24">
        <f t="shared" si="9"/>
        <v>56.331470397391627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13.8</v>
      </c>
      <c r="BY30" s="13">
        <f>IF('Données projet'!$A$114&gt;35,BY29+BX30-CG29,IF(A30&lt;'Données projet'!$A$114,$BV$205^A30,IF(A30='Données projet'!$A$114,'Données projet'!$B$114,BY29+BX30-CG29)))</f>
        <v>195.60000000000002</v>
      </c>
      <c r="BZ30" s="14">
        <f>BY30*VLOOKUP('Données projet'!$B$12,Paramètres!$A$1:$I$89,3,0)*VLOOKUP('Données projet'!$B$12,Paramètres!$A$1:$I$89,5,0)</f>
        <v>116.96880000000002</v>
      </c>
      <c r="CA30" s="14">
        <f t="shared" si="39"/>
        <v>30.966972418998537</v>
      </c>
      <c r="CB30" s="22">
        <f t="shared" si="10"/>
        <v>257.6548036297558</v>
      </c>
      <c r="CC30" s="62">
        <f t="shared" si="11"/>
        <v>500.45943478525783</v>
      </c>
      <c r="CD30" s="62">
        <f ca="1">AVERAGE(OFFSET($CC$3,0,0,'Données projet'!$E$12+1,1))-AVERAGE(OFFSET($H$3,0,0,'Données projet'!$E$12+1,1))</f>
        <v>211.76609132110815</v>
      </c>
      <c r="CE30" s="62">
        <f t="shared" si="40"/>
        <v>363.07965692095752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10.48281400709544</v>
      </c>
      <c r="CL30" s="23">
        <f>EXP(-LN(2)/25)*CL29+(1-EXP(-LN(2)/25))/(LN(2)/25)*Calculateur!CG30*Calculateur!CI30*VLOOKUP('Données projet'!$B$12,Paramètres!$A$1:$I$89,3,0)*0.475*44/12</f>
        <v>5.9117490700985647</v>
      </c>
      <c r="CM30" s="23">
        <f>EXP(-LN(2)/2)*CM29+(1-EXP(-LN(2)/2))/(LN(2)/2)*CG30*CJ30*VLOOKUP('Données projet'!$B$12,Paramètres!$A$1:$I$89,3,0)*0.475*44/12</f>
        <v>6.6691879021201448</v>
      </c>
      <c r="CN30" s="24">
        <f t="shared" si="12"/>
        <v>23.06375097931415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8.6</v>
      </c>
      <c r="CT30" s="13">
        <f>IF('Données projet'!$A$140&gt;35,CT29+CS30-DB29,IF(A30&lt;'Données projet'!$A$140,$CQ$205^A30,IF(A30='Données projet'!$A$140,'Données projet'!$B$140,CT29+CS30-DB29)))</f>
        <v>217.2</v>
      </c>
      <c r="CU30" s="18">
        <f>CT30*VLOOKUP('Données projet'!$B$13,Paramètres!$A$1:$I$89,3,0)*VLOOKUP('Données projet'!$B$13,Paramètres!$A$1:$I$89,5,0)</f>
        <v>196.52255999999997</v>
      </c>
      <c r="CV30" s="14">
        <f t="shared" si="41"/>
        <v>48.979153257338155</v>
      </c>
      <c r="CW30" s="22">
        <f t="shared" si="13"/>
        <v>427.58215058986383</v>
      </c>
      <c r="CX30" s="62">
        <f t="shared" si="14"/>
        <v>670.38678174536585</v>
      </c>
      <c r="CY30" s="62">
        <f ca="1">AVERAGE(OFFSET($CX$3,0,0,'Données projet'!$E$13+1,1))-AVERAGE(OFFSET($H$3,0,0,'Données projet'!$E$13+1,1))</f>
        <v>374.91250349988451</v>
      </c>
      <c r="CZ30" s="62">
        <f t="shared" si="42"/>
        <v>529.46825265662869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8.0802501212852569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8.0802501212852569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8.6</v>
      </c>
      <c r="DO30" s="13">
        <f>IF('Données projet'!$A$166&gt;35,DO29+DN30-DW29,IF(A30&lt;'Données projet'!$A$166,$DL$205^A30,IF(A30='Données projet'!$A$166,'Données projet'!$B$166,DO29+DN30-DW29)))</f>
        <v>98.199999999999989</v>
      </c>
      <c r="DP30" s="18">
        <f>DO30*VLOOKUP('Données projet'!$B$14,Paramètres!$A$1:$I$89,3,0)*VLOOKUP('Données projet'!$B$14,Paramètres!$A$1:$I$89,5,0)</f>
        <v>85.787520000000001</v>
      </c>
      <c r="DQ30" s="14">
        <f t="shared" si="43"/>
        <v>23.546459304471629</v>
      </c>
      <c r="DR30" s="22">
        <f t="shared" si="16"/>
        <v>190.42334728862139</v>
      </c>
      <c r="DS30" s="62">
        <f t="shared" si="17"/>
        <v>433.22797844412344</v>
      </c>
      <c r="DT30" s="62">
        <f ca="1">AVERAGE(OFFSET($DS$3,0,0,'Données projet'!$E$14+1,1))-AVERAGE(OFFSET($H$3,0,0,'Données projet'!$E$14+1,1))</f>
        <v>289.18543665577761</v>
      </c>
      <c r="DU30" s="62">
        <f t="shared" si="44"/>
        <v>291.40065947222843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5.0871645528472023</v>
      </c>
      <c r="EC30" s="23">
        <f>EXP(-LN(2)/2)*EC29+(1-EXP(-LN(2)/2))/(LN(2)/2)*DW30*DZ30*VLOOKUP('Données projet'!$B$14,Paramètres!$A$1:$I$89,3,0)*0.475*44/12</f>
        <v>5.3577232318952372</v>
      </c>
      <c r="ED30" s="24">
        <f t="shared" si="18"/>
        <v>10.44488778474244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9.1999999999999993</v>
      </c>
      <c r="EJ30" s="13">
        <f>IF('Données projet'!$A$192&gt;35,EJ29+EI30-ER29,IF(A30&lt;'Données projet'!$A$192,$EG$205^A30,IF(A30='Données projet'!$A$192,'Données projet'!$B$192,EJ29+EI30-ER29)))</f>
        <v>93.40000000000002</v>
      </c>
      <c r="EK30" s="18">
        <f>EJ30*VLOOKUP('Données projet'!$B$15,Paramètres!$A$1:$I$89,3,0)*VLOOKUP('Données projet'!$B$15,Paramètres!$A$1:$I$89,5,0)</f>
        <v>94.707600000000028</v>
      </c>
      <c r="EL30" s="14">
        <f t="shared" si="45"/>
        <v>25.697193912523566</v>
      </c>
      <c r="EM30" s="22">
        <f t="shared" si="19"/>
        <v>209.70501606431188</v>
      </c>
      <c r="EN30" s="62">
        <f t="shared" si="20"/>
        <v>452.50964721981393</v>
      </c>
      <c r="EO30" s="62">
        <f ca="1">AVERAGE(OFFSET($EN$3,0,0,'Données projet'!$E$15+1,1))-AVERAGE(OFFSET($H$3,0,0,'Données projet'!$E$15+1,1))</f>
        <v>514.72748286045442</v>
      </c>
      <c r="EP30" s="62">
        <f t="shared" si="46"/>
        <v>322.28702110656116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3.8153734146354013</v>
      </c>
      <c r="EX30" s="23">
        <f>EXP(-LN(2)/2)*EX29+(1-EXP(-LN(2)/2))/(LN(2)/2)*ER30*EU30*VLOOKUP('Données projet'!$B$15,Paramètres!$A$1:$I$89,3,0)*0.475*44/12</f>
        <v>9.3760156558166639</v>
      </c>
      <c r="EY30" s="24">
        <f t="shared" si="21"/>
        <v>13.191389070452065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57.219444860591473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4.0999999999999996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15.033333333333331</v>
      </c>
      <c r="H31" s="70">
        <f t="shared" si="1"/>
        <v>196.53333333333333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70.794576398719499</v>
      </c>
      <c r="T31" s="62">
        <f t="shared" si="34"/>
        <v>328.91236364911629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0.26885209727358927</v>
      </c>
      <c r="AC31" s="24">
        <f t="shared" si="3"/>
        <v>0.26885209727358927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92.832480000000018</v>
      </c>
      <c r="AK31" s="14">
        <f t="shared" si="35"/>
        <v>25.247114117480137</v>
      </c>
      <c r="AL31" s="22">
        <f t="shared" si="4"/>
        <v>205.65529308794461</v>
      </c>
      <c r="AM31" s="62">
        <f t="shared" si="5"/>
        <v>450.49509801397159</v>
      </c>
      <c r="AN31" s="62">
        <f ca="1">AVERAGE(OFFSET($AM$3,0,0,'Données projet'!$E$10+1,1))-AVERAGE(OFFSET($H$3,0,0,'Données projet'!$E$10+1,1))</f>
        <v>466.75323833427217</v>
      </c>
      <c r="AO31" s="62">
        <f t="shared" si="36"/>
        <v>293.88550076209378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3.3113911695736129</v>
      </c>
      <c r="AW31" s="23">
        <f>EXP(-LN(2)/2)*AW30+(1-EXP(-LN(2)/2))/(LN(2)/2)*AQ31*AT31*VLOOKUP('Données projet'!$B$10,Paramètres!$A$1:$I$89,3,0)*0.475*44/12</f>
        <v>5.9158610237365155</v>
      </c>
      <c r="AX31" s="23">
        <f t="shared" si="6"/>
        <v>9.2272521933101288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68.47741055388687</v>
      </c>
      <c r="BJ31" s="62">
        <f t="shared" si="38"/>
        <v>335.34467252166542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53.504030669870495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1.2425796572433956</v>
      </c>
      <c r="BS31" s="24">
        <f t="shared" si="9"/>
        <v>54.746610327113892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13.8</v>
      </c>
      <c r="BY31" s="13">
        <f>IF('Données projet'!$A$114&gt;35,BY30+BX31-CG30,IF(A31&lt;'Données projet'!$A$114,$BV$205^A31,IF(A31='Données projet'!$A$114,'Données projet'!$B$114,BY30+BX31-CG30)))</f>
        <v>209.40000000000003</v>
      </c>
      <c r="BZ31" s="14">
        <f>BY31*VLOOKUP('Données projet'!$B$12,Paramètres!$A$1:$I$89,3,0)*VLOOKUP('Données projet'!$B$12,Paramètres!$A$1:$I$89,5,0)</f>
        <v>125.22120000000004</v>
      </c>
      <c r="CA31" s="14">
        <f t="shared" si="39"/>
        <v>32.889723553463881</v>
      </c>
      <c r="CB31" s="22">
        <f t="shared" si="10"/>
        <v>275.37652518894964</v>
      </c>
      <c r="CC31" s="62">
        <f t="shared" si="11"/>
        <v>520.21633011497659</v>
      </c>
      <c r="CD31" s="62">
        <f ca="1">AVERAGE(OFFSET($CC$3,0,0,'Données projet'!$E$12+1,1))-AVERAGE(OFFSET($H$3,0,0,'Données projet'!$E$12+1,1))</f>
        <v>211.76609132110815</v>
      </c>
      <c r="CE31" s="62">
        <f t="shared" si="40"/>
        <v>363.07965692095752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10.277252418301499</v>
      </c>
      <c r="CL31" s="23">
        <f>EXP(-LN(2)/25)*CL30+(1-EXP(-LN(2)/25))/(LN(2)/25)*Calculateur!CG31*Calculateur!CI31*VLOOKUP('Données projet'!$B$12,Paramètres!$A$1:$I$89,3,0)*0.475*44/12</f>
        <v>5.7500919808913471</v>
      </c>
      <c r="CM31" s="23">
        <f>EXP(-LN(2)/2)*CM30+(1-EXP(-LN(2)/2))/(LN(2)/2)*CG31*CJ31*VLOOKUP('Données projet'!$B$12,Paramètres!$A$1:$I$89,3,0)*0.475*44/12</f>
        <v>4.7158279905964395</v>
      </c>
      <c r="CN31" s="24">
        <f t="shared" si="12"/>
        <v>20.743172389789287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8.6</v>
      </c>
      <c r="CT31" s="13">
        <f>IF('Données projet'!$A$140&gt;35,CT30+CS31-DB30,IF(A31&lt;'Données projet'!$A$140,$CQ$205^A31,IF(A31='Données projet'!$A$140,'Données projet'!$B$140,CT30+CS31-DB30)))</f>
        <v>225.79999999999998</v>
      </c>
      <c r="CU31" s="18">
        <f>CT31*VLOOKUP('Données projet'!$B$13,Paramètres!$A$1:$I$89,3,0)*VLOOKUP('Données projet'!$B$13,Paramètres!$A$1:$I$89,5,0)</f>
        <v>204.30383999999995</v>
      </c>
      <c r="CV31" s="14">
        <f t="shared" si="41"/>
        <v>50.688846269088558</v>
      </c>
      <c r="CW31" s="22">
        <f t="shared" si="13"/>
        <v>444.11226191866245</v>
      </c>
      <c r="CX31" s="62">
        <f t="shared" si="14"/>
        <v>688.9520668446894</v>
      </c>
      <c r="CY31" s="62">
        <f ca="1">AVERAGE(OFFSET($CX$3,0,0,'Données projet'!$E$13+1,1))-AVERAGE(OFFSET($H$3,0,0,'Données projet'!$E$13+1,1))</f>
        <v>374.91250349988451</v>
      </c>
      <c r="CZ31" s="62">
        <f t="shared" si="42"/>
        <v>529.46825265662869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7.9218013448727813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7.9218013448727813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8.6</v>
      </c>
      <c r="DO31" s="13">
        <f>IF('Données projet'!$A$166&gt;35,DO30+DN31-DW30,IF(A31&lt;'Données projet'!$A$166,$DL$205^A31,IF(A31='Données projet'!$A$166,'Données projet'!$B$166,DO30+DN31-DW30)))</f>
        <v>106.79999999999998</v>
      </c>
      <c r="DP31" s="18">
        <f>DO31*VLOOKUP('Données projet'!$B$14,Paramètres!$A$1:$I$89,3,0)*VLOOKUP('Données projet'!$B$14,Paramètres!$A$1:$I$89,5,0)</f>
        <v>93.300479999999993</v>
      </c>
      <c r="DQ31" s="14">
        <f t="shared" si="43"/>
        <v>25.35954513622837</v>
      </c>
      <c r="DR31" s="22">
        <f t="shared" si="16"/>
        <v>206.66621044559773</v>
      </c>
      <c r="DS31" s="62">
        <f t="shared" si="17"/>
        <v>451.5060153716247</v>
      </c>
      <c r="DT31" s="62">
        <f ca="1">AVERAGE(OFFSET($DS$3,0,0,'Données projet'!$E$14+1,1))-AVERAGE(OFFSET($H$3,0,0,'Données projet'!$E$14+1,1))</f>
        <v>289.18543665577761</v>
      </c>
      <c r="DU31" s="62">
        <f t="shared" si="44"/>
        <v>291.40065947222843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4.9480557706272386</v>
      </c>
      <c r="EC31" s="23">
        <f>EXP(-LN(2)/2)*EC30+(1-EXP(-LN(2)/2))/(LN(2)/2)*DW31*DZ31*VLOOKUP('Données projet'!$B$14,Paramètres!$A$1:$I$89,3,0)*0.475*44/12</f>
        <v>3.7884824289938281</v>
      </c>
      <c r="ED31" s="24">
        <f t="shared" si="18"/>
        <v>8.7365381996210658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9.1999999999999993</v>
      </c>
      <c r="EJ31" s="13">
        <f>IF('Données projet'!$A$192&gt;35,EJ30+EI31-ER30,IF(A31&lt;'Données projet'!$A$192,$EG$205^A31,IF(A31='Données projet'!$A$192,'Données projet'!$B$192,EJ30+EI31-ER30)))</f>
        <v>102.60000000000002</v>
      </c>
      <c r="EK31" s="18">
        <f>EJ31*VLOOKUP('Données projet'!$B$15,Paramètres!$A$1:$I$89,3,0)*VLOOKUP('Données projet'!$B$15,Paramètres!$A$1:$I$89,5,0)</f>
        <v>104.03640000000003</v>
      </c>
      <c r="EL31" s="14">
        <f t="shared" si="45"/>
        <v>27.921388397820998</v>
      </c>
      <c r="EM31" s="22">
        <f t="shared" si="19"/>
        <v>229.82648145953826</v>
      </c>
      <c r="EN31" s="62">
        <f t="shared" si="20"/>
        <v>474.66628638556523</v>
      </c>
      <c r="EO31" s="62">
        <f ca="1">AVERAGE(OFFSET($EN$3,0,0,'Données projet'!$E$15+1,1))-AVERAGE(OFFSET($H$3,0,0,'Données projet'!$E$15+1,1))</f>
        <v>514.72748286045442</v>
      </c>
      <c r="EP31" s="62">
        <f t="shared" si="46"/>
        <v>322.28702110656116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3.7110418279704285</v>
      </c>
      <c r="EX31" s="23">
        <f>EXP(-LN(2)/2)*EX30+(1-EXP(-LN(2)/2))/(LN(2)/2)*ER31*EU31*VLOOKUP('Données projet'!$B$15,Paramètres!$A$1:$I$89,3,0)*0.475*44/12</f>
        <v>6.6298442507391977</v>
      </c>
      <c r="EY31" s="24">
        <f t="shared" si="21"/>
        <v>10.340886078709627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57.441158919219468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4.0999999999999996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15.033333333333331</v>
      </c>
      <c r="H32" s="70">
        <f t="shared" si="1"/>
        <v>196.53333333333333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70.794576398719499</v>
      </c>
      <c r="T32" s="62">
        <f t="shared" si="34"/>
        <v>328.91236364911629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0.19010714111838029</v>
      </c>
      <c r="AC32" s="24">
        <f t="shared" si="3"/>
        <v>0.19010714111838029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101.15664000000001</v>
      </c>
      <c r="AK32" s="14">
        <f t="shared" si="35"/>
        <v>27.237366379381644</v>
      </c>
      <c r="AL32" s="22">
        <f t="shared" si="4"/>
        <v>223.61956111075639</v>
      </c>
      <c r="AM32" s="62">
        <f t="shared" si="5"/>
        <v>470.48043691543256</v>
      </c>
      <c r="AN32" s="62">
        <f ca="1">AVERAGE(OFFSET($AM$3,0,0,'Données projet'!$E$10+1,1))-AVERAGE(OFFSET($H$3,0,0,'Données projet'!$E$10+1,1))</f>
        <v>466.75323833427217</v>
      </c>
      <c r="AO32" s="62">
        <f t="shared" si="36"/>
        <v>293.88550076209378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3.220841003903129</v>
      </c>
      <c r="AW32" s="23">
        <f>EXP(-LN(2)/2)*AW31+(1-EXP(-LN(2)/2))/(LN(2)/2)*AQ32*AT32*VLOOKUP('Données projet'!$B$10,Paramètres!$A$1:$I$89,3,0)*0.475*44/12</f>
        <v>4.1831454464412818</v>
      </c>
      <c r="AX32" s="23">
        <f t="shared" si="6"/>
        <v>7.4039864503444104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68.47741055388687</v>
      </c>
      <c r="BJ32" s="62">
        <f t="shared" si="38"/>
        <v>335.34467252166542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52.454849262670677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0.87863650180126096</v>
      </c>
      <c r="BS32" s="24">
        <f t="shared" si="9"/>
        <v>53.333485764471938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13.8</v>
      </c>
      <c r="BY32" s="13">
        <f>IF('Données projet'!$A$114&gt;35,BY31+BX32-CG31,IF(A32&lt;'Données projet'!$A$114,$BV$205^A32,IF(A32='Données projet'!$A$114,'Données projet'!$B$114,BY31+BX32-CG31)))</f>
        <v>223.20000000000005</v>
      </c>
      <c r="BZ32" s="14">
        <f>BY32*VLOOKUP('Données projet'!$B$12,Paramètres!$A$1:$I$89,3,0)*VLOOKUP('Données projet'!$B$12,Paramètres!$A$1:$I$89,5,0)</f>
        <v>133.47360000000003</v>
      </c>
      <c r="CA32" s="14">
        <f t="shared" si="39"/>
        <v>34.79777034418013</v>
      </c>
      <c r="CB32" s="22">
        <f t="shared" si="10"/>
        <v>293.0726366827804</v>
      </c>
      <c r="CC32" s="62">
        <f t="shared" si="11"/>
        <v>539.9335124874566</v>
      </c>
      <c r="CD32" s="62">
        <f ca="1">AVERAGE(OFFSET($CC$3,0,0,'Données projet'!$E$12+1,1))-AVERAGE(OFFSET($H$3,0,0,'Données projet'!$E$12+1,1))</f>
        <v>211.76609132110815</v>
      </c>
      <c r="CE32" s="62">
        <f t="shared" si="40"/>
        <v>363.07965692095752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10.075721766883618</v>
      </c>
      <c r="CL32" s="23">
        <f>EXP(-LN(2)/25)*CL31+(1-EXP(-LN(2)/25))/(LN(2)/25)*Calculateur!CG32*Calculateur!CI32*VLOOKUP('Données projet'!$B$12,Paramètres!$A$1:$I$89,3,0)*0.475*44/12</f>
        <v>5.5928554132896782</v>
      </c>
      <c r="CM32" s="23">
        <f>EXP(-LN(2)/2)*CM31+(1-EXP(-LN(2)/2))/(LN(2)/2)*CG32*CJ32*VLOOKUP('Données projet'!$B$12,Paramètres!$A$1:$I$89,3,0)*0.475*44/12</f>
        <v>3.3345939510600728</v>
      </c>
      <c r="CN32" s="24">
        <f t="shared" si="12"/>
        <v>19.003171131233369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8.6</v>
      </c>
      <c r="CT32" s="13">
        <f>IF('Données projet'!$A$140&gt;35,CT31+CS32-DB31,IF(A32&lt;'Données projet'!$A$140,$CQ$205^A32,IF(A32='Données projet'!$A$140,'Données projet'!$B$140,CT31+CS32-DB31)))</f>
        <v>234.39999999999998</v>
      </c>
      <c r="CU32" s="18">
        <f>CT32*VLOOKUP('Données projet'!$B$13,Paramètres!$A$1:$I$89,3,0)*VLOOKUP('Données projet'!$B$13,Paramètres!$A$1:$I$89,5,0)</f>
        <v>212.08511999999996</v>
      </c>
      <c r="CV32" s="14">
        <f t="shared" si="41"/>
        <v>52.390974537063087</v>
      </c>
      <c r="CW32" s="22">
        <f t="shared" si="13"/>
        <v>460.62919798538474</v>
      </c>
      <c r="CX32" s="62">
        <f t="shared" si="14"/>
        <v>707.49007379006093</v>
      </c>
      <c r="CY32" s="62">
        <f ca="1">AVERAGE(OFFSET($CX$3,0,0,'Données projet'!$E$13+1,1))-AVERAGE(OFFSET($H$3,0,0,'Données projet'!$E$13+1,1))</f>
        <v>374.91250349988451</v>
      </c>
      <c r="CZ32" s="62">
        <f t="shared" si="42"/>
        <v>529.46825265662869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7.7664596523215437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7.7664596523215437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8.6</v>
      </c>
      <c r="DO32" s="13">
        <f>IF('Données projet'!$A$166&gt;35,DO31+DN32-DW31,IF(A32&lt;'Données projet'!$A$166,$DL$205^A32,IF(A32='Données projet'!$A$166,'Données projet'!$B$166,DO31+DN32-DW31)))</f>
        <v>115.39999999999998</v>
      </c>
      <c r="DP32" s="18">
        <f>DO32*VLOOKUP('Données projet'!$B$14,Paramètres!$A$1:$I$89,3,0)*VLOOKUP('Données projet'!$B$14,Paramètres!$A$1:$I$89,5,0)</f>
        <v>100.81344</v>
      </c>
      <c r="DQ32" s="14">
        <f t="shared" si="43"/>
        <v>27.155696942944218</v>
      </c>
      <c r="DR32" s="22">
        <f t="shared" si="16"/>
        <v>222.87958017562786</v>
      </c>
      <c r="DS32" s="62">
        <f t="shared" si="17"/>
        <v>469.74045598030403</v>
      </c>
      <c r="DT32" s="62">
        <f ca="1">AVERAGE(OFFSET($DS$3,0,0,'Données projet'!$E$14+1,1))-AVERAGE(OFFSET($H$3,0,0,'Données projet'!$E$14+1,1))</f>
        <v>289.18543665577761</v>
      </c>
      <c r="DU32" s="62">
        <f t="shared" si="44"/>
        <v>291.40065947222843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4.8127509253724927</v>
      </c>
      <c r="EC32" s="23">
        <f>EXP(-LN(2)/2)*EC31+(1-EXP(-LN(2)/2))/(LN(2)/2)*DW32*DZ32*VLOOKUP('Données projet'!$B$14,Paramètres!$A$1:$I$89,3,0)*0.475*44/12</f>
        <v>2.6788616159476191</v>
      </c>
      <c r="ED32" s="24">
        <f t="shared" si="18"/>
        <v>7.4916125413201122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9.1999999999999993</v>
      </c>
      <c r="EJ32" s="13">
        <f>IF('Données projet'!$A$192&gt;35,EJ31+EI32-ER31,IF(A32&lt;'Données projet'!$A$192,$EG$205^A32,IF(A32='Données projet'!$A$192,'Données projet'!$B$192,EJ31+EI32-ER31)))</f>
        <v>111.80000000000003</v>
      </c>
      <c r="EK32" s="18">
        <f>EJ32*VLOOKUP('Données projet'!$B$15,Paramètres!$A$1:$I$89,3,0)*VLOOKUP('Données projet'!$B$15,Paramètres!$A$1:$I$89,5,0)</f>
        <v>113.36520000000003</v>
      </c>
      <c r="EL32" s="14">
        <f t="shared" si="45"/>
        <v>30.122456058687614</v>
      </c>
      <c r="EM32" s="22">
        <f t="shared" si="19"/>
        <v>249.9076676355476</v>
      </c>
      <c r="EN32" s="62">
        <f t="shared" si="20"/>
        <v>496.76854344022377</v>
      </c>
      <c r="EO32" s="62">
        <f ca="1">AVERAGE(OFFSET($EN$3,0,0,'Données projet'!$E$15+1,1))-AVERAGE(OFFSET($H$3,0,0,'Données projet'!$E$15+1,1))</f>
        <v>514.72748286045442</v>
      </c>
      <c r="EP32" s="62">
        <f t="shared" si="46"/>
        <v>322.28702110656116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3.6095631940293691</v>
      </c>
      <c r="EX32" s="23">
        <f>EXP(-LN(2)/2)*EX31+(1-EXP(-LN(2)/2))/(LN(2)/2)*ER32*EU32*VLOOKUP('Données projet'!$B$15,Paramètres!$A$1:$I$89,3,0)*0.475*44/12</f>
        <v>4.6880078279083319</v>
      </c>
      <c r="EY32" s="24">
        <f t="shared" si="21"/>
        <v>8.297571021937701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57.659026734608652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4.0999999999999996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15.033333333333331</v>
      </c>
      <c r="H33" s="70">
        <f t="shared" si="1"/>
        <v>196.53333333333333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70.794576398719499</v>
      </c>
      <c r="T33" s="62">
        <f t="shared" si="34"/>
        <v>328.91236364911629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0.13442604863679464</v>
      </c>
      <c r="AC33" s="24">
        <f t="shared" si="3"/>
        <v>0.13442604863679464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109.48080000000002</v>
      </c>
      <c r="AK33" s="14">
        <f t="shared" si="35"/>
        <v>29.208623339903898</v>
      </c>
      <c r="AL33" s="22">
        <f t="shared" si="4"/>
        <v>241.55074565033269</v>
      </c>
      <c r="AM33" s="62">
        <f t="shared" si="5"/>
        <v>490.41883409542709</v>
      </c>
      <c r="AN33" s="62">
        <f ca="1">AVERAGE(OFFSET($AM$3,0,0,'Données projet'!$E$10+1,1))-AVERAGE(OFFSET($H$3,0,0,'Données projet'!$E$10+1,1))</f>
        <v>466.75323833427217</v>
      </c>
      <c r="AO33" s="62">
        <f t="shared" si="36"/>
        <v>293.88550076209378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0.215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9.1304406496690369</v>
      </c>
      <c r="AW33" s="23">
        <f>EXP(-LN(2)/2)*AW32+(1-EXP(-LN(2)/2))/(LN(2)/2)*AQ33*AT33*VLOOKUP('Données projet'!$B$10,Paramètres!$A$1:$I$89,3,0)*0.475*44/12</f>
        <v>14.909774644557633</v>
      </c>
      <c r="AX33" s="23">
        <f t="shared" si="6"/>
        <v>24.04021529422667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68.47741055388687</v>
      </c>
      <c r="BJ33" s="62">
        <f t="shared" si="38"/>
        <v>335.34467252166542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51.426241662928582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0.62128982862169779</v>
      </c>
      <c r="BS33" s="24">
        <f t="shared" si="9"/>
        <v>52.047531491550281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237</v>
      </c>
      <c r="BW33" s="13">
        <f>VLOOKUP(A33,'Données projet'!$A$113:$I$133,9,0)</f>
        <v>13.8</v>
      </c>
      <c r="BX33" s="13">
        <f t="array" ref="BX33">INDEX(BW:BW,MIN(IF(ISNUMBER(BW33:BW229),ROW(BW33:BW229),"")))</f>
        <v>13.8</v>
      </c>
      <c r="BY33" s="13">
        <f>IF('Données projet'!$A$114&gt;35,BY32+BX33-CG32,IF(A33&lt;'Données projet'!$A$114,$BV$205^A33,IF(A33='Données projet'!$A$114,'Données projet'!$B$114,BY32+BX33-CG32)))</f>
        <v>237.00000000000006</v>
      </c>
      <c r="BZ33" s="14">
        <f>BY33*VLOOKUP('Données projet'!$B$12,Paramètres!$A$1:$I$89,3,0)*VLOOKUP('Données projet'!$B$12,Paramètres!$A$1:$I$89,5,0)</f>
        <v>141.72600000000003</v>
      </c>
      <c r="CA33" s="14">
        <f t="shared" si="39"/>
        <v>36.692125440686915</v>
      </c>
      <c r="CB33" s="22">
        <f t="shared" si="10"/>
        <v>310.74490180919639</v>
      </c>
      <c r="CC33" s="62">
        <f t="shared" si="11"/>
        <v>559.61299025429082</v>
      </c>
      <c r="CD33" s="62">
        <f ca="1">AVERAGE(OFFSET($CC$3,0,0,'Données projet'!$E$12+1,1))-AVERAGE(OFFSET($H$3,0,0,'Données projet'!$E$12+1,1))</f>
        <v>211.76609132110815</v>
      </c>
      <c r="CE33" s="62">
        <f t="shared" si="40"/>
        <v>363.07965692095752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9.8781430086184816</v>
      </c>
      <c r="CL33" s="23">
        <f>EXP(-LN(2)/25)*CL32+(1-EXP(-LN(2)/25))/(LN(2)/25)*Calculateur!CG33*Calculateur!CI33*VLOOKUP('Données projet'!$B$12,Paramètres!$A$1:$I$89,3,0)*0.475*44/12</f>
        <v>5.4399184878977884</v>
      </c>
      <c r="CM33" s="23">
        <f>EXP(-LN(2)/2)*CM32+(1-EXP(-LN(2)/2))/(LN(2)/2)*CG33*CJ33*VLOOKUP('Données projet'!$B$12,Paramètres!$A$1:$I$89,3,0)*0.475*44/12</f>
        <v>2.3579139952982202</v>
      </c>
      <c r="CN33" s="24">
        <f t="shared" si="12"/>
        <v>17.675975491814491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243</v>
      </c>
      <c r="CR33" s="13">
        <f>VLOOKUP(A33,'Données projet'!$A$139:$I$159,9,0)</f>
        <v>8.6</v>
      </c>
      <c r="CS33" s="13">
        <f t="array" ref="CS33">INDEX(CR:CR,MIN(IF(ISNUMBER(CR33:CR229),ROW(CR33:CR229),"")))</f>
        <v>8.6</v>
      </c>
      <c r="CT33" s="13">
        <f>IF('Données projet'!$A$140&gt;35,CT32+CS33-DB32,IF(A33&lt;'Données projet'!$A$140,$CQ$205^A33,IF(A33='Données projet'!$A$140,'Données projet'!$B$140,CT32+CS33-DB32)))</f>
        <v>242.99999999999997</v>
      </c>
      <c r="CU33" s="18">
        <f>CT33*VLOOKUP('Données projet'!$B$13,Paramètres!$A$1:$I$89,3,0)*VLOOKUP('Données projet'!$B$13,Paramètres!$A$1:$I$89,5,0)</f>
        <v>219.86639999999997</v>
      </c>
      <c r="CV33" s="14">
        <f t="shared" si="41"/>
        <v>54.085847394182416</v>
      </c>
      <c r="CW33" s="22">
        <f t="shared" si="13"/>
        <v>477.13349754486762</v>
      </c>
      <c r="CX33" s="62">
        <f t="shared" si="14"/>
        <v>726.001585989962</v>
      </c>
      <c r="CY33" s="62">
        <f ca="1">AVERAGE(OFFSET($CX$3,0,0,'Données projet'!$E$13+1,1))-AVERAGE(OFFSET($H$3,0,0,'Données projet'!$E$13+1,1))</f>
        <v>374.91250349988451</v>
      </c>
      <c r="CZ33" s="62">
        <f t="shared" si="42"/>
        <v>529.46825265662869</v>
      </c>
      <c r="DA33" s="16">
        <f>IF(ISNA(VLOOKUP(A33,'Données projet'!$A$139:$I$159,3,0)),0,VLOOKUP(A33,'Données projet'!$A$139:$I$159,3,0))</f>
        <v>6</v>
      </c>
      <c r="DB33" s="16">
        <f>IF(ISNA(VLOOKUP(A33,'Données projet'!$A$139:$I$159,4,0)),0,VLOOKUP(A33,'Données projet'!$A$139:$I$159,4,0))</f>
        <v>11</v>
      </c>
      <c r="DC33" s="17">
        <f>IF(ISNA(VLOOKUP(A33,'Données projet'!$A$139:$I$159,5,0)),0%,VLOOKUP(A33,'Données projet'!$A$139:$I$159,5,0)*VLOOKUP('Données projet'!$B$13,Paramètres!$A$1:$I$89,7,0))</f>
        <v>0.27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10.584846025834356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10.584846025834356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124</v>
      </c>
      <c r="DM33" s="13">
        <f>VLOOKUP(A33,'Données projet'!$A$165:$I$185,9,0)</f>
        <v>8.6</v>
      </c>
      <c r="DN33" s="13">
        <f t="array" ref="DN33">INDEX(DM:DM,MIN(IF(ISNUMBER(DM33:DM229),ROW(DM33:DM229),"")))</f>
        <v>8.6</v>
      </c>
      <c r="DO33" s="13">
        <f>IF('Données projet'!$A$166&gt;35,DO32+DN33-DW32,IF(A33&lt;'Données projet'!$A$166,$DL$205^A33,IF(A33='Données projet'!$A$166,'Données projet'!$B$166,DO32+DN33-DW32)))</f>
        <v>123.99999999999997</v>
      </c>
      <c r="DP33" s="18">
        <f>DO33*VLOOKUP('Données projet'!$B$14,Paramètres!$A$1:$I$89,3,0)*VLOOKUP('Données projet'!$B$14,Paramètres!$A$1:$I$89,5,0)</f>
        <v>108.32640000000001</v>
      </c>
      <c r="DQ33" s="14">
        <f t="shared" si="43"/>
        <v>28.936320206966883</v>
      </c>
      <c r="DR33" s="22">
        <f t="shared" si="16"/>
        <v>239.06590436046736</v>
      </c>
      <c r="DS33" s="62">
        <f t="shared" si="17"/>
        <v>487.93399280556173</v>
      </c>
      <c r="DT33" s="62">
        <f ca="1">AVERAGE(OFFSET($DS$3,0,0,'Données projet'!$E$14+1,1))-AVERAGE(OFFSET($H$3,0,0,'Données projet'!$E$14+1,1))</f>
        <v>289.18543665577761</v>
      </c>
      <c r="DU33" s="62">
        <f t="shared" si="44"/>
        <v>291.40065947222843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26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0.25800000000000001</v>
      </c>
      <c r="DZ33" s="17">
        <f>IF(ISNA(VLOOKUP(A33,'Données projet'!$A$165:$I$185,7,0)),0%,VLOOKUP(A33,'Données projet'!$A$165:$I$185,7,0))</f>
        <v>0.4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11.133815647423242</v>
      </c>
      <c r="EC33" s="23">
        <f>EXP(-LN(2)/2)*EC32+(1-EXP(-LN(2)/2))/(LN(2)/2)*DW33*DZ33*VLOOKUP('Données projet'!$B$14,Paramètres!$A$1:$I$89,3,0)*0.475*44/12</f>
        <v>10.466598385529291</v>
      </c>
      <c r="ED33" s="24">
        <f t="shared" si="18"/>
        <v>21.600414032952536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121</v>
      </c>
      <c r="EH33" s="13">
        <f>VLOOKUP(A33,'Données projet'!$A$191:$I$211,9,0)</f>
        <v>9.1999999999999993</v>
      </c>
      <c r="EI33" s="13">
        <f t="array" ref="EI33">INDEX(EH:EH,MIN(IF(ISNUMBER(EH33:EH229),ROW(EH33:EH229),"")))</f>
        <v>9.1999999999999993</v>
      </c>
      <c r="EJ33" s="13">
        <f>IF('Données projet'!$A$192&gt;35,EJ32+EI33-ER32,IF(A33&lt;'Données projet'!$A$192,$EG$205^A33,IF(A33='Données projet'!$A$192,'Données projet'!$B$192,EJ32+EI33-ER32)))</f>
        <v>121.00000000000003</v>
      </c>
      <c r="EK33" s="18">
        <f>EJ33*VLOOKUP('Données projet'!$B$15,Paramètres!$A$1:$I$89,3,0)*VLOOKUP('Données projet'!$B$15,Paramètres!$A$1:$I$89,5,0)</f>
        <v>122.69400000000003</v>
      </c>
      <c r="EL33" s="14">
        <f t="shared" si="45"/>
        <v>32.302516360650685</v>
      </c>
      <c r="EM33" s="22">
        <f t="shared" si="19"/>
        <v>269.95226599480003</v>
      </c>
      <c r="EN33" s="62">
        <f t="shared" si="20"/>
        <v>518.82035443989446</v>
      </c>
      <c r="EO33" s="62">
        <f ca="1">AVERAGE(OFFSET($EN$3,0,0,'Données projet'!$E$15+1,1))-AVERAGE(OFFSET($H$3,0,0,'Données projet'!$E$15+1,1))</f>
        <v>514.72748286045442</v>
      </c>
      <c r="EP33" s="62">
        <f t="shared" si="46"/>
        <v>322.28702110656116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28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0.215</v>
      </c>
      <c r="EU33" s="17">
        <f>IF(ISNA(VLOOKUP(A33,'Données projet'!$A$191:$I$211,7,0)),0%,VLOOKUP(A33,'Données projet'!$A$191:$I$211,7,0))</f>
        <v>0.5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10.232390383249783</v>
      </c>
      <c r="EX33" s="23">
        <f>EXP(-LN(2)/2)*EX32+(1-EXP(-LN(2)/2))/(LN(2)/2)*ER33*EU33*VLOOKUP('Données projet'!$B$15,Paramètres!$A$1:$I$89,3,0)*0.475*44/12</f>
        <v>16.709230205107691</v>
      </c>
      <c r="EY33" s="24">
        <f t="shared" si="21"/>
        <v>26.941620588357473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57.873115030480292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4.0999999999999996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15.033333333333331</v>
      </c>
      <c r="H34" s="70">
        <f t="shared" si="1"/>
        <v>196.53333333333333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70.794576398719499</v>
      </c>
      <c r="T34" s="62">
        <f t="shared" si="34"/>
        <v>328.91236364911629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9.5053570559190143E-2</v>
      </c>
      <c r="AC34" s="24">
        <f t="shared" si="3"/>
        <v>9.5053570559190143E-2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93.91824000000004</v>
      </c>
      <c r="AK34" s="14">
        <f t="shared" si="35"/>
        <v>25.507853654186022</v>
      </c>
      <c r="AL34" s="22">
        <f t="shared" si="4"/>
        <v>208.00044644770739</v>
      </c>
      <c r="AM34" s="62">
        <f t="shared" si="5"/>
        <v>457.63990748221778</v>
      </c>
      <c r="AN34" s="62">
        <f ca="1">AVERAGE(OFFSET($AM$3,0,0,'Données projet'!$E$10+1,1))-AVERAGE(OFFSET($H$3,0,0,'Données projet'!$E$10+1,1))</f>
        <v>466.75323833427217</v>
      </c>
      <c r="AO34" s="62">
        <f t="shared" si="36"/>
        <v>293.88550076209378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8.8807682699548316</v>
      </c>
      <c r="AW34" s="23">
        <f>EXP(-LN(2)/2)*AW33+(1-EXP(-LN(2)/2))/(LN(2)/2)*AQ34*AT34*VLOOKUP('Données projet'!$B$10,Paramètres!$A$1:$I$89,3,0)*0.475*44/12</f>
        <v>10.54280275712995</v>
      </c>
      <c r="AX34" s="23">
        <f t="shared" si="6"/>
        <v>19.423571027084783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68.47741055388687</v>
      </c>
      <c r="BJ34" s="62">
        <f t="shared" si="38"/>
        <v>335.34467252166542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50.417804430828745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0.43931825090063048</v>
      </c>
      <c r="BS34" s="24">
        <f t="shared" si="9"/>
        <v>50.857122681729379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12.625</v>
      </c>
      <c r="BY34" s="13">
        <f>IF('Données projet'!$A$114&gt;35,BY33+BX34-CG33,IF(A34&lt;'Données projet'!$A$114,$BV$205^A34,IF(A34='Données projet'!$A$114,'Données projet'!$B$114,BY33+BX34-CG33)))</f>
        <v>249.62500000000006</v>
      </c>
      <c r="BZ34" s="14">
        <f>BY34*VLOOKUP('Données projet'!$B$12,Paramètres!$A$1:$I$89,3,0)*VLOOKUP('Données projet'!$B$12,Paramètres!$A$1:$I$89,5,0)</f>
        <v>149.27575000000004</v>
      </c>
      <c r="CA34" s="14">
        <f t="shared" si="39"/>
        <v>38.413950875340568</v>
      </c>
      <c r="CB34" s="22">
        <f t="shared" si="10"/>
        <v>326.89289569121826</v>
      </c>
      <c r="CC34" s="62">
        <f t="shared" si="11"/>
        <v>576.53235672572862</v>
      </c>
      <c r="CD34" s="62">
        <f ca="1">AVERAGE(OFFSET($CC$3,0,0,'Données projet'!$E$12+1,1))-AVERAGE(OFFSET($H$3,0,0,'Données projet'!$E$12+1,1))</f>
        <v>211.76609132110815</v>
      </c>
      <c r="CE34" s="62">
        <f t="shared" si="40"/>
        <v>363.07965692095752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9.6844386492917813</v>
      </c>
      <c r="CL34" s="23">
        <f>EXP(-LN(2)/25)*CL33+(1-EXP(-LN(2)/25))/(LN(2)/25)*Calculateur!CG34*Calculateur!CI34*VLOOKUP('Données projet'!$B$12,Paramètres!$A$1:$I$89,3,0)*0.475*44/12</f>
        <v>5.291163630773343</v>
      </c>
      <c r="CM34" s="23">
        <f>EXP(-LN(2)/2)*CM33+(1-EXP(-LN(2)/2))/(LN(2)/2)*CG34*CJ34*VLOOKUP('Données projet'!$B$12,Paramètres!$A$1:$I$89,3,0)*0.475*44/12</f>
        <v>1.6672969755300369</v>
      </c>
      <c r="CN34" s="24">
        <f t="shared" si="12"/>
        <v>16.642899255595161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</v>
      </c>
      <c r="CT34" s="13">
        <f>IF('Données projet'!$A$140&gt;35,CT33+CS34-DB33,IF(A34&lt;'Données projet'!$A$140,$CQ$205^A34,IF(A34='Données projet'!$A$140,'Données projet'!$B$140,CT33+CS34-DB33)))</f>
        <v>238.99999999999997</v>
      </c>
      <c r="CU34" s="18">
        <f>CT34*VLOOKUP('Données projet'!$B$13,Paramètres!$A$1:$I$89,3,0)*VLOOKUP('Données projet'!$B$13,Paramètres!$A$1:$I$89,5,0)</f>
        <v>216.24719999999996</v>
      </c>
      <c r="CV34" s="14">
        <f t="shared" si="41"/>
        <v>53.298418226645332</v>
      </c>
      <c r="CW34" s="22">
        <f t="shared" si="13"/>
        <v>469.45861841140714</v>
      </c>
      <c r="CX34" s="62">
        <f t="shared" si="14"/>
        <v>719.09807944591751</v>
      </c>
      <c r="CY34" s="62">
        <f ca="1">AVERAGE(OFFSET($CX$3,0,0,'Données projet'!$E$13+1,1))-AVERAGE(OFFSET($H$3,0,0,'Données projet'!$E$13+1,1))</f>
        <v>374.91250349988451</v>
      </c>
      <c r="CZ34" s="62">
        <f t="shared" si="42"/>
        <v>529.46825265662869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10.377283651386332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10.377283651386332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7.8</v>
      </c>
      <c r="DO34" s="13">
        <f>IF('Données projet'!$A$166&gt;35,DO33+DN34-DW33,IF(A34&lt;'Données projet'!$A$166,$DL$205^A34,IF(A34='Données projet'!$A$166,'Données projet'!$B$166,DO33+DN34-DW33)))</f>
        <v>105.79999999999998</v>
      </c>
      <c r="DP34" s="18">
        <f>DO34*VLOOKUP('Données projet'!$B$14,Paramètres!$A$1:$I$89,3,0)*VLOOKUP('Données projet'!$B$14,Paramètres!$A$1:$I$89,5,0)</f>
        <v>92.426879999999997</v>
      </c>
      <c r="DQ34" s="14">
        <f t="shared" si="43"/>
        <v>25.149620531579263</v>
      </c>
      <c r="DR34" s="22">
        <f t="shared" si="16"/>
        <v>204.77907175916721</v>
      </c>
      <c r="DS34" s="62">
        <f t="shared" si="17"/>
        <v>454.41853279367763</v>
      </c>
      <c r="DT34" s="62">
        <f ca="1">AVERAGE(OFFSET($DS$3,0,0,'Données projet'!$E$14+1,1))-AVERAGE(OFFSET($H$3,0,0,'Données projet'!$E$14+1,1))</f>
        <v>289.18543665577761</v>
      </c>
      <c r="DU34" s="62">
        <f t="shared" si="44"/>
        <v>291.40065947222843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10.829360873042535</v>
      </c>
      <c r="EC34" s="23">
        <f>EXP(-LN(2)/2)*EC33+(1-EXP(-LN(2)/2))/(LN(2)/2)*DW34*DZ34*VLOOKUP('Données projet'!$B$14,Paramètres!$A$1:$I$89,3,0)*0.475*44/12</f>
        <v>7.4010026943639327</v>
      </c>
      <c r="ED34" s="24">
        <f t="shared" si="18"/>
        <v>18.230363567406467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10.8</v>
      </c>
      <c r="EJ34" s="13">
        <f>IF('Données projet'!$A$192&gt;35,EJ33+EI34-ER33,IF(A34&lt;'Données projet'!$A$192,$EG$205^A34,IF(A34='Données projet'!$A$192,'Données projet'!$B$192,EJ33+EI34-ER33)))</f>
        <v>103.80000000000004</v>
      </c>
      <c r="EK34" s="18">
        <f>EJ34*VLOOKUP('Données projet'!$B$15,Paramètres!$A$1:$I$89,3,0)*VLOOKUP('Données projet'!$B$15,Paramètres!$A$1:$I$89,5,0)</f>
        <v>105.25320000000005</v>
      </c>
      <c r="EL34" s="14">
        <f t="shared" si="45"/>
        <v>28.209746498519422</v>
      </c>
      <c r="EM34" s="22">
        <f t="shared" si="19"/>
        <v>232.44796515158808</v>
      </c>
      <c r="EN34" s="62">
        <f t="shared" si="20"/>
        <v>482.08742618609847</v>
      </c>
      <c r="EO34" s="62">
        <f ca="1">AVERAGE(OFFSET($EN$3,0,0,'Données projet'!$E$15+1,1))-AVERAGE(OFFSET($H$3,0,0,'Données projet'!$E$15+1,1))</f>
        <v>514.72748286045442</v>
      </c>
      <c r="EP34" s="62">
        <f t="shared" si="46"/>
        <v>322.28702110656116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9.9525851301217934</v>
      </c>
      <c r="EX34" s="23">
        <f>EXP(-LN(2)/2)*EX33+(1-EXP(-LN(2)/2))/(LN(2)/2)*ER34*EU34*VLOOKUP('Données projet'!$B$15,Paramètres!$A$1:$I$89,3,0)*0.475*44/12</f>
        <v>11.815209986438735</v>
      </c>
      <c r="EY34" s="24">
        <f t="shared" si="21"/>
        <v>21.767795116560528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58.08348937304828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4.0999999999999996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15.033333333333331</v>
      </c>
      <c r="H35" s="70">
        <f t="shared" si="1"/>
        <v>196.53333333333333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70.794576398719499</v>
      </c>
      <c r="T35" s="62">
        <f t="shared" si="34"/>
        <v>328.91236364911629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6.7213024318397319E-2</v>
      </c>
      <c r="AC35" s="24">
        <f t="shared" si="3"/>
        <v>6.7213024318397319E-2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103.69008000000004</v>
      </c>
      <c r="AK35" s="14">
        <f t="shared" si="35"/>
        <v>27.83924565319537</v>
      </c>
      <c r="AL35" s="22">
        <f t="shared" si="4"/>
        <v>229.08024217931529</v>
      </c>
      <c r="AM35" s="62">
        <f t="shared" si="5"/>
        <v>479.47769421334601</v>
      </c>
      <c r="AN35" s="62">
        <f ca="1">AVERAGE(OFFSET($AM$3,0,0,'Données projet'!$E$10+1,1))-AVERAGE(OFFSET($H$3,0,0,'Données projet'!$E$10+1,1))</f>
        <v>466.75323833427217</v>
      </c>
      <c r="AO35" s="62">
        <f t="shared" si="36"/>
        <v>293.88550076209378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8.6379231945936112</v>
      </c>
      <c r="AW35" s="23">
        <f>EXP(-LN(2)/2)*AW34+(1-EXP(-LN(2)/2))/(LN(2)/2)*AQ35*AT35*VLOOKUP('Données projet'!$B$10,Paramètres!$A$1:$I$89,3,0)*0.475*44/12</f>
        <v>7.4548873222788181</v>
      </c>
      <c r="AX35" s="23">
        <f t="shared" si="6"/>
        <v>16.092810516872429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68.47741055388687</v>
      </c>
      <c r="BJ35" s="62">
        <f t="shared" si="38"/>
        <v>335.34467252166542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49.429142037764407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0.3106449143108489</v>
      </c>
      <c r="BS35" s="24">
        <f t="shared" si="9"/>
        <v>49.739786952075256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12.625</v>
      </c>
      <c r="BY35" s="13">
        <f>IF('Données projet'!$A$114&gt;35,BY34+BX35-CG34,IF(A35&lt;'Données projet'!$A$114,$BV$205^A35,IF(A35='Données projet'!$A$114,'Données projet'!$B$114,BY34+BX35-CG34)))</f>
        <v>262.25000000000006</v>
      </c>
      <c r="BZ35" s="14">
        <f>BY35*VLOOKUP('Données projet'!$B$12,Paramètres!$A$1:$I$89,3,0)*VLOOKUP('Données projet'!$B$12,Paramètres!$A$1:$I$89,5,0)</f>
        <v>156.82550000000006</v>
      </c>
      <c r="CA35" s="14">
        <f t="shared" si="39"/>
        <v>40.12566509846944</v>
      </c>
      <c r="CB35" s="22">
        <f t="shared" si="10"/>
        <v>343.02327921316777</v>
      </c>
      <c r="CC35" s="62">
        <f t="shared" si="11"/>
        <v>593.42073124719855</v>
      </c>
      <c r="CD35" s="62">
        <f ca="1">AVERAGE(OFFSET($CC$3,0,0,'Données projet'!$E$12+1,1))-AVERAGE(OFFSET($H$3,0,0,'Données projet'!$E$12+1,1))</f>
        <v>211.76609132110815</v>
      </c>
      <c r="CE35" s="62">
        <f t="shared" si="40"/>
        <v>363.07965692095752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9.4945327143034852</v>
      </c>
      <c r="CL35" s="23">
        <f>EXP(-LN(2)/25)*CL34+(1-EXP(-LN(2)/25))/(LN(2)/25)*Calculateur!CG35*Calculateur!CI35*VLOOKUP('Données projet'!$B$12,Paramètres!$A$1:$I$89,3,0)*0.475*44/12</f>
        <v>5.1464764830396437</v>
      </c>
      <c r="CM35" s="23">
        <f>EXP(-LN(2)/2)*CM34+(1-EXP(-LN(2)/2))/(LN(2)/2)*CG35*CJ35*VLOOKUP('Données projet'!$B$12,Paramètres!$A$1:$I$89,3,0)*0.475*44/12</f>
        <v>1.1789569976491103</v>
      </c>
      <c r="CN35" s="24">
        <f t="shared" si="12"/>
        <v>15.81996619499224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</v>
      </c>
      <c r="CT35" s="13">
        <f>IF('Données projet'!$A$140&gt;35,CT34+CS35-DB34,IF(A35&lt;'Données projet'!$A$140,$CQ$205^A35,IF(A35='Données projet'!$A$140,'Données projet'!$B$140,CT34+CS35-DB34)))</f>
        <v>245.99999999999997</v>
      </c>
      <c r="CU35" s="18">
        <f>CT35*VLOOKUP('Données projet'!$B$13,Paramètres!$A$1:$I$89,3,0)*VLOOKUP('Données projet'!$B$13,Paramètres!$A$1:$I$89,5,0)</f>
        <v>222.58079999999998</v>
      </c>
      <c r="CV35" s="14">
        <f t="shared" si="41"/>
        <v>54.675428546153199</v>
      </c>
      <c r="CW35" s="22">
        <f t="shared" si="13"/>
        <v>482.88793138455003</v>
      </c>
      <c r="CX35" s="62">
        <f t="shared" si="14"/>
        <v>733.28538341858075</v>
      </c>
      <c r="CY35" s="62">
        <f ca="1">AVERAGE(OFFSET($CX$3,0,0,'Données projet'!$E$13+1,1))-AVERAGE(OFFSET($H$3,0,0,'Données projet'!$E$13+1,1))</f>
        <v>374.91250349988451</v>
      </c>
      <c r="CZ35" s="62">
        <f t="shared" si="42"/>
        <v>529.46825265662869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10.173791448500685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10.173791448500685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7.8</v>
      </c>
      <c r="DO35" s="13">
        <f>IF('Données projet'!$A$166&gt;35,DO34+DN35-DW34,IF(A35&lt;'Données projet'!$A$166,$DL$205^A35,IF(A35='Données projet'!$A$166,'Données projet'!$B$166,DO34+DN35-DW34)))</f>
        <v>113.59999999999998</v>
      </c>
      <c r="DP35" s="18">
        <f>DO35*VLOOKUP('Données projet'!$B$14,Paramètres!$A$1:$I$89,3,0)*VLOOKUP('Données projet'!$B$14,Paramètres!$A$1:$I$89,5,0)</f>
        <v>99.240959999999987</v>
      </c>
      <c r="DQ35" s="14">
        <f t="shared" si="43"/>
        <v>26.781086624650886</v>
      </c>
      <c r="DR35" s="22">
        <f t="shared" si="16"/>
        <v>219.48839787126693</v>
      </c>
      <c r="DS35" s="62">
        <f t="shared" si="17"/>
        <v>469.88584990529768</v>
      </c>
      <c r="DT35" s="62">
        <f ca="1">AVERAGE(OFFSET($DS$3,0,0,'Données projet'!$E$14+1,1))-AVERAGE(OFFSET($H$3,0,0,'Données projet'!$E$14+1,1))</f>
        <v>289.18543665577761</v>
      </c>
      <c r="DU35" s="62">
        <f t="shared" si="44"/>
        <v>291.40065947222843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10.53323143047785</v>
      </c>
      <c r="EC35" s="23">
        <f>EXP(-LN(2)/2)*EC34+(1-EXP(-LN(2)/2))/(LN(2)/2)*DW35*DZ35*VLOOKUP('Données projet'!$B$14,Paramètres!$A$1:$I$89,3,0)*0.475*44/12</f>
        <v>5.2332991927646466</v>
      </c>
      <c r="ED35" s="24">
        <f t="shared" si="18"/>
        <v>15.766530623242495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10.8</v>
      </c>
      <c r="EJ35" s="13">
        <f>IF('Données projet'!$A$192&gt;35,EJ34+EI35-ER34,IF(A35&lt;'Données projet'!$A$192,$EG$205^A35,IF(A35='Données projet'!$A$192,'Données projet'!$B$192,EJ34+EI35-ER34)))</f>
        <v>114.60000000000004</v>
      </c>
      <c r="EK35" s="18">
        <f>EJ35*VLOOKUP('Données projet'!$B$15,Paramètres!$A$1:$I$89,3,0)*VLOOKUP('Données projet'!$B$15,Paramètres!$A$1:$I$89,5,0)</f>
        <v>116.20440000000004</v>
      </c>
      <c r="EL35" s="14">
        <f t="shared" si="45"/>
        <v>30.788088768016376</v>
      </c>
      <c r="EM35" s="22">
        <f t="shared" si="19"/>
        <v>256.01191793762854</v>
      </c>
      <c r="EN35" s="62">
        <f t="shared" si="20"/>
        <v>506.40936997165932</v>
      </c>
      <c r="EO35" s="62">
        <f ca="1">AVERAGE(OFFSET($EN$3,0,0,'Données projet'!$E$15+1,1))-AVERAGE(OFFSET($H$3,0,0,'Données projet'!$E$15+1,1))</f>
        <v>514.72748286045442</v>
      </c>
      <c r="EP35" s="62">
        <f t="shared" si="46"/>
        <v>322.28702110656116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9.6804311663549072</v>
      </c>
      <c r="EX35" s="23">
        <f>EXP(-LN(2)/2)*EX34+(1-EXP(-LN(2)/2))/(LN(2)/2)*ER35*EU35*VLOOKUP('Données projet'!$B$15,Paramètres!$A$1:$I$89,3,0)*0.475*44/12</f>
        <v>8.3546151025538453</v>
      </c>
      <c r="EY35" s="24">
        <f t="shared" si="21"/>
        <v>18.035046268908751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58.290214191099295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4.0999999999999996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15.033333333333331</v>
      </c>
      <c r="H36" s="70">
        <f t="shared" si="1"/>
        <v>196.53333333333333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70.794576398719499</v>
      </c>
      <c r="T36" s="62">
        <f t="shared" si="34"/>
        <v>328.91236364911629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4.7526785279595071E-2</v>
      </c>
      <c r="AC36" s="24">
        <f t="shared" si="3"/>
        <v>4.7526785279595071E-2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113.46192000000002</v>
      </c>
      <c r="AK36" s="14">
        <f t="shared" si="35"/>
        <v>30.145163126535493</v>
      </c>
      <c r="AL36" s="22">
        <f t="shared" si="4"/>
        <v>250.11566977871598</v>
      </c>
      <c r="AM36" s="62">
        <f t="shared" si="5"/>
        <v>501.25796336303938</v>
      </c>
      <c r="AN36" s="62">
        <f ca="1">AVERAGE(OFFSET($AM$3,0,0,'Données projet'!$E$10+1,1))-AVERAGE(OFFSET($H$3,0,0,'Données projet'!$E$10+1,1))</f>
        <v>466.75323833427217</v>
      </c>
      <c r="AO36" s="62">
        <f t="shared" si="36"/>
        <v>293.88550076209378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8.4017187305888097</v>
      </c>
      <c r="AW36" s="23">
        <f>EXP(-LN(2)/2)*AW35+(1-EXP(-LN(2)/2))/(LN(2)/2)*AQ36*AT36*VLOOKUP('Données projet'!$B$10,Paramètres!$A$1:$I$89,3,0)*0.475*44/12</f>
        <v>5.2714013785649758</v>
      </c>
      <c r="AX36" s="23">
        <f t="shared" si="6"/>
        <v>13.673120109153786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68.47741055388687</v>
      </c>
      <c r="BJ36" s="62">
        <f t="shared" si="38"/>
        <v>335.34467252166542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48.459866711203546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0.21965912545031524</v>
      </c>
      <c r="BS36" s="24">
        <f t="shared" si="9"/>
        <v>48.679525836653859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12.625</v>
      </c>
      <c r="BY36" s="13">
        <f>IF('Données projet'!$A$114&gt;35,BY35+BX36-CG35,IF(A36&lt;'Données projet'!$A$114,$BV$205^A36,IF(A36='Données projet'!$A$114,'Données projet'!$B$114,BY35+BX36-CG35)))</f>
        <v>274.87500000000006</v>
      </c>
      <c r="BZ36" s="14">
        <f>BY36*VLOOKUP('Données projet'!$B$12,Paramètres!$A$1:$I$89,3,0)*VLOOKUP('Données projet'!$B$12,Paramètres!$A$1:$I$89,5,0)</f>
        <v>164.37525000000005</v>
      </c>
      <c r="CA36" s="14">
        <f t="shared" si="39"/>
        <v>41.827810443115574</v>
      </c>
      <c r="CB36" s="22">
        <f t="shared" si="10"/>
        <v>359.13699693842636</v>
      </c>
      <c r="CC36" s="62">
        <f t="shared" si="11"/>
        <v>610.27929052274976</v>
      </c>
      <c r="CD36" s="62">
        <f ca="1">AVERAGE(OFFSET($CC$3,0,0,'Données projet'!$E$12+1,1))-AVERAGE(OFFSET($H$3,0,0,'Données projet'!$E$12+1,1))</f>
        <v>211.76609132110815</v>
      </c>
      <c r="CE36" s="62">
        <f t="shared" si="40"/>
        <v>363.07965692095752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9.3083507188691268</v>
      </c>
      <c r="CL36" s="23">
        <f>EXP(-LN(2)/25)*CL35+(1-EXP(-LN(2)/25))/(LN(2)/25)*Calculateur!CG36*Calculateur!CI36*VLOOKUP('Données projet'!$B$12,Paramètres!$A$1:$I$89,3,0)*0.475*44/12</f>
        <v>5.0057458129694892</v>
      </c>
      <c r="CM36" s="23">
        <f>EXP(-LN(2)/2)*CM35+(1-EXP(-LN(2)/2))/(LN(2)/2)*CG36*CJ36*VLOOKUP('Données projet'!$B$12,Paramètres!$A$1:$I$89,3,0)*0.475*44/12</f>
        <v>0.83364848776501854</v>
      </c>
      <c r="CN36" s="24">
        <f t="shared" si="12"/>
        <v>15.147745019603633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</v>
      </c>
      <c r="CT36" s="13">
        <f>IF('Données projet'!$A$140&gt;35,CT35+CS36-DB35,IF(A36&lt;'Données projet'!$A$140,$CQ$205^A36,IF(A36='Données projet'!$A$140,'Données projet'!$B$140,CT35+CS36-DB35)))</f>
        <v>252.99999999999997</v>
      </c>
      <c r="CU36" s="18">
        <f>CT36*VLOOKUP('Données projet'!$B$13,Paramètres!$A$1:$I$89,3,0)*VLOOKUP('Données projet'!$B$13,Paramètres!$A$1:$I$89,5,0)</f>
        <v>228.91439999999997</v>
      </c>
      <c r="CV36" s="14">
        <f t="shared" si="41"/>
        <v>56.047884834417424</v>
      </c>
      <c r="CW36" s="22">
        <f t="shared" si="13"/>
        <v>496.30931275327697</v>
      </c>
      <c r="CX36" s="62">
        <f t="shared" si="14"/>
        <v>747.45160633760042</v>
      </c>
      <c r="CY36" s="62">
        <f ca="1">AVERAGE(OFFSET($CX$3,0,0,'Données projet'!$E$13+1,1))-AVERAGE(OFFSET($H$3,0,0,'Données projet'!$E$13+1,1))</f>
        <v>374.91250349988451</v>
      </c>
      <c r="CZ36" s="62">
        <f t="shared" si="42"/>
        <v>529.46825265662869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9.9742896035956381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9.9742896035956381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7.8</v>
      </c>
      <c r="DO36" s="13">
        <f>IF('Données projet'!$A$166&gt;35,DO35+DN36-DW35,IF(A36&lt;'Données projet'!$A$166,$DL$205^A36,IF(A36='Données projet'!$A$166,'Données projet'!$B$166,DO35+DN36-DW35)))</f>
        <v>121.39999999999998</v>
      </c>
      <c r="DP36" s="18">
        <f>DO36*VLOOKUP('Données projet'!$B$14,Paramètres!$A$1:$I$89,3,0)*VLOOKUP('Données projet'!$B$14,Paramètres!$A$1:$I$89,5,0)</f>
        <v>106.05503999999999</v>
      </c>
      <c r="DQ36" s="14">
        <f t="shared" si="43"/>
        <v>28.399554817794122</v>
      </c>
      <c r="DR36" s="22">
        <f t="shared" si="16"/>
        <v>234.17508597432473</v>
      </c>
      <c r="DS36" s="62">
        <f t="shared" si="17"/>
        <v>485.31737955864816</v>
      </c>
      <c r="DT36" s="62">
        <f ca="1">AVERAGE(OFFSET($DS$3,0,0,'Données projet'!$E$14+1,1))-AVERAGE(OFFSET($H$3,0,0,'Données projet'!$E$14+1,1))</f>
        <v>289.18543665577761</v>
      </c>
      <c r="DU36" s="62">
        <f t="shared" si="44"/>
        <v>291.40065947222843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10.245199663092865</v>
      </c>
      <c r="EC36" s="23">
        <f>EXP(-LN(2)/2)*EC35+(1-EXP(-LN(2)/2))/(LN(2)/2)*DW36*DZ36*VLOOKUP('Données projet'!$B$14,Paramètres!$A$1:$I$89,3,0)*0.475*44/12</f>
        <v>3.7005013471819672</v>
      </c>
      <c r="ED36" s="24">
        <f t="shared" si="18"/>
        <v>13.945701010274833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10.8</v>
      </c>
      <c r="EJ36" s="13">
        <f>IF('Données projet'!$A$192&gt;35,EJ35+EI36-ER35,IF(A36&lt;'Données projet'!$A$192,$EG$205^A36,IF(A36='Données projet'!$A$192,'Données projet'!$B$192,EJ35+EI36-ER35)))</f>
        <v>125.40000000000003</v>
      </c>
      <c r="EK36" s="18">
        <f>EJ36*VLOOKUP('Données projet'!$B$15,Paramètres!$A$1:$I$89,3,0)*VLOOKUP('Données projet'!$B$15,Paramètres!$A$1:$I$89,5,0)</f>
        <v>127.15560000000004</v>
      </c>
      <c r="EL36" s="14">
        <f t="shared" si="45"/>
        <v>33.338258149231912</v>
      </c>
      <c r="EM36" s="22">
        <f t="shared" si="19"/>
        <v>279.52680294324563</v>
      </c>
      <c r="EN36" s="62">
        <f t="shared" si="20"/>
        <v>530.66909652756908</v>
      </c>
      <c r="EO36" s="62">
        <f ca="1">AVERAGE(OFFSET($EN$3,0,0,'Données projet'!$E$15+1,1))-AVERAGE(OFFSET($H$3,0,0,'Données projet'!$E$15+1,1))</f>
        <v>514.72748286045442</v>
      </c>
      <c r="EP36" s="62">
        <f t="shared" si="46"/>
        <v>322.28702110656116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9.4157192670391829</v>
      </c>
      <c r="EX36" s="23">
        <f>EXP(-LN(2)/2)*EX35+(1-EXP(-LN(2)/2))/(LN(2)/2)*ER36*EU36*VLOOKUP('Données projet'!$B$15,Paramètres!$A$1:$I$89,3,0)*0.475*44/12</f>
        <v>5.9076049932193673</v>
      </c>
      <c r="EY36" s="24">
        <f t="shared" si="21"/>
        <v>15.32332426025855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58.493352795724569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4.0999999999999996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15.033333333333331</v>
      </c>
      <c r="H37" s="70">
        <f t="shared" si="1"/>
        <v>196.53333333333333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70.794576398719499</v>
      </c>
      <c r="T37" s="62">
        <f t="shared" si="34"/>
        <v>328.91236364911629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3.3606512159198659E-2</v>
      </c>
      <c r="AC37" s="24">
        <f t="shared" si="3"/>
        <v>3.3606512159198659E-2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123.23376000000005</v>
      </c>
      <c r="AK37" s="14">
        <f t="shared" si="35"/>
        <v>32.428049504876491</v>
      </c>
      <c r="AL37" s="22">
        <f t="shared" si="4"/>
        <v>271.11098488765998</v>
      </c>
      <c r="AM37" s="62">
        <f t="shared" si="5"/>
        <v>522.9851986865948</v>
      </c>
      <c r="AN37" s="62">
        <f ca="1">AVERAGE(OFFSET($AM$3,0,0,'Données projet'!$E$10+1,1))-AVERAGE(OFFSET($H$3,0,0,'Données projet'!$E$10+1,1))</f>
        <v>466.75323833427217</v>
      </c>
      <c r="AO37" s="62">
        <f t="shared" si="36"/>
        <v>293.88550076209378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8.171973290073673</v>
      </c>
      <c r="AW37" s="23">
        <f>EXP(-LN(2)/2)*AW36+(1-EXP(-LN(2)/2))/(LN(2)/2)*AQ37*AT37*VLOOKUP('Données projet'!$B$10,Paramètres!$A$1:$I$89,3,0)*0.475*44/12</f>
        <v>3.7274436611394095</v>
      </c>
      <c r="AX37" s="23">
        <f t="shared" si="6"/>
        <v>11.899416951213082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68.47741055388687</v>
      </c>
      <c r="BJ37" s="62">
        <f t="shared" si="38"/>
        <v>335.34467252166542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47.509598282596968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0.15532245715542445</v>
      </c>
      <c r="BS37" s="24">
        <f t="shared" si="9"/>
        <v>47.66492073975239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12.625</v>
      </c>
      <c r="BY37" s="13">
        <f>IF('Données projet'!$A$114&gt;35,BY36+BX37-CG36,IF(A37&lt;'Données projet'!$A$114,$BV$205^A37,IF(A37='Données projet'!$A$114,'Données projet'!$B$114,BY36+BX37-CG36)))</f>
        <v>287.50000000000006</v>
      </c>
      <c r="BZ37" s="14">
        <f>BY37*VLOOKUP('Données projet'!$B$12,Paramètres!$A$1:$I$89,3,0)*VLOOKUP('Données projet'!$B$12,Paramètres!$A$1:$I$89,5,0)</f>
        <v>171.92500000000004</v>
      </c>
      <c r="CA37" s="14">
        <f t="shared" si="39"/>
        <v>43.520876607827979</v>
      </c>
      <c r="CB37" s="22">
        <f t="shared" si="10"/>
        <v>375.23490175863373</v>
      </c>
      <c r="CC37" s="62">
        <f t="shared" si="11"/>
        <v>627.10911555756854</v>
      </c>
      <c r="CD37" s="62">
        <f ca="1">AVERAGE(OFFSET($CC$3,0,0,'Données projet'!$E$12+1,1))-AVERAGE(OFFSET($H$3,0,0,'Données projet'!$E$12+1,1))</f>
        <v>211.76609132110815</v>
      </c>
      <c r="CE37" s="62">
        <f t="shared" si="40"/>
        <v>363.07965692095752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9.1258196388054316</v>
      </c>
      <c r="CL37" s="23">
        <f>EXP(-LN(2)/25)*CL36+(1-EXP(-LN(2)/25))/(LN(2)/25)*Calculateur!CG37*Calculateur!CI37*VLOOKUP('Données projet'!$B$12,Paramètres!$A$1:$I$89,3,0)*0.475*44/12</f>
        <v>4.8688634304731071</v>
      </c>
      <c r="CM37" s="23">
        <f>EXP(-LN(2)/2)*CM36+(1-EXP(-LN(2)/2))/(LN(2)/2)*CG37*CJ37*VLOOKUP('Données projet'!$B$12,Paramètres!$A$1:$I$89,3,0)*0.475*44/12</f>
        <v>0.58947849882455527</v>
      </c>
      <c r="CN37" s="24">
        <f t="shared" si="12"/>
        <v>14.584161568103093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</v>
      </c>
      <c r="CT37" s="13">
        <f>IF('Données projet'!$A$140&gt;35,CT36+CS37-DB36,IF(A37&lt;'Données projet'!$A$140,$CQ$205^A37,IF(A37='Données projet'!$A$140,'Données projet'!$B$140,CT36+CS37-DB36)))</f>
        <v>260</v>
      </c>
      <c r="CU37" s="18">
        <f>CT37*VLOOKUP('Données projet'!$B$13,Paramètres!$A$1:$I$89,3,0)*VLOOKUP('Données projet'!$B$13,Paramètres!$A$1:$I$89,5,0)</f>
        <v>235.24799999999999</v>
      </c>
      <c r="CV37" s="14">
        <f t="shared" si="41"/>
        <v>57.41592756883739</v>
      </c>
      <c r="CW37" s="22">
        <f t="shared" si="13"/>
        <v>509.72300718239177</v>
      </c>
      <c r="CX37" s="62">
        <f t="shared" si="14"/>
        <v>761.59722098132659</v>
      </c>
      <c r="CY37" s="62">
        <f ca="1">AVERAGE(OFFSET($CX$3,0,0,'Données projet'!$E$13+1,1))-AVERAGE(OFFSET($H$3,0,0,'Données projet'!$E$13+1,1))</f>
        <v>374.91250349988451</v>
      </c>
      <c r="CZ37" s="62">
        <f t="shared" si="42"/>
        <v>529.46825265662869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9.7786998681850683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9.7786998681850683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7.8</v>
      </c>
      <c r="DO37" s="13">
        <f>IF('Données projet'!$A$166&gt;35,DO36+DN37-DW36,IF(A37&lt;'Données projet'!$A$166,$DL$205^A37,IF(A37='Données projet'!$A$166,'Données projet'!$B$166,DO36+DN37-DW36)))</f>
        <v>129.19999999999999</v>
      </c>
      <c r="DP37" s="18">
        <f>DO37*VLOOKUP('Données projet'!$B$14,Paramètres!$A$1:$I$89,3,0)*VLOOKUP('Données projet'!$B$14,Paramètres!$A$1:$I$89,5,0)</f>
        <v>112.86912000000001</v>
      </c>
      <c r="DQ37" s="14">
        <f t="shared" si="43"/>
        <v>30.00595528244644</v>
      </c>
      <c r="DR37" s="22">
        <f t="shared" si="16"/>
        <v>248.84075611692757</v>
      </c>
      <c r="DS37" s="62">
        <f t="shared" si="17"/>
        <v>500.71496991586235</v>
      </c>
      <c r="DT37" s="62">
        <f ca="1">AVERAGE(OFFSET($DS$3,0,0,'Données projet'!$E$14+1,1))-AVERAGE(OFFSET($H$3,0,0,'Données projet'!$E$14+1,1))</f>
        <v>289.18543665577761</v>
      </c>
      <c r="DU37" s="62">
        <f t="shared" si="44"/>
        <v>291.40065947222843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9.9650441395339566</v>
      </c>
      <c r="EC37" s="23">
        <f>EXP(-LN(2)/2)*EC36+(1-EXP(-LN(2)/2))/(LN(2)/2)*DW37*DZ37*VLOOKUP('Données projet'!$B$14,Paramètres!$A$1:$I$89,3,0)*0.475*44/12</f>
        <v>2.6166495963823238</v>
      </c>
      <c r="ED37" s="24">
        <f t="shared" si="18"/>
        <v>12.58169373591628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10.8</v>
      </c>
      <c r="EJ37" s="13">
        <f>IF('Données projet'!$A$192&gt;35,EJ36+EI37-ER36,IF(A37&lt;'Données projet'!$A$192,$EG$205^A37,IF(A37='Données projet'!$A$192,'Données projet'!$B$192,EJ36+EI37-ER36)))</f>
        <v>136.20000000000005</v>
      </c>
      <c r="EK37" s="18">
        <f>EJ37*VLOOKUP('Données projet'!$B$15,Paramètres!$A$1:$I$89,3,0)*VLOOKUP('Données projet'!$B$15,Paramètres!$A$1:$I$89,5,0)</f>
        <v>138.10680000000005</v>
      </c>
      <c r="EL37" s="14">
        <f t="shared" si="45"/>
        <v>35.862956890686135</v>
      </c>
      <c r="EM37" s="22">
        <f t="shared" si="19"/>
        <v>302.99732658461176</v>
      </c>
      <c r="EN37" s="62">
        <f t="shared" si="20"/>
        <v>554.87154038354652</v>
      </c>
      <c r="EO37" s="62">
        <f ca="1">AVERAGE(OFFSET($EN$3,0,0,'Données projet'!$E$15+1,1))-AVERAGE(OFFSET($H$3,0,0,'Données projet'!$E$15+1,1))</f>
        <v>514.72748286045442</v>
      </c>
      <c r="EP37" s="62">
        <f t="shared" si="46"/>
        <v>322.28702110656116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9.1582459285308406</v>
      </c>
      <c r="EX37" s="23">
        <f>EXP(-LN(2)/2)*EX36+(1-EXP(-LN(2)/2))/(LN(2)/2)*ER37*EU37*VLOOKUP('Données projet'!$B$15,Paramètres!$A$1:$I$89,3,0)*0.475*44/12</f>
        <v>4.1773075512769227</v>
      </c>
      <c r="EY37" s="24">
        <f t="shared" si="21"/>
        <v>13.335553479807764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58.692967399709488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4.0999999999999996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15.033333333333331</v>
      </c>
      <c r="H38" s="70">
        <f t="shared" si="1"/>
        <v>196.53333333333333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70.794576398719499</v>
      </c>
      <c r="T38" s="62">
        <f t="shared" si="34"/>
        <v>328.91236364911629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2.3763392639797536E-2</v>
      </c>
      <c r="AC38" s="24">
        <f t="shared" si="3"/>
        <v>2.3763392639797536E-2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133.00560000000004</v>
      </c>
      <c r="AK38" s="14">
        <f t="shared" si="35"/>
        <v>34.689938673073549</v>
      </c>
      <c r="AL38" s="22">
        <f t="shared" si="4"/>
        <v>292.06972985560316</v>
      </c>
      <c r="AM38" s="62">
        <f t="shared" si="5"/>
        <v>544.66316668975423</v>
      </c>
      <c r="AN38" s="62">
        <f ca="1">AVERAGE(OFFSET($AM$3,0,0,'Données projet'!$E$10+1,1))-AVERAGE(OFFSET($H$3,0,0,'Données projet'!$E$10+1,1))</f>
        <v>466.75323833427217</v>
      </c>
      <c r="AO38" s="62">
        <f t="shared" si="36"/>
        <v>293.88550076209378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7.9485102507112106</v>
      </c>
      <c r="AW38" s="23">
        <f>EXP(-LN(2)/2)*AW37+(1-EXP(-LN(2)/2))/(LN(2)/2)*AQ38*AT38*VLOOKUP('Données projet'!$B$10,Paramètres!$A$1:$I$89,3,0)*0.475*44/12</f>
        <v>2.6357006892824884</v>
      </c>
      <c r="AX38" s="23">
        <f t="shared" si="6"/>
        <v>10.584210939993699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68.47741055388687</v>
      </c>
      <c r="BJ38" s="62">
        <f t="shared" si="38"/>
        <v>335.34467252166542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46.577964038268853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0.10982956272515762</v>
      </c>
      <c r="BS38" s="24">
        <f t="shared" si="9"/>
        <v>46.687793600994013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12.625</v>
      </c>
      <c r="BY38" s="13">
        <f>IF('Données projet'!$A$114&gt;35,BY37+BX38-CG37,IF(A38&lt;'Données projet'!$A$114,$BV$205^A38,IF(A38='Données projet'!$A$114,'Données projet'!$B$114,BY37+BX38-CG37)))</f>
        <v>300.12500000000006</v>
      </c>
      <c r="BZ38" s="14">
        <f>BY38*VLOOKUP('Données projet'!$B$12,Paramètres!$A$1:$I$89,3,0)*VLOOKUP('Données projet'!$B$12,Paramètres!$A$1:$I$89,5,0)</f>
        <v>179.47475000000006</v>
      </c>
      <c r="CA38" s="14">
        <f t="shared" si="39"/>
        <v>45.205307850969106</v>
      </c>
      <c r="CB38" s="22">
        <f t="shared" si="10"/>
        <v>391.31776742377127</v>
      </c>
      <c r="CC38" s="62">
        <f t="shared" si="11"/>
        <v>643.91120425792235</v>
      </c>
      <c r="CD38" s="62">
        <f ca="1">AVERAGE(OFFSET($CC$3,0,0,'Données projet'!$E$12+1,1))-AVERAGE(OFFSET($H$3,0,0,'Données projet'!$E$12+1,1))</f>
        <v>211.76609132110815</v>
      </c>
      <c r="CE38" s="62">
        <f t="shared" si="40"/>
        <v>363.07965692095752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8.9468678818888208</v>
      </c>
      <c r="CL38" s="23">
        <f>EXP(-LN(2)/25)*CL37+(1-EXP(-LN(2)/25))/(LN(2)/25)*Calculateur!CG38*Calculateur!CI38*VLOOKUP('Données projet'!$B$12,Paramètres!$A$1:$I$89,3,0)*0.475*44/12</f>
        <v>4.7357241039244204</v>
      </c>
      <c r="CM38" s="23">
        <f>EXP(-LN(2)/2)*CM37+(1-EXP(-LN(2)/2))/(LN(2)/2)*CG38*CJ38*VLOOKUP('Données projet'!$B$12,Paramètres!$A$1:$I$89,3,0)*0.475*44/12</f>
        <v>0.41682424388250933</v>
      </c>
      <c r="CN38" s="24">
        <f t="shared" si="12"/>
        <v>14.09941622969575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267</v>
      </c>
      <c r="CR38" s="13">
        <f>VLOOKUP(A38,'Données projet'!$A$139:$I$159,9,0)</f>
        <v>7</v>
      </c>
      <c r="CS38" s="13">
        <f t="array" ref="CS38">INDEX(CR:CR,MIN(IF(ISNUMBER(CR38:CR234),ROW(CR38:CR234),"")))</f>
        <v>7</v>
      </c>
      <c r="CT38" s="13">
        <f>IF('Données projet'!$A$140&gt;35,CT37+CS38-DB37,IF(A38&lt;'Données projet'!$A$140,$CQ$205^A38,IF(A38='Données projet'!$A$140,'Données projet'!$B$140,CT37+CS38-DB37)))</f>
        <v>267</v>
      </c>
      <c r="CU38" s="18">
        <f>CT38*VLOOKUP('Données projet'!$B$13,Paramètres!$A$1:$I$89,3,0)*VLOOKUP('Données projet'!$B$13,Paramètres!$A$1:$I$89,5,0)</f>
        <v>241.58159999999998</v>
      </c>
      <c r="CV38" s="14">
        <f t="shared" si="41"/>
        <v>58.779689232021951</v>
      </c>
      <c r="CW38" s="22">
        <f t="shared" si="13"/>
        <v>523.12924541243819</v>
      </c>
      <c r="CX38" s="62">
        <f t="shared" si="14"/>
        <v>775.72268224658922</v>
      </c>
      <c r="CY38" s="62">
        <f ca="1">AVERAGE(OFFSET($CX$3,0,0,'Données projet'!$E$13+1,1))-AVERAGE(OFFSET($H$3,0,0,'Données projet'!$E$13+1,1))</f>
        <v>374.91250349988451</v>
      </c>
      <c r="CZ38" s="62">
        <f t="shared" si="42"/>
        <v>529.46825265662869</v>
      </c>
      <c r="DA38" s="16">
        <f>IF(ISNA(VLOOKUP(A38,'Données projet'!$A$139:$I$159,3,0)),0,VLOOKUP(A38,'Données projet'!$A$139:$I$159,3,0))</f>
        <v>7</v>
      </c>
      <c r="DB38" s="16">
        <f>IF(ISNA(VLOOKUP(A38,'Données projet'!$A$139:$I$159,4,0)),0,VLOOKUP(A38,'Données projet'!$A$139:$I$159,4,0))</f>
        <v>9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9.5869455281879414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9.5869455281879414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137</v>
      </c>
      <c r="DM38" s="13">
        <f>VLOOKUP(A38,'Données projet'!$A$165:$I$185,9,0)</f>
        <v>7.8</v>
      </c>
      <c r="DN38" s="13">
        <f t="array" ref="DN38">INDEX(DM:DM,MIN(IF(ISNUMBER(DM38:DM234),ROW(DM38:DM234),"")))</f>
        <v>7.8</v>
      </c>
      <c r="DO38" s="13">
        <f>IF('Données projet'!$A$166&gt;35,DO37+DN38-DW37,IF(A38&lt;'Données projet'!$A$166,$DL$205^A38,IF(A38='Données projet'!$A$166,'Données projet'!$B$166,DO37+DN38-DW37)))</f>
        <v>137</v>
      </c>
      <c r="DP38" s="18">
        <f>DO38*VLOOKUP('Données projet'!$B$14,Paramètres!$A$1:$I$89,3,0)*VLOOKUP('Données projet'!$B$14,Paramètres!$A$1:$I$89,5,0)</f>
        <v>119.68320000000003</v>
      </c>
      <c r="DQ38" s="14">
        <f t="shared" si="43"/>
        <v>31.601099532596194</v>
      </c>
      <c r="DR38" s="22">
        <f t="shared" si="16"/>
        <v>263.48682168593842</v>
      </c>
      <c r="DS38" s="62">
        <f t="shared" si="17"/>
        <v>516.0802585200895</v>
      </c>
      <c r="DT38" s="62">
        <f ca="1">AVERAGE(OFFSET($DS$3,0,0,'Données projet'!$E$14+1,1))-AVERAGE(OFFSET($H$3,0,0,'Données projet'!$E$14+1,1))</f>
        <v>289.18543665577761</v>
      </c>
      <c r="DU38" s="62">
        <f t="shared" si="44"/>
        <v>291.40065947222843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25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9.692549483499505</v>
      </c>
      <c r="EC38" s="23">
        <f>EXP(-LN(2)/2)*EC37+(1-EXP(-LN(2)/2))/(LN(2)/2)*DW38*DZ38*VLOOKUP('Données projet'!$B$14,Paramètres!$A$1:$I$89,3,0)*0.475*44/12</f>
        <v>1.8502506735909838</v>
      </c>
      <c r="ED38" s="24">
        <f t="shared" si="18"/>
        <v>11.54280015709049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147</v>
      </c>
      <c r="EH38" s="13">
        <f>VLOOKUP(A38,'Données projet'!$A$191:$I$211,9,0)</f>
        <v>10.8</v>
      </c>
      <c r="EI38" s="13">
        <f t="array" ref="EI38">INDEX(EH:EH,MIN(IF(ISNUMBER(EH38:EH234),ROW(EH38:EH234),"")))</f>
        <v>10.8</v>
      </c>
      <c r="EJ38" s="13">
        <f>IF('Données projet'!$A$192&gt;35,EJ37+EI38-ER37,IF(A38&lt;'Données projet'!$A$192,$EG$205^A38,IF(A38='Données projet'!$A$192,'Données projet'!$B$192,EJ37+EI38-ER37)))</f>
        <v>147.00000000000006</v>
      </c>
      <c r="EK38" s="18">
        <f>EJ38*VLOOKUP('Données projet'!$B$15,Paramètres!$A$1:$I$89,3,0)*VLOOKUP('Données projet'!$B$15,Paramètres!$A$1:$I$89,5,0)</f>
        <v>149.05800000000008</v>
      </c>
      <c r="EL38" s="14">
        <f t="shared" si="45"/>
        <v>38.364434314370335</v>
      </c>
      <c r="EM38" s="22">
        <f t="shared" si="19"/>
        <v>326.42740643086182</v>
      </c>
      <c r="EN38" s="62">
        <f t="shared" si="20"/>
        <v>579.0208432650129</v>
      </c>
      <c r="EO38" s="62">
        <f ca="1">AVERAGE(OFFSET($EN$3,0,0,'Données projet'!$E$15+1,1))-AVERAGE(OFFSET($H$3,0,0,'Données projet'!$E$15+1,1))</f>
        <v>514.72748286045442</v>
      </c>
      <c r="EP38" s="62">
        <f t="shared" si="46"/>
        <v>322.28702110656116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8.9078132120039424</v>
      </c>
      <c r="EX38" s="23">
        <f>EXP(-LN(2)/2)*EX37+(1-EXP(-LN(2)/2))/(LN(2)/2)*ER38*EU38*VLOOKUP('Données projet'!$B$15,Paramètres!$A$1:$I$89,3,0)*0.475*44/12</f>
        <v>2.9538024966096836</v>
      </c>
      <c r="EY38" s="24">
        <f t="shared" si="21"/>
        <v>11.861615708613627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58.889119136586658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4.0999999999999996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15.033333333333331</v>
      </c>
      <c r="H39" s="70">
        <f t="shared" si="1"/>
        <v>196.53333333333333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70.794576398719499</v>
      </c>
      <c r="T39" s="62">
        <f t="shared" si="34"/>
        <v>328.91236364911629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1.680325607959933E-2</v>
      </c>
      <c r="AC39" s="24">
        <f t="shared" si="3"/>
        <v>1.680325607959933E-2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117.80496000000004</v>
      </c>
      <c r="AK39" s="14">
        <f t="shared" si="35"/>
        <v>31.162493487829593</v>
      </c>
      <c r="AL39" s="22">
        <f t="shared" si="4"/>
        <v>259.45164815796994</v>
      </c>
      <c r="AM39" s="62">
        <f t="shared" si="5"/>
        <v>512.75183111561819</v>
      </c>
      <c r="AN39" s="62">
        <f ca="1">AVERAGE(OFFSET($AM$3,0,0,'Données projet'!$E$10+1,1))-AVERAGE(OFFSET($H$3,0,0,'Données projet'!$E$10+1,1))</f>
        <v>466.75323833427217</v>
      </c>
      <c r="AO39" s="62">
        <f t="shared" si="36"/>
        <v>293.88550076209378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7.731157819911525</v>
      </c>
      <c r="AW39" s="23">
        <f>EXP(-LN(2)/2)*AW38+(1-EXP(-LN(2)/2))/(LN(2)/2)*AQ39*AT39*VLOOKUP('Données projet'!$B$10,Paramètres!$A$1:$I$89,3,0)*0.475*44/12</f>
        <v>1.8637218305697052</v>
      </c>
      <c r="AX39" s="23">
        <f t="shared" si="6"/>
        <v>9.5948796504812304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68.47741055388687</v>
      </c>
      <c r="BJ39" s="62">
        <f t="shared" si="38"/>
        <v>335.34467252166542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45.664598573231231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7.7661228577712224E-2</v>
      </c>
      <c r="BS39" s="24">
        <f t="shared" si="9"/>
        <v>45.742259801808942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12.625</v>
      </c>
      <c r="BY39" s="13">
        <f>IF('Données projet'!$A$114&gt;35,BY38+BX39-CG38,IF(A39&lt;'Données projet'!$A$114,$BV$205^A39,IF(A39='Données projet'!$A$114,'Données projet'!$B$114,BY38+BX39-CG38)))</f>
        <v>312.75000000000006</v>
      </c>
      <c r="BZ39" s="14">
        <f>BY39*VLOOKUP('Données projet'!$B$12,Paramètres!$A$1:$I$89,3,0)*VLOOKUP('Données projet'!$B$12,Paramètres!$A$1:$I$89,5,0)</f>
        <v>187.02450000000005</v>
      </c>
      <c r="CA39" s="14">
        <f t="shared" si="39"/>
        <v>46.881508940362963</v>
      </c>
      <c r="CB39" s="22">
        <f t="shared" si="10"/>
        <v>407.38629890446555</v>
      </c>
      <c r="CC39" s="62">
        <f t="shared" si="11"/>
        <v>660.68648186211374</v>
      </c>
      <c r="CD39" s="62">
        <f ca="1">AVERAGE(OFFSET($CC$3,0,0,'Données projet'!$E$12+1,1))-AVERAGE(OFFSET($H$3,0,0,'Données projet'!$E$12+1,1))</f>
        <v>211.76609132110815</v>
      </c>
      <c r="CE39" s="62">
        <f t="shared" si="40"/>
        <v>363.07965692095752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8.7714252597755493</v>
      </c>
      <c r="CL39" s="23">
        <f>EXP(-LN(2)/25)*CL38+(1-EXP(-LN(2)/25))/(LN(2)/25)*Calculateur!CG39*Calculateur!CI39*VLOOKUP('Données projet'!$B$12,Paramètres!$A$1:$I$89,3,0)*0.475*44/12</f>
        <v>4.6062254792616999</v>
      </c>
      <c r="CM39" s="23">
        <f>EXP(-LN(2)/2)*CM38+(1-EXP(-LN(2)/2))/(LN(2)/2)*CG39*CJ39*VLOOKUP('Données projet'!$B$12,Paramètres!$A$1:$I$89,3,0)*0.475*44/12</f>
        <v>0.29473924941227764</v>
      </c>
      <c r="CN39" s="24">
        <f t="shared" si="12"/>
        <v>13.672389988449527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6.2</v>
      </c>
      <c r="CT39" s="13">
        <f>IF('Données projet'!$A$140&gt;35,CT38+CS39-DB38,IF(A39&lt;'Données projet'!$A$140,$CQ$205^A39,IF(A39='Données projet'!$A$140,'Données projet'!$B$140,CT38+CS39-DB38)))</f>
        <v>264.2</v>
      </c>
      <c r="CU39" s="18">
        <f>CT39*VLOOKUP('Données projet'!$B$13,Paramètres!$A$1:$I$89,3,0)*VLOOKUP('Données projet'!$B$13,Paramètres!$A$1:$I$89,5,0)</f>
        <v>239.04816</v>
      </c>
      <c r="CV39" s="14">
        <f t="shared" si="41"/>
        <v>58.234690128947292</v>
      </c>
      <c r="CW39" s="22">
        <f t="shared" si="13"/>
        <v>517.76763064124987</v>
      </c>
      <c r="CX39" s="62">
        <f t="shared" si="14"/>
        <v>771.06781359889806</v>
      </c>
      <c r="CY39" s="62">
        <f ca="1">AVERAGE(OFFSET($CX$3,0,0,'Données projet'!$E$13+1,1))-AVERAGE(OFFSET($H$3,0,0,'Données projet'!$E$13+1,1))</f>
        <v>374.91250349988451</v>
      </c>
      <c r="CZ39" s="62">
        <f t="shared" si="42"/>
        <v>529.46825265662869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9.3989513738395587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9.3989513738395587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7.2</v>
      </c>
      <c r="DO39" s="13">
        <f>IF('Données projet'!$A$166&gt;35,DO38+DN39-DW38,IF(A39&lt;'Données projet'!$A$166,$DL$205^A39,IF(A39='Données projet'!$A$166,'Données projet'!$B$166,DO38+DN39-DW38)))</f>
        <v>119.19999999999999</v>
      </c>
      <c r="DP39" s="18">
        <f>DO39*VLOOKUP('Données projet'!$B$14,Paramètres!$A$1:$I$89,3,0)*VLOOKUP('Données projet'!$B$14,Paramètres!$A$1:$I$89,5,0)</f>
        <v>104.13311999999999</v>
      </c>
      <c r="DQ39" s="14">
        <f t="shared" si="43"/>
        <v>27.944323474595436</v>
      </c>
      <c r="DR39" s="22">
        <f t="shared" si="16"/>
        <v>230.0348807182537</v>
      </c>
      <c r="DS39" s="62">
        <f t="shared" si="17"/>
        <v>483.33506367590189</v>
      </c>
      <c r="DT39" s="62">
        <f ca="1">AVERAGE(OFFSET($DS$3,0,0,'Données projet'!$E$14+1,1))-AVERAGE(OFFSET($H$3,0,0,'Données projet'!$E$14+1,1))</f>
        <v>289.18543665577761</v>
      </c>
      <c r="DU39" s="62">
        <f t="shared" si="44"/>
        <v>291.40065947222843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9.4275062081641856</v>
      </c>
      <c r="EC39" s="23">
        <f>EXP(-LN(2)/2)*EC38+(1-EXP(-LN(2)/2))/(LN(2)/2)*DW39*DZ39*VLOOKUP('Données projet'!$B$14,Paramètres!$A$1:$I$89,3,0)*0.475*44/12</f>
        <v>1.3083247981911621</v>
      </c>
      <c r="ED39" s="24">
        <f t="shared" si="18"/>
        <v>10.735831006355347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11.2</v>
      </c>
      <c r="EJ39" s="13">
        <f>IF('Données projet'!$A$192&gt;35,EJ38+EI39-ER38,IF(A39&lt;'Données projet'!$A$192,$EG$205^A39,IF(A39='Données projet'!$A$192,'Données projet'!$B$192,EJ38+EI39-ER38)))</f>
        <v>130.20000000000005</v>
      </c>
      <c r="EK39" s="18">
        <f>EJ39*VLOOKUP('Données projet'!$B$15,Paramètres!$A$1:$I$89,3,0)*VLOOKUP('Données projet'!$B$15,Paramètres!$A$1:$I$89,5,0)</f>
        <v>132.02280000000007</v>
      </c>
      <c r="EL39" s="14">
        <f t="shared" si="45"/>
        <v>34.463348169992798</v>
      </c>
      <c r="EM39" s="22">
        <f t="shared" si="19"/>
        <v>289.96337472940422</v>
      </c>
      <c r="EN39" s="62">
        <f t="shared" si="20"/>
        <v>543.26355768705241</v>
      </c>
      <c r="EO39" s="62">
        <f ca="1">AVERAGE(OFFSET($EN$3,0,0,'Données projet'!$E$15+1,1))-AVERAGE(OFFSET($H$3,0,0,'Données projet'!$E$15+1,1))</f>
        <v>514.72748286045442</v>
      </c>
      <c r="EP39" s="62">
        <f t="shared" si="46"/>
        <v>322.28702110656116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8.6642285912801569</v>
      </c>
      <c r="EX39" s="23">
        <f>EXP(-LN(2)/2)*EX38+(1-EXP(-LN(2)/2))/(LN(2)/2)*ER39*EU39*VLOOKUP('Données projet'!$B$15,Paramètres!$A$1:$I$89,3,0)*0.475*44/12</f>
        <v>2.0886537756384613</v>
      </c>
      <c r="EY39" s="24">
        <f t="shared" si="21"/>
        <v>10.752882366918618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59.081868079358607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4.0999999999999996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15.033333333333331</v>
      </c>
      <c r="H40" s="70">
        <f t="shared" si="1"/>
        <v>196.53333333333333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70.794576398719499</v>
      </c>
      <c r="T40" s="62">
        <f t="shared" si="34"/>
        <v>328.91236364911629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1.1881696319898768E-2</v>
      </c>
      <c r="AC40" s="24">
        <f t="shared" si="3"/>
        <v>1.1881696319898768E-2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127.93872000000003</v>
      </c>
      <c r="AK40" s="14">
        <f t="shared" si="35"/>
        <v>33.519615889545641</v>
      </c>
      <c r="AL40" s="22">
        <f t="shared" si="4"/>
        <v>281.20660167429202</v>
      </c>
      <c r="AM40" s="62">
        <f t="shared" si="5"/>
        <v>535.20127029024229</v>
      </c>
      <c r="AN40" s="62">
        <f ca="1">AVERAGE(OFFSET($AM$3,0,0,'Données projet'!$E$10+1,1))-AVERAGE(OFFSET($H$3,0,0,'Données projet'!$E$10+1,1))</f>
        <v>466.75323833427217</v>
      </c>
      <c r="AO40" s="62">
        <f t="shared" si="36"/>
        <v>293.88550076209378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7.5197489027621245</v>
      </c>
      <c r="AW40" s="23">
        <f>EXP(-LN(2)/2)*AW39+(1-EXP(-LN(2)/2))/(LN(2)/2)*AQ40*AT40*VLOOKUP('Données projet'!$B$10,Paramètres!$A$1:$I$89,3,0)*0.475*44/12</f>
        <v>1.3178503446412444</v>
      </c>
      <c r="AX40" s="23">
        <f t="shared" si="6"/>
        <v>8.837599247403368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68.47741055388687</v>
      </c>
      <c r="BJ40" s="62">
        <f t="shared" si="38"/>
        <v>335.34467252166542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44.769143647865079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5.491478136257881E-2</v>
      </c>
      <c r="BS40" s="24">
        <f t="shared" si="9"/>
        <v>44.824058429227655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12.625</v>
      </c>
      <c r="BY40" s="13">
        <f>IF('Données projet'!$A$114&gt;35,BY39+BX40-CG39,IF(A40&lt;'Données projet'!$A$114,$BV$205^A40,IF(A40='Données projet'!$A$114,'Données projet'!$B$114,BY39+BX40-CG39)))</f>
        <v>325.37500000000006</v>
      </c>
      <c r="BZ40" s="14">
        <f>BY40*VLOOKUP('Données projet'!$B$12,Paramètres!$A$1:$I$89,3,0)*VLOOKUP('Données projet'!$B$12,Paramètres!$A$1:$I$89,5,0)</f>
        <v>194.57425000000006</v>
      </c>
      <c r="CA40" s="14">
        <f t="shared" si="39"/>
        <v>48.54985011520143</v>
      </c>
      <c r="CB40" s="22">
        <f t="shared" si="10"/>
        <v>423.44114103397595</v>
      </c>
      <c r="CC40" s="62">
        <f t="shared" si="11"/>
        <v>677.43580964992623</v>
      </c>
      <c r="CD40" s="62">
        <f ca="1">AVERAGE(OFFSET($CC$3,0,0,'Données projet'!$E$12+1,1))-AVERAGE(OFFSET($H$3,0,0,'Données projet'!$E$12+1,1))</f>
        <v>211.76609132110815</v>
      </c>
      <c r="CE40" s="62">
        <f t="shared" si="40"/>
        <v>363.07965692095752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8.5994229604724861</v>
      </c>
      <c r="CL40" s="23">
        <f>EXP(-LN(2)/25)*CL39+(1-EXP(-LN(2)/25))/(LN(2)/25)*Calculateur!CG40*Calculateur!CI40*VLOOKUP('Données projet'!$B$12,Paramètres!$A$1:$I$89,3,0)*0.475*44/12</f>
        <v>4.4802680013004181</v>
      </c>
      <c r="CM40" s="23">
        <f>EXP(-LN(2)/2)*CM39+(1-EXP(-LN(2)/2))/(LN(2)/2)*CG40*CJ40*VLOOKUP('Données projet'!$B$12,Paramètres!$A$1:$I$89,3,0)*0.475*44/12</f>
        <v>0.20841212194125466</v>
      </c>
      <c r="CN40" s="24">
        <f t="shared" si="12"/>
        <v>13.288103083714159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6.2</v>
      </c>
      <c r="CT40" s="13">
        <f>IF('Données projet'!$A$140&gt;35,CT39+CS40-DB39,IF(A40&lt;'Données projet'!$A$140,$CQ$205^A40,IF(A40='Données projet'!$A$140,'Données projet'!$B$140,CT39+CS40-DB39)))</f>
        <v>270.39999999999998</v>
      </c>
      <c r="CU40" s="18">
        <f>CT40*VLOOKUP('Données projet'!$B$13,Paramètres!$A$1:$I$89,3,0)*VLOOKUP('Données projet'!$B$13,Paramètres!$A$1:$I$89,5,0)</f>
        <v>244.65791999999996</v>
      </c>
      <c r="CV40" s="14">
        <f t="shared" si="41"/>
        <v>59.44058075210868</v>
      </c>
      <c r="CW40" s="22">
        <f t="shared" si="13"/>
        <v>529.6382221432558</v>
      </c>
      <c r="CX40" s="62">
        <f t="shared" si="14"/>
        <v>783.63289075920613</v>
      </c>
      <c r="CY40" s="62">
        <f ca="1">AVERAGE(OFFSET($CX$3,0,0,'Données projet'!$E$13+1,1))-AVERAGE(OFFSET($H$3,0,0,'Données projet'!$E$13+1,1))</f>
        <v>374.91250349988451</v>
      </c>
      <c r="CZ40" s="62">
        <f t="shared" si="42"/>
        <v>529.46825265662869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9.2146436701928369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9.2146436701928369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7.2</v>
      </c>
      <c r="DO40" s="13">
        <f>IF('Données projet'!$A$166&gt;35,DO39+DN40-DW39,IF(A40&lt;'Données projet'!$A$166,$DL$205^A40,IF(A40='Données projet'!$A$166,'Données projet'!$B$166,DO39+DN40-DW39)))</f>
        <v>126.39999999999999</v>
      </c>
      <c r="DP40" s="18">
        <f>DO40*VLOOKUP('Données projet'!$B$14,Paramètres!$A$1:$I$89,3,0)*VLOOKUP('Données projet'!$B$14,Paramètres!$A$1:$I$89,5,0)</f>
        <v>110.42304000000001</v>
      </c>
      <c r="DQ40" s="14">
        <f t="shared" si="43"/>
        <v>29.430633818872195</v>
      </c>
      <c r="DR40" s="22">
        <f t="shared" si="16"/>
        <v>243.57848190120242</v>
      </c>
      <c r="DS40" s="62">
        <f t="shared" si="17"/>
        <v>497.57315051715273</v>
      </c>
      <c r="DT40" s="62">
        <f ca="1">AVERAGE(OFFSET($DS$3,0,0,'Données projet'!$E$14+1,1))-AVERAGE(OFFSET($H$3,0,0,'Données projet'!$E$14+1,1))</f>
        <v>289.18543665577761</v>
      </c>
      <c r="DU40" s="62">
        <f t="shared" si="44"/>
        <v>291.40065947222843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9.1697105551309317</v>
      </c>
      <c r="EC40" s="23">
        <f>EXP(-LN(2)/2)*EC39+(1-EXP(-LN(2)/2))/(LN(2)/2)*DW40*DZ40*VLOOKUP('Données projet'!$B$14,Paramètres!$A$1:$I$89,3,0)*0.475*44/12</f>
        <v>0.92512533679549203</v>
      </c>
      <c r="ED40" s="24">
        <f t="shared" si="18"/>
        <v>10.094835891926424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11.2</v>
      </c>
      <c r="EJ40" s="13">
        <f>IF('Données projet'!$A$192&gt;35,EJ39+EI40-ER39,IF(A40&lt;'Données projet'!$A$192,$EG$205^A40,IF(A40='Données projet'!$A$192,'Données projet'!$B$192,EJ39+EI40-ER39)))</f>
        <v>141.40000000000003</v>
      </c>
      <c r="EK40" s="18">
        <f>EJ40*VLOOKUP('Données projet'!$B$15,Paramètres!$A$1:$I$89,3,0)*VLOOKUP('Données projet'!$B$15,Paramètres!$A$1:$I$89,5,0)</f>
        <v>143.37960000000004</v>
      </c>
      <c r="EL40" s="14">
        <f t="shared" si="45"/>
        <v>37.070146308317469</v>
      </c>
      <c r="EM40" s="22">
        <f t="shared" si="19"/>
        <v>314.28330815365302</v>
      </c>
      <c r="EN40" s="62">
        <f t="shared" si="20"/>
        <v>568.27797676960336</v>
      </c>
      <c r="EO40" s="62">
        <f ca="1">AVERAGE(OFFSET($EN$3,0,0,'Données projet'!$E$15+1,1))-AVERAGE(OFFSET($H$3,0,0,'Données projet'!$E$15+1,1))</f>
        <v>514.72748286045442</v>
      </c>
      <c r="EP40" s="62">
        <f t="shared" si="46"/>
        <v>322.28702110656116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8.427304804819622</v>
      </c>
      <c r="EX40" s="23">
        <f>EXP(-LN(2)/2)*EX39+(1-EXP(-LN(2)/2))/(LN(2)/2)*ER40*EU40*VLOOKUP('Données projet'!$B$15,Paramètres!$A$1:$I$89,3,0)*0.475*44/12</f>
        <v>1.4769012483048418</v>
      </c>
      <c r="EY40" s="24">
        <f t="shared" si="21"/>
        <v>9.9042060531244633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59.271273258895533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4.0999999999999996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15.033333333333331</v>
      </c>
      <c r="H41" s="70">
        <f t="shared" si="1"/>
        <v>196.53333333333333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70.794576398719499</v>
      </c>
      <c r="T41" s="62">
        <f t="shared" si="34"/>
        <v>328.91236364911629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8.4016280397996648E-3</v>
      </c>
      <c r="AC41" s="24">
        <f t="shared" si="3"/>
        <v>8.4016280397996648E-3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138.07248000000001</v>
      </c>
      <c r="AK41" s="14">
        <f t="shared" si="35"/>
        <v>35.85508207677799</v>
      </c>
      <c r="AL41" s="22">
        <f t="shared" si="4"/>
        <v>302.9238372837217</v>
      </c>
      <c r="AM41" s="62">
        <f t="shared" si="5"/>
        <v>557.60094378443989</v>
      </c>
      <c r="AN41" s="62">
        <f ca="1">AVERAGE(OFFSET($AM$3,0,0,'Données projet'!$E$10+1,1))-AVERAGE(OFFSET($H$3,0,0,'Données projet'!$E$10+1,1))</f>
        <v>466.75323833427217</v>
      </c>
      <c r="AO41" s="62">
        <f t="shared" si="36"/>
        <v>293.88550076209378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7.3141209735696862</v>
      </c>
      <c r="AW41" s="23">
        <f>EXP(-LN(2)/2)*AW40+(1-EXP(-LN(2)/2))/(LN(2)/2)*AQ41*AT41*VLOOKUP('Données projet'!$B$10,Paramètres!$A$1:$I$89,3,0)*0.475*44/12</f>
        <v>0.93186091528485271</v>
      </c>
      <c r="AX41" s="23">
        <f t="shared" si="6"/>
        <v>8.2459818888545389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68.47741055388687</v>
      </c>
      <c r="BJ41" s="62">
        <f t="shared" si="38"/>
        <v>335.34467252166542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43.891248047411779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3.8830614288856112E-2</v>
      </c>
      <c r="BS41" s="24">
        <f t="shared" si="9"/>
        <v>43.930078661700634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>
        <f>VLOOKUP(A41,'Données projet'!$A$113:$I$133,2,0)</f>
        <v>338</v>
      </c>
      <c r="BW41" s="13">
        <f>VLOOKUP(A41,'Données projet'!$A$113:$I$133,9,0)</f>
        <v>12.625</v>
      </c>
      <c r="BX41" s="13">
        <f t="array" ref="BX41">INDEX(BW:BW,MIN(IF(ISNUMBER(BW41:BW237),ROW(BW41:BW237),"")))</f>
        <v>12.625</v>
      </c>
      <c r="BY41" s="13">
        <f>IF('Données projet'!$A$114&gt;35,BY40+BX41-CG40,IF(A41&lt;'Données projet'!$A$114,$BV$205^A41,IF(A41='Données projet'!$A$114,'Données projet'!$B$114,BY40+BX41-CG40)))</f>
        <v>338.00000000000006</v>
      </c>
      <c r="BZ41" s="14">
        <f>BY41*VLOOKUP('Données projet'!$B$12,Paramètres!$A$1:$I$89,3,0)*VLOOKUP('Données projet'!$B$12,Paramètres!$A$1:$I$89,5,0)</f>
        <v>202.12400000000008</v>
      </c>
      <c r="CA41" s="14">
        <f t="shared" si="39"/>
        <v>50.210671256169846</v>
      </c>
      <c r="CB41" s="22">
        <f t="shared" si="10"/>
        <v>439.48288577116256</v>
      </c>
      <c r="CC41" s="62">
        <f t="shared" si="11"/>
        <v>694.1599922718807</v>
      </c>
      <c r="CD41" s="62">
        <f ca="1">AVERAGE(OFFSET($CC$3,0,0,'Données projet'!$E$12+1,1))-AVERAGE(OFFSET($H$3,0,0,'Données projet'!$E$12+1,1))</f>
        <v>211.76609132110815</v>
      </c>
      <c r="CE41" s="62">
        <f t="shared" si="40"/>
        <v>363.07965692095752</v>
      </c>
      <c r="CF41" s="16">
        <f>IF(ISNA(VLOOKUP(A41,'Données projet'!$A$113:$I$133,3,0)),0,VLOOKUP(A41,'Données projet'!$A$113:$I$133,3,0))</f>
        <v>5</v>
      </c>
      <c r="CG41" s="16">
        <f>IF(ISNA(VLOOKUP(A41,'Données projet'!$A$113:$I$133,4,0)),0,VLOOKUP(A41,'Données projet'!$A$113:$I$133,4,0))</f>
        <v>338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8.430793521347713</v>
      </c>
      <c r="CL41" s="23">
        <f>EXP(-LN(2)/25)*CL40+(1-EXP(-LN(2)/25))/(LN(2)/25)*Calculateur!CG41*Calculateur!CI41*VLOOKUP('Données projet'!$B$12,Paramètres!$A$1:$I$89,3,0)*0.475*44/12</f>
        <v>4.3577548371978034</v>
      </c>
      <c r="CM41" s="23">
        <f>EXP(-LN(2)/2)*CM40+(1-EXP(-LN(2)/2))/(LN(2)/2)*CG41*CJ41*VLOOKUP('Données projet'!$B$12,Paramètres!$A$1:$I$89,3,0)*0.475*44/12</f>
        <v>0.14736962470613882</v>
      </c>
      <c r="CN41" s="24">
        <f t="shared" si="12"/>
        <v>12.935917983251654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6.2</v>
      </c>
      <c r="CT41" s="13">
        <f>IF('Données projet'!$A$140&gt;35,CT40+CS41-DB40,IF(A41&lt;'Données projet'!$A$140,$CQ$205^A41,IF(A41='Données projet'!$A$140,'Données projet'!$B$140,CT40+CS41-DB40)))</f>
        <v>276.59999999999997</v>
      </c>
      <c r="CU41" s="18">
        <f>CT41*VLOOKUP('Données projet'!$B$13,Paramètres!$A$1:$I$89,3,0)*VLOOKUP('Données projet'!$B$13,Paramètres!$A$1:$I$89,5,0)</f>
        <v>250.26767999999996</v>
      </c>
      <c r="CV41" s="14">
        <f t="shared" si="41"/>
        <v>60.643256925083442</v>
      </c>
      <c r="CW41" s="22">
        <f t="shared" si="13"/>
        <v>541.50321514452014</v>
      </c>
      <c r="CX41" s="62">
        <f t="shared" si="14"/>
        <v>796.18032164523834</v>
      </c>
      <c r="CY41" s="62">
        <f ca="1">AVERAGE(OFFSET($CX$3,0,0,'Données projet'!$E$13+1,1))-AVERAGE(OFFSET($H$3,0,0,'Données projet'!$E$13+1,1))</f>
        <v>374.91250349988451</v>
      </c>
      <c r="CZ41" s="62">
        <f t="shared" si="42"/>
        <v>529.46825265662869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9.0339501281980272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9.0339501281980272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7.2</v>
      </c>
      <c r="DO41" s="13">
        <f>IF('Données projet'!$A$166&gt;35,DO40+DN41-DW40,IF(A41&lt;'Données projet'!$A$166,$DL$205^A41,IF(A41='Données projet'!$A$166,'Données projet'!$B$166,DO40+DN41-DW40)))</f>
        <v>133.6</v>
      </c>
      <c r="DP41" s="18">
        <f>DO41*VLOOKUP('Données projet'!$B$14,Paramètres!$A$1:$I$89,3,0)*VLOOKUP('Données projet'!$B$14,Paramètres!$A$1:$I$89,5,0)</f>
        <v>116.71296000000001</v>
      </c>
      <c r="DQ41" s="14">
        <f t="shared" si="43"/>
        <v>30.90711634982064</v>
      </c>
      <c r="DR41" s="22">
        <f t="shared" si="16"/>
        <v>257.10496630927094</v>
      </c>
      <c r="DS41" s="62">
        <f t="shared" si="17"/>
        <v>511.78207280998913</v>
      </c>
      <c r="DT41" s="62">
        <f ca="1">AVERAGE(OFFSET($DS$3,0,0,'Données projet'!$E$14+1,1))-AVERAGE(OFFSET($H$3,0,0,'Données projet'!$E$14+1,1))</f>
        <v>289.18543665577761</v>
      </c>
      <c r="DU41" s="62">
        <f t="shared" si="44"/>
        <v>291.40065947222843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8.9189643377867558</v>
      </c>
      <c r="EC41" s="23">
        <f>EXP(-LN(2)/2)*EC40+(1-EXP(-LN(2)/2))/(LN(2)/2)*DW41*DZ41*VLOOKUP('Données projet'!$B$14,Paramètres!$A$1:$I$89,3,0)*0.475*44/12</f>
        <v>0.65416239909558116</v>
      </c>
      <c r="ED41" s="24">
        <f t="shared" si="18"/>
        <v>9.5731267368823367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11.2</v>
      </c>
      <c r="EJ41" s="13">
        <f>IF('Données projet'!$A$192&gt;35,EJ40+EI41-ER40,IF(A41&lt;'Données projet'!$A$192,$EG$205^A41,IF(A41='Données projet'!$A$192,'Données projet'!$B$192,EJ40+EI41-ER40)))</f>
        <v>152.60000000000002</v>
      </c>
      <c r="EK41" s="18">
        <f>EJ41*VLOOKUP('Données projet'!$B$15,Paramètres!$A$1:$I$89,3,0)*VLOOKUP('Données projet'!$B$15,Paramètres!$A$1:$I$89,5,0)</f>
        <v>154.73640000000003</v>
      </c>
      <c r="EL41" s="14">
        <f t="shared" si="45"/>
        <v>39.652994320183701</v>
      </c>
      <c r="EM41" s="22">
        <f t="shared" si="19"/>
        <v>338.56152844098665</v>
      </c>
      <c r="EN41" s="62">
        <f t="shared" si="20"/>
        <v>593.23863494170485</v>
      </c>
      <c r="EO41" s="62">
        <f ca="1">AVERAGE(OFFSET($EN$3,0,0,'Données projet'!$E$15+1,1))-AVERAGE(OFFSET($H$3,0,0,'Données projet'!$E$15+1,1))</f>
        <v>514.72748286045442</v>
      </c>
      <c r="EP41" s="62">
        <f t="shared" si="46"/>
        <v>322.28702110656116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8.1968597117591298</v>
      </c>
      <c r="EX41" s="23">
        <f>EXP(-LN(2)/2)*EX40+(1-EXP(-LN(2)/2))/(LN(2)/2)*ER41*EU41*VLOOKUP('Données projet'!$B$15,Paramètres!$A$1:$I$89,3,0)*0.475*44/12</f>
        <v>1.0443268878192307</v>
      </c>
      <c r="EY41" s="24">
        <f t="shared" si="21"/>
        <v>9.2411865995783611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59.457392682014046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4.0999999999999996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15.033333333333331</v>
      </c>
      <c r="H42" s="70">
        <f t="shared" si="1"/>
        <v>196.53333333333333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70.794576398719499</v>
      </c>
      <c r="T42" s="62">
        <f t="shared" si="34"/>
        <v>328.91236364911629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5.9408481599493839E-3</v>
      </c>
      <c r="AC42" s="24">
        <f t="shared" si="3"/>
        <v>5.9408481599493839E-3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148.20624000000001</v>
      </c>
      <c r="AK42" s="14">
        <f t="shared" si="35"/>
        <v>38.170662245893794</v>
      </c>
      <c r="AL42" s="22">
        <f t="shared" si="4"/>
        <v>324.60643807826506</v>
      </c>
      <c r="AM42" s="62">
        <f t="shared" si="5"/>
        <v>579.95414369215291</v>
      </c>
      <c r="AN42" s="62">
        <f ca="1">AVERAGE(OFFSET($AM$3,0,0,'Données projet'!$E$10+1,1))-AVERAGE(OFFSET($H$3,0,0,'Données projet'!$E$10+1,1))</f>
        <v>466.75323833427217</v>
      </c>
      <c r="AO42" s="62">
        <f t="shared" si="36"/>
        <v>293.88550076209378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7.1141159509145178</v>
      </c>
      <c r="AW42" s="23">
        <f>EXP(-LN(2)/2)*AW41+(1-EXP(-LN(2)/2))/(LN(2)/2)*AQ42*AT42*VLOOKUP('Données projet'!$B$10,Paramètres!$A$1:$I$89,3,0)*0.475*44/12</f>
        <v>0.65892517232062231</v>
      </c>
      <c r="AX42" s="23">
        <f t="shared" si="6"/>
        <v>7.7730411232351404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68.47741055388687</v>
      </c>
      <c r="BJ42" s="62">
        <f t="shared" si="38"/>
        <v>335.34467252166542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43.030567444219926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2.7457390681289405E-2</v>
      </c>
      <c r="BS42" s="24">
        <f t="shared" si="9"/>
        <v>43.058024834901218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5.6843418860808015E-14</v>
      </c>
      <c r="BZ42" s="14">
        <f>BY42*VLOOKUP('Données projet'!$B$12,Paramètres!$A$1:$I$89,3,0)*VLOOKUP('Données projet'!$B$12,Paramètres!$A$1:$I$89,5,0)</f>
        <v>3.3992364478763198E-14</v>
      </c>
      <c r="CA42" s="14">
        <f t="shared" si="39"/>
        <v>5.790027782444094E-13</v>
      </c>
      <c r="CB42" s="22">
        <f t="shared" si="10"/>
        <v>1.0676332069095257E-12</v>
      </c>
      <c r="CC42" s="62">
        <f t="shared" si="11"/>
        <v>255.34770561388891</v>
      </c>
      <c r="CD42" s="62">
        <f ca="1">AVERAGE(OFFSET($CC$3,0,0,'Données projet'!$E$12+1,1))-AVERAGE(OFFSET($H$3,0,0,'Données projet'!$E$12+1,1))</f>
        <v>211.76609132110815</v>
      </c>
      <c r="CE42" s="62">
        <f t="shared" si="40"/>
        <v>363.07965692095752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8.2654708026703752</v>
      </c>
      <c r="CL42" s="23">
        <f>EXP(-LN(2)/25)*CL41+(1-EXP(-LN(2)/25))/(LN(2)/25)*Calculateur!CG42*Calculateur!CI42*VLOOKUP('Données projet'!$B$12,Paramètres!$A$1:$I$89,3,0)*0.475*44/12</f>
        <v>4.2385918020102622</v>
      </c>
      <c r="CM42" s="23">
        <f>EXP(-LN(2)/2)*CM41+(1-EXP(-LN(2)/2))/(LN(2)/2)*CG42*CJ42*VLOOKUP('Données projet'!$B$12,Paramètres!$A$1:$I$89,3,0)*0.475*44/12</f>
        <v>0.10420606097062733</v>
      </c>
      <c r="CN42" s="24">
        <f t="shared" si="12"/>
        <v>12.608268665651265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6.2</v>
      </c>
      <c r="CT42" s="13">
        <f>IF('Données projet'!$A$140&gt;35,CT41+CS42-DB41,IF(A42&lt;'Données projet'!$A$140,$CQ$205^A42,IF(A42='Données projet'!$A$140,'Données projet'!$B$140,CT41+CS42-DB41)))</f>
        <v>282.79999999999995</v>
      </c>
      <c r="CU42" s="18">
        <f>CT42*VLOOKUP('Données projet'!$B$13,Paramètres!$A$1:$I$89,3,0)*VLOOKUP('Données projet'!$B$13,Paramètres!$A$1:$I$89,5,0)</f>
        <v>255.87743999999998</v>
      </c>
      <c r="CV42" s="14">
        <f t="shared" si="41"/>
        <v>61.842798995505326</v>
      </c>
      <c r="CW42" s="22">
        <f t="shared" si="13"/>
        <v>553.36274958383854</v>
      </c>
      <c r="CX42" s="62">
        <f t="shared" si="14"/>
        <v>808.71045519772633</v>
      </c>
      <c r="CY42" s="62">
        <f ca="1">AVERAGE(OFFSET($CX$3,0,0,'Données projet'!$E$13+1,1))-AVERAGE(OFFSET($H$3,0,0,'Données projet'!$E$13+1,1))</f>
        <v>374.91250349988451</v>
      </c>
      <c r="CZ42" s="62">
        <f t="shared" si="42"/>
        <v>529.46825265662869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8.8567998763495588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8.8567998763495588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7.2</v>
      </c>
      <c r="DO42" s="13">
        <f>IF('Données projet'!$A$166&gt;35,DO41+DN42-DW41,IF(A42&lt;'Données projet'!$A$166,$DL$205^A42,IF(A42='Données projet'!$A$166,'Données projet'!$B$166,DO41+DN42-DW41)))</f>
        <v>140.79999999999998</v>
      </c>
      <c r="DP42" s="18">
        <f>DO42*VLOOKUP('Données projet'!$B$14,Paramètres!$A$1:$I$89,3,0)*VLOOKUP('Données projet'!$B$14,Paramètres!$A$1:$I$89,5,0)</f>
        <v>123.00288</v>
      </c>
      <c r="DQ42" s="14">
        <f t="shared" si="43"/>
        <v>32.374361095906167</v>
      </c>
      <c r="DR42" s="22">
        <f t="shared" si="16"/>
        <v>270.61536157536995</v>
      </c>
      <c r="DS42" s="62">
        <f t="shared" si="17"/>
        <v>525.9630671892578</v>
      </c>
      <c r="DT42" s="62">
        <f ca="1">AVERAGE(OFFSET($DS$3,0,0,'Données projet'!$E$14+1,1))-AVERAGE(OFFSET($H$3,0,0,'Données projet'!$E$14+1,1))</f>
        <v>289.18543665577761</v>
      </c>
      <c r="DU42" s="62">
        <f t="shared" si="44"/>
        <v>291.40065947222843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8.6750747889420268</v>
      </c>
      <c r="EC42" s="23">
        <f>EXP(-LN(2)/2)*EC41+(1-EXP(-LN(2)/2))/(LN(2)/2)*DW42*DZ42*VLOOKUP('Données projet'!$B$14,Paramètres!$A$1:$I$89,3,0)*0.475*44/12</f>
        <v>0.46256266839774612</v>
      </c>
      <c r="ED42" s="24">
        <f t="shared" si="18"/>
        <v>9.137637457339773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11.2</v>
      </c>
      <c r="EJ42" s="13">
        <f>IF('Données projet'!$A$192&gt;35,EJ41+EI42-ER41,IF(A42&lt;'Données projet'!$A$192,$EG$205^A42,IF(A42='Données projet'!$A$192,'Données projet'!$B$192,EJ41+EI42-ER41)))</f>
        <v>163.80000000000001</v>
      </c>
      <c r="EK42" s="18">
        <f>EJ42*VLOOKUP('Données projet'!$B$15,Paramètres!$A$1:$I$89,3,0)*VLOOKUP('Données projet'!$B$15,Paramètres!$A$1:$I$89,5,0)</f>
        <v>166.09320000000002</v>
      </c>
      <c r="EL42" s="14">
        <f t="shared" si="45"/>
        <v>42.213849908165905</v>
      </c>
      <c r="EM42" s="22">
        <f t="shared" si="19"/>
        <v>362.80144525672227</v>
      </c>
      <c r="EN42" s="62">
        <f t="shared" si="20"/>
        <v>618.14915087061013</v>
      </c>
      <c r="EO42" s="62">
        <f ca="1">AVERAGE(OFFSET($EN$3,0,0,'Données projet'!$E$15+1,1))-AVERAGE(OFFSET($H$3,0,0,'Données projet'!$E$15+1,1))</f>
        <v>514.72748286045442</v>
      </c>
      <c r="EP42" s="62">
        <f t="shared" si="46"/>
        <v>322.28702110656116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7.9727161518869583</v>
      </c>
      <c r="EX42" s="23">
        <f>EXP(-LN(2)/2)*EX41+(1-EXP(-LN(2)/2))/(LN(2)/2)*ER42*EU42*VLOOKUP('Données projet'!$B$15,Paramètres!$A$1:$I$89,3,0)*0.475*44/12</f>
        <v>0.73845062415242091</v>
      </c>
      <c r="EY42" s="24">
        <f t="shared" si="21"/>
        <v>8.7111667760393789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59.640283349242139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4.0999999999999996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15.033333333333331</v>
      </c>
      <c r="H43" s="70">
        <f t="shared" si="1"/>
        <v>196.53333333333333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70.794576398719499</v>
      </c>
      <c r="T43" s="62">
        <f t="shared" si="34"/>
        <v>328.91236364911629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4.2008140198998324E-3</v>
      </c>
      <c r="AC43" s="24">
        <f t="shared" si="3"/>
        <v>4.2008140198998324E-3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158.34</v>
      </c>
      <c r="AK43" s="14">
        <f t="shared" si="35"/>
        <v>40.467870812652819</v>
      </c>
      <c r="AL43" s="22">
        <f t="shared" si="4"/>
        <v>346.25704166537031</v>
      </c>
      <c r="AM43" s="62">
        <f t="shared" si="5"/>
        <v>602.26371299704931</v>
      </c>
      <c r="AN43" s="62">
        <f ca="1">AVERAGE(OFFSET($AM$3,0,0,'Données projet'!$E$10+1,1))-AVERAGE(OFFSET($H$3,0,0,'Données projet'!$E$10+1,1))</f>
        <v>466.75323833427217</v>
      </c>
      <c r="AO43" s="62">
        <f t="shared" si="36"/>
        <v>293.88550076209378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6.9195800761216617</v>
      </c>
      <c r="AW43" s="23">
        <f>EXP(-LN(2)/2)*AW42+(1-EXP(-LN(2)/2))/(LN(2)/2)*AQ43*AT43*VLOOKUP('Données projet'!$B$10,Paramètres!$A$1:$I$89,3,0)*0.475*44/12</f>
        <v>0.46593045764242641</v>
      </c>
      <c r="AX43" s="23">
        <f t="shared" si="6"/>
        <v>7.3855105337640881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68.47741055388687</v>
      </c>
      <c r="BJ43" s="62">
        <f t="shared" si="38"/>
        <v>335.34467252166542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42.18676426269333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1.9415307144428056E-2</v>
      </c>
      <c r="BS43" s="24">
        <f t="shared" si="9"/>
        <v>42.206179569837758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5.6843418860808015E-14</v>
      </c>
      <c r="BZ43" s="14">
        <f>BY43*VLOOKUP('Données projet'!$B$12,Paramètres!$A$1:$I$89,3,0)*VLOOKUP('Données projet'!$B$12,Paramètres!$A$1:$I$89,5,0)</f>
        <v>3.3992364478763198E-14</v>
      </c>
      <c r="CA43" s="14">
        <f t="shared" si="39"/>
        <v>5.790027782444094E-13</v>
      </c>
      <c r="CB43" s="22">
        <f t="shared" si="10"/>
        <v>1.0676332069095257E-12</v>
      </c>
      <c r="CC43" s="62">
        <f t="shared" si="11"/>
        <v>256.00667133168008</v>
      </c>
      <c r="CD43" s="62">
        <f ca="1">AVERAGE(OFFSET($CC$3,0,0,'Données projet'!$E$12+1,1))-AVERAGE(OFFSET($H$3,0,0,'Données projet'!$E$12+1,1))</f>
        <v>211.76609132110815</v>
      </c>
      <c r="CE43" s="62">
        <f t="shared" si="40"/>
        <v>363.07965692095752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8.1033899616693983</v>
      </c>
      <c r="CL43" s="23">
        <f>EXP(-LN(2)/25)*CL42+(1-EXP(-LN(2)/25))/(LN(2)/25)*Calculateur!CG43*Calculateur!CI43*VLOOKUP('Données projet'!$B$12,Paramètres!$A$1:$I$89,3,0)*0.475*44/12</f>
        <v>4.1226872862864363</v>
      </c>
      <c r="CM43" s="23">
        <f>EXP(-LN(2)/2)*CM42+(1-EXP(-LN(2)/2))/(LN(2)/2)*CG43*CJ43*VLOOKUP('Données projet'!$B$12,Paramètres!$A$1:$I$89,3,0)*0.475*44/12</f>
        <v>7.3684812353069409E-2</v>
      </c>
      <c r="CN43" s="24">
        <f t="shared" si="12"/>
        <v>12.299762060308906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289</v>
      </c>
      <c r="CR43" s="13">
        <f>VLOOKUP(A43,'Données projet'!$A$139:$I$159,9,0)</f>
        <v>6.2</v>
      </c>
      <c r="CS43" s="13">
        <f t="array" ref="CS43">INDEX(CR:CR,MIN(IF(ISNUMBER(CR43:CR239),ROW(CR43:CR239),"")))</f>
        <v>6.2</v>
      </c>
      <c r="CT43" s="13">
        <f>IF('Données projet'!$A$140&gt;35,CT42+CS43-DB42,IF(A43&lt;'Données projet'!$A$140,$CQ$205^A43,IF(A43='Données projet'!$A$140,'Données projet'!$B$140,CT42+CS43-DB42)))</f>
        <v>288.99999999999994</v>
      </c>
      <c r="CU43" s="18">
        <f>CT43*VLOOKUP('Données projet'!$B$13,Paramètres!$A$1:$I$89,3,0)*VLOOKUP('Données projet'!$B$13,Paramètres!$A$1:$I$89,5,0)</f>
        <v>261.48719999999992</v>
      </c>
      <c r="CV43" s="14">
        <f t="shared" si="41"/>
        <v>63.039283586802391</v>
      </c>
      <c r="CW43" s="22">
        <f t="shared" si="13"/>
        <v>565.21695891368074</v>
      </c>
      <c r="CX43" s="62">
        <f t="shared" si="14"/>
        <v>821.2236302453598</v>
      </c>
      <c r="CY43" s="62">
        <f ca="1">AVERAGE(OFFSET($CX$3,0,0,'Données projet'!$E$13+1,1))-AVERAGE(OFFSET($H$3,0,0,'Données projet'!$E$13+1,1))</f>
        <v>374.91250349988451</v>
      </c>
      <c r="CZ43" s="62">
        <f t="shared" si="42"/>
        <v>529.46825265662869</v>
      </c>
      <c r="DA43" s="16">
        <f>IF(ISNA(VLOOKUP(A43,'Données projet'!$A$139:$I$159,3,0)),0,VLOOKUP(A43,'Données projet'!$A$139:$I$159,3,0))</f>
        <v>8</v>
      </c>
      <c r="DB43" s="16">
        <f>IF(ISNA(VLOOKUP(A43,'Données projet'!$A$139:$I$159,4,0)),0,VLOOKUP(A43,'Données projet'!$A$139:$I$159,4,0))</f>
        <v>7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8.6831234328888538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8.6831234328888538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148</v>
      </c>
      <c r="DM43" s="13">
        <f>VLOOKUP(A43,'Données projet'!$A$165:$I$185,9,0)</f>
        <v>7.2</v>
      </c>
      <c r="DN43" s="13">
        <f t="array" ref="DN43">INDEX(DM:DM,MIN(IF(ISNUMBER(DM43:DM239),ROW(DM43:DM239),"")))</f>
        <v>7.2</v>
      </c>
      <c r="DO43" s="13">
        <f>IF('Données projet'!$A$166&gt;35,DO42+DN43-DW42,IF(A43&lt;'Données projet'!$A$166,$DL$205^A43,IF(A43='Données projet'!$A$166,'Données projet'!$B$166,DO42+DN43-DW42)))</f>
        <v>147.99999999999997</v>
      </c>
      <c r="DP43" s="18">
        <f>DO43*VLOOKUP('Données projet'!$B$14,Paramètres!$A$1:$I$89,3,0)*VLOOKUP('Données projet'!$B$14,Paramètres!$A$1:$I$89,5,0)</f>
        <v>129.2928</v>
      </c>
      <c r="DQ43" s="14">
        <f t="shared" si="43"/>
        <v>33.832894333299251</v>
      </c>
      <c r="DR43" s="22">
        <f t="shared" si="16"/>
        <v>284.1105842971628</v>
      </c>
      <c r="DS43" s="62">
        <f t="shared" si="17"/>
        <v>540.1172556288418</v>
      </c>
      <c r="DT43" s="62">
        <f ca="1">AVERAGE(OFFSET($DS$3,0,0,'Données projet'!$E$14+1,1))-AVERAGE(OFFSET($H$3,0,0,'Données projet'!$E$14+1,1))</f>
        <v>289.18543665577761</v>
      </c>
      <c r="DU43" s="62">
        <f t="shared" si="44"/>
        <v>291.40065947222843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23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8.4378544126360513</v>
      </c>
      <c r="EC43" s="23">
        <f>EXP(-LN(2)/2)*EC42+(1-EXP(-LN(2)/2))/(LN(2)/2)*DW43*DZ43*VLOOKUP('Données projet'!$B$14,Paramètres!$A$1:$I$89,3,0)*0.475*44/12</f>
        <v>0.32708119954779064</v>
      </c>
      <c r="ED43" s="24">
        <f t="shared" si="18"/>
        <v>8.7649356121838427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175</v>
      </c>
      <c r="EH43" s="13">
        <f>VLOOKUP(A43,'Données projet'!$A$191:$I$211,9,0)</f>
        <v>11.2</v>
      </c>
      <c r="EI43" s="13">
        <f t="array" ref="EI43">INDEX(EH:EH,MIN(IF(ISNUMBER(EH43:EH239),ROW(EH43:EH239),"")))</f>
        <v>11.2</v>
      </c>
      <c r="EJ43" s="13">
        <f>IF('Données projet'!$A$192&gt;35,EJ42+EI43-ER42,IF(A43&lt;'Données projet'!$A$192,$EG$205^A43,IF(A43='Données projet'!$A$192,'Données projet'!$B$192,EJ42+EI43-ER42)))</f>
        <v>175</v>
      </c>
      <c r="EK43" s="18">
        <f>EJ43*VLOOKUP('Données projet'!$B$15,Paramètres!$A$1:$I$89,3,0)*VLOOKUP('Données projet'!$B$15,Paramètres!$A$1:$I$89,5,0)</f>
        <v>177.45000000000002</v>
      </c>
      <c r="EL43" s="14">
        <f t="shared" si="45"/>
        <v>44.754387900936791</v>
      </c>
      <c r="EM43" s="22">
        <f t="shared" si="19"/>
        <v>387.0059755941316</v>
      </c>
      <c r="EN43" s="62">
        <f t="shared" si="20"/>
        <v>643.0126469258106</v>
      </c>
      <c r="EO43" s="62">
        <f ca="1">AVERAGE(OFFSET($EN$3,0,0,'Données projet'!$E$15+1,1))-AVERAGE(OFFSET($H$3,0,0,'Données projet'!$E$15+1,1))</f>
        <v>514.72748286045442</v>
      </c>
      <c r="EP43" s="62">
        <f t="shared" si="46"/>
        <v>322.28702110656116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28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7.7547018094466891</v>
      </c>
      <c r="EX43" s="23">
        <f>EXP(-LN(2)/2)*EX42+(1-EXP(-LN(2)/2))/(LN(2)/2)*ER43*EU43*VLOOKUP('Données projet'!$B$15,Paramètres!$A$1:$I$89,3,0)*0.475*44/12</f>
        <v>0.52216344390961533</v>
      </c>
      <c r="EY43" s="24">
        <f t="shared" si="21"/>
        <v>8.2768652533563039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59.820001272276109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4.0999999999999996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15.033333333333331</v>
      </c>
      <c r="H44" s="70">
        <f t="shared" si="1"/>
        <v>196.53333333333333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70.794576398719499</v>
      </c>
      <c r="T44" s="62">
        <f t="shared" si="34"/>
        <v>328.91236364911629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2.970424079974692E-3</v>
      </c>
      <c r="AC44" s="24">
        <f t="shared" si="3"/>
        <v>2.970424079974692E-3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143.32032000000001</v>
      </c>
      <c r="AK44" s="14">
        <f t="shared" si="35"/>
        <v>37.056603420232349</v>
      </c>
      <c r="AL44" s="22">
        <f t="shared" si="4"/>
        <v>314.15647495690467</v>
      </c>
      <c r="AM44" s="62">
        <f t="shared" si="5"/>
        <v>570.8106804243979</v>
      </c>
      <c r="AN44" s="62">
        <f ca="1">AVERAGE(OFFSET($AM$3,0,0,'Données projet'!$E$10+1,1))-AVERAGE(OFFSET($H$3,0,0,'Données projet'!$E$10+1,1))</f>
        <v>466.75323833427217</v>
      </c>
      <c r="AO44" s="62">
        <f t="shared" si="36"/>
        <v>293.88550076209378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6.7303637950552133</v>
      </c>
      <c r="AW44" s="23">
        <f>EXP(-LN(2)/2)*AW43+(1-EXP(-LN(2)/2))/(LN(2)/2)*AQ44*AT44*VLOOKUP('Données projet'!$B$10,Paramètres!$A$1:$I$89,3,0)*0.475*44/12</f>
        <v>0.32946258616031121</v>
      </c>
      <c r="AX44" s="23">
        <f t="shared" si="6"/>
        <v>7.0598263812155242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68.47741055388687</v>
      </c>
      <c r="BJ44" s="62">
        <f t="shared" si="38"/>
        <v>335.34467252166542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41.35950754688735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1.3728695340644703E-2</v>
      </c>
      <c r="BS44" s="24">
        <f t="shared" si="9"/>
        <v>41.373236242227996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5.6843418860808015E-14</v>
      </c>
      <c r="BZ44" s="14">
        <f>BY44*VLOOKUP('Données projet'!$B$12,Paramètres!$A$1:$I$89,3,0)*VLOOKUP('Données projet'!$B$12,Paramètres!$A$1:$I$89,5,0)</f>
        <v>3.3992364478763198E-14</v>
      </c>
      <c r="CA44" s="14">
        <f t="shared" si="39"/>
        <v>5.790027782444094E-13</v>
      </c>
      <c r="CB44" s="22">
        <f t="shared" si="10"/>
        <v>1.0676332069095257E-12</v>
      </c>
      <c r="CC44" s="62">
        <f t="shared" si="11"/>
        <v>256.65420546749431</v>
      </c>
      <c r="CD44" s="62">
        <f ca="1">AVERAGE(OFFSET($CC$3,0,0,'Données projet'!$E$12+1,1))-AVERAGE(OFFSET($H$3,0,0,'Données projet'!$E$12+1,1))</f>
        <v>211.76609132110815</v>
      </c>
      <c r="CE44" s="62">
        <f t="shared" si="40"/>
        <v>363.07965692095752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7.9444874271008992</v>
      </c>
      <c r="CL44" s="23">
        <f>EXP(-LN(2)/25)*CL43+(1-EXP(-LN(2)/25))/(LN(2)/25)*Calculateur!CG44*Calculateur!CI44*VLOOKUP('Données projet'!$B$12,Paramètres!$A$1:$I$89,3,0)*0.475*44/12</f>
        <v>4.0099521856402323</v>
      </c>
      <c r="CM44" s="23">
        <f>EXP(-LN(2)/2)*CM43+(1-EXP(-LN(2)/2))/(LN(2)/2)*CG44*CJ44*VLOOKUP('Données projet'!$B$12,Paramètres!$A$1:$I$89,3,0)*0.475*44/12</f>
        <v>5.2103030485313666E-2</v>
      </c>
      <c r="CN44" s="24">
        <f t="shared" si="12"/>
        <v>12.006542643226446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</v>
      </c>
      <c r="CT44" s="13">
        <f>IF('Données projet'!$A$140&gt;35,CT43+CS44-DB43,IF(A44&lt;'Données projet'!$A$140,$CQ$205^A44,IF(A44='Données projet'!$A$140,'Données projet'!$B$140,CT43+CS44-DB43)))</f>
        <v>287.99999999999994</v>
      </c>
      <c r="CU44" s="18">
        <f>CT44*VLOOKUP('Données projet'!$B$13,Paramètres!$A$1:$I$89,3,0)*VLOOKUP('Données projet'!$B$13,Paramètres!$A$1:$I$89,5,0)</f>
        <v>260.58239999999995</v>
      </c>
      <c r="CV44" s="14">
        <f t="shared" si="41"/>
        <v>62.846505929896907</v>
      </c>
      <c r="CW44" s="22">
        <f t="shared" si="13"/>
        <v>563.30534449457025</v>
      </c>
      <c r="CX44" s="62">
        <f t="shared" si="14"/>
        <v>819.95954996206342</v>
      </c>
      <c r="CY44" s="62">
        <f ca="1">AVERAGE(OFFSET($CX$3,0,0,'Données projet'!$E$13+1,1))-AVERAGE(OFFSET($H$3,0,0,'Données projet'!$E$13+1,1))</f>
        <v>374.91250349988451</v>
      </c>
      <c r="CZ44" s="62">
        <f t="shared" si="42"/>
        <v>529.46825265662869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8.5128526785522425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8.5128526785522425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6.4</v>
      </c>
      <c r="DO44" s="13">
        <f>IF('Données projet'!$A$166&gt;35,DO43+DN44-DW43,IF(A44&lt;'Données projet'!$A$166,$DL$205^A44,IF(A44='Données projet'!$A$166,'Données projet'!$B$166,DO43+DN44-DW43)))</f>
        <v>131.39999999999998</v>
      </c>
      <c r="DP44" s="18">
        <f>DO44*VLOOKUP('Données projet'!$B$14,Paramètres!$A$1:$I$89,3,0)*VLOOKUP('Données projet'!$B$14,Paramètres!$A$1:$I$89,5,0)</f>
        <v>114.79103999999998</v>
      </c>
      <c r="DQ44" s="14">
        <f t="shared" si="43"/>
        <v>30.456974896543485</v>
      </c>
      <c r="DR44" s="22">
        <f t="shared" si="16"/>
        <v>252.97362594481319</v>
      </c>
      <c r="DS44" s="62">
        <f t="shared" si="17"/>
        <v>509.62783141230642</v>
      </c>
      <c r="DT44" s="62">
        <f ca="1">AVERAGE(OFFSET($DS$3,0,0,'Données projet'!$E$14+1,1))-AVERAGE(OFFSET($H$3,0,0,'Données projet'!$E$14+1,1))</f>
        <v>289.18543665577761</v>
      </c>
      <c r="DU44" s="62">
        <f t="shared" si="44"/>
        <v>291.40065947222843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8.2071208399950404</v>
      </c>
      <c r="EC44" s="23">
        <f>EXP(-LN(2)/2)*EC43+(1-EXP(-LN(2)/2))/(LN(2)/2)*DW44*DZ44*VLOOKUP('Données projet'!$B$14,Paramètres!$A$1:$I$89,3,0)*0.475*44/12</f>
        <v>0.23128133419887309</v>
      </c>
      <c r="ED44" s="24">
        <f t="shared" si="18"/>
        <v>8.4384021741939144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IF('Données projet'!$A$192&gt;35,EJ43+EI44-ER43,IF(A44&lt;'Données projet'!$A$192,$EG$205^A44,IF(A44='Données projet'!$A$192,'Données projet'!$B$192,EJ43+EI44-ER43)))</f>
        <v>158.4</v>
      </c>
      <c r="EK44" s="18">
        <f>EJ44*VLOOKUP('Données projet'!$B$15,Paramètres!$A$1:$I$89,3,0)*VLOOKUP('Données projet'!$B$15,Paramètres!$A$1:$I$89,5,0)</f>
        <v>160.61760000000001</v>
      </c>
      <c r="EL44" s="14">
        <f t="shared" si="45"/>
        <v>40.981785561145074</v>
      </c>
      <c r="EM44" s="22">
        <f t="shared" si="19"/>
        <v>351.11892985232771</v>
      </c>
      <c r="EN44" s="62">
        <f t="shared" si="20"/>
        <v>607.77313531982099</v>
      </c>
      <c r="EO44" s="62">
        <f ca="1">AVERAGE(OFFSET($EN$3,0,0,'Données projet'!$E$15+1,1))-AVERAGE(OFFSET($H$3,0,0,'Données projet'!$E$15+1,1))</f>
        <v>514.72748286045442</v>
      </c>
      <c r="EP44" s="62">
        <f t="shared" si="46"/>
        <v>322.28702110656116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7.542649080665325</v>
      </c>
      <c r="EX44" s="23">
        <f>EXP(-LN(2)/2)*EX43+(1-EXP(-LN(2)/2))/(LN(2)/2)*ER44*EU44*VLOOKUP('Données projet'!$B$15,Paramètres!$A$1:$I$89,3,0)*0.475*44/12</f>
        <v>0.36922531207621045</v>
      </c>
      <c r="EY44" s="24">
        <f t="shared" si="21"/>
        <v>7.9118743927415354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59.996601491134513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4.0999999999999996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15.033333333333331</v>
      </c>
      <c r="H45" s="70">
        <f t="shared" si="1"/>
        <v>196.53333333333333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70.794576398719499</v>
      </c>
      <c r="T45" s="62">
        <f t="shared" si="34"/>
        <v>328.91236364911629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2.1004070099499162E-3</v>
      </c>
      <c r="AC45" s="24">
        <f t="shared" si="3"/>
        <v>2.1004070099499162E-3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153.63504</v>
      </c>
      <c r="AK45" s="14">
        <f t="shared" si="35"/>
        <v>39.403506785222667</v>
      </c>
      <c r="AL45" s="22">
        <f t="shared" si="4"/>
        <v>336.20880231759617</v>
      </c>
      <c r="AM45" s="62">
        <f t="shared" si="5"/>
        <v>593.4993086513166</v>
      </c>
      <c r="AN45" s="62">
        <f ca="1">AVERAGE(OFFSET($AM$3,0,0,'Données projet'!$E$10+1,1))-AVERAGE(OFFSET($H$3,0,0,'Données projet'!$E$10+1,1))</f>
        <v>466.75323833427217</v>
      </c>
      <c r="AO45" s="62">
        <f t="shared" si="36"/>
        <v>293.88550076209378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6.5463216431449789</v>
      </c>
      <c r="AW45" s="23">
        <f>EXP(-LN(2)/2)*AW44+(1-EXP(-LN(2)/2))/(LN(2)/2)*AQ45*AT45*VLOOKUP('Données projet'!$B$10,Paramètres!$A$1:$I$89,3,0)*0.475*44/12</f>
        <v>0.23296522882121326</v>
      </c>
      <c r="AX45" s="23">
        <f t="shared" si="6"/>
        <v>6.7792868719661925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68.47741055388687</v>
      </c>
      <c r="BJ45" s="62">
        <f t="shared" si="38"/>
        <v>335.34467252166542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40.548472830701556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9.707653572214028E-3</v>
      </c>
      <c r="BS45" s="24">
        <f t="shared" si="9"/>
        <v>40.55818048427377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5.6843418860808015E-14</v>
      </c>
      <c r="BZ45" s="14">
        <f>BY45*VLOOKUP('Données projet'!$B$12,Paramètres!$A$1:$I$89,3,0)*VLOOKUP('Données projet'!$B$12,Paramètres!$A$1:$I$89,5,0)</f>
        <v>3.3992364478763198E-14</v>
      </c>
      <c r="CA45" s="14">
        <f t="shared" si="39"/>
        <v>5.790027782444094E-13</v>
      </c>
      <c r="CB45" s="22">
        <f t="shared" si="10"/>
        <v>1.0676332069095257E-12</v>
      </c>
      <c r="CC45" s="62">
        <f t="shared" si="11"/>
        <v>257.29050633372157</v>
      </c>
      <c r="CD45" s="62">
        <f ca="1">AVERAGE(OFFSET($CC$3,0,0,'Données projet'!$E$12+1,1))-AVERAGE(OFFSET($H$3,0,0,'Données projet'!$E$12+1,1))</f>
        <v>211.76609132110815</v>
      </c>
      <c r="CE45" s="62">
        <f t="shared" si="40"/>
        <v>363.07965692095752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7.788700874314312</v>
      </c>
      <c r="CL45" s="23">
        <f>EXP(-LN(2)/25)*CL44+(1-EXP(-LN(2)/25))/(LN(2)/25)*Calculateur!CG45*Calculateur!CI45*VLOOKUP('Données projet'!$B$12,Paramètres!$A$1:$I$89,3,0)*0.475*44/12</f>
        <v>3.9002998322496794</v>
      </c>
      <c r="CM45" s="23">
        <f>EXP(-LN(2)/2)*CM44+(1-EXP(-LN(2)/2))/(LN(2)/2)*CG45*CJ45*VLOOKUP('Données projet'!$B$12,Paramètres!$A$1:$I$89,3,0)*0.475*44/12</f>
        <v>3.6842406176534705E-2</v>
      </c>
      <c r="CN45" s="24">
        <f t="shared" si="12"/>
        <v>11.725843112740526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</v>
      </c>
      <c r="CT45" s="13">
        <f>IF('Données projet'!$A$140&gt;35,CT44+CS45-DB44,IF(A45&lt;'Données projet'!$A$140,$CQ$205^A45,IF(A45='Données projet'!$A$140,'Données projet'!$B$140,CT44+CS45-DB44)))</f>
        <v>293.99999999999994</v>
      </c>
      <c r="CU45" s="18">
        <f>CT45*VLOOKUP('Données projet'!$B$13,Paramètres!$A$1:$I$89,3,0)*VLOOKUP('Données projet'!$B$13,Paramètres!$A$1:$I$89,5,0)</f>
        <v>266.01119999999992</v>
      </c>
      <c r="CV45" s="14">
        <f t="shared" si="41"/>
        <v>64.00201337612566</v>
      </c>
      <c r="CW45" s="22">
        <f t="shared" si="13"/>
        <v>574.77301329675208</v>
      </c>
      <c r="CX45" s="62">
        <f t="shared" si="14"/>
        <v>832.06351963047257</v>
      </c>
      <c r="CY45" s="62">
        <f ca="1">AVERAGE(OFFSET($CX$3,0,0,'Données projet'!$E$13+1,1))-AVERAGE(OFFSET($H$3,0,0,'Données projet'!$E$13+1,1))</f>
        <v>374.91250349988451</v>
      </c>
      <c r="CZ45" s="62">
        <f t="shared" si="42"/>
        <v>529.46825265662869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8.3459208298532666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8.3459208298532666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6.4</v>
      </c>
      <c r="DO45" s="13">
        <f>IF('Données projet'!$A$166&gt;35,DO44+DN45-DW44,IF(A45&lt;'Données projet'!$A$166,$DL$205^A45,IF(A45='Données projet'!$A$166,'Données projet'!$B$166,DO44+DN45-DW44)))</f>
        <v>137.79999999999998</v>
      </c>
      <c r="DP45" s="18">
        <f>DO45*VLOOKUP('Données projet'!$B$14,Paramètres!$A$1:$I$89,3,0)*VLOOKUP('Données projet'!$B$14,Paramètres!$A$1:$I$89,5,0)</f>
        <v>120.38207999999999</v>
      </c>
      <c r="DQ45" s="14">
        <f t="shared" si="43"/>
        <v>31.764096685603551</v>
      </c>
      <c r="DR45" s="22">
        <f t="shared" si="16"/>
        <v>264.98792439409277</v>
      </c>
      <c r="DS45" s="62">
        <f t="shared" si="17"/>
        <v>522.2784307278132</v>
      </c>
      <c r="DT45" s="62">
        <f ca="1">AVERAGE(OFFSET($DS$3,0,0,'Données projet'!$E$14+1,1))-AVERAGE(OFFSET($H$3,0,0,'Données projet'!$E$14+1,1))</f>
        <v>289.18543665577761</v>
      </c>
      <c r="DU45" s="62">
        <f t="shared" si="44"/>
        <v>291.40065947222843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7.9826966890316484</v>
      </c>
      <c r="EC45" s="23">
        <f>EXP(-LN(2)/2)*EC44+(1-EXP(-LN(2)/2))/(LN(2)/2)*DW45*DZ45*VLOOKUP('Données projet'!$B$14,Paramètres!$A$1:$I$89,3,0)*0.475*44/12</f>
        <v>0.16354059977389535</v>
      </c>
      <c r="ED45" s="24">
        <f t="shared" si="18"/>
        <v>8.1462372888055441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IF('Données projet'!$A$192&gt;35,EJ44+EI45-ER44,IF(A45&lt;'Données projet'!$A$192,$EG$205^A45,IF(A45='Données projet'!$A$192,'Données projet'!$B$192,EJ44+EI45-ER44)))</f>
        <v>169.8</v>
      </c>
      <c r="EK45" s="18">
        <f>EJ45*VLOOKUP('Données projet'!$B$15,Paramètres!$A$1:$I$89,3,0)*VLOOKUP('Données projet'!$B$15,Paramètres!$A$1:$I$89,5,0)</f>
        <v>172.1772</v>
      </c>
      <c r="EL45" s="14">
        <f t="shared" si="45"/>
        <v>43.577282221917017</v>
      </c>
      <c r="EM45" s="22">
        <f t="shared" si="19"/>
        <v>375.77238986983883</v>
      </c>
      <c r="EN45" s="62">
        <f t="shared" si="20"/>
        <v>633.06289620355938</v>
      </c>
      <c r="EO45" s="62">
        <f ca="1">AVERAGE(OFFSET($EN$3,0,0,'Données projet'!$E$15+1,1))-AVERAGE(OFFSET($H$3,0,0,'Données projet'!$E$15+1,1))</f>
        <v>514.72748286045442</v>
      </c>
      <c r="EP45" s="62">
        <f t="shared" si="46"/>
        <v>322.28702110656116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7.3363949449038559</v>
      </c>
      <c r="EX45" s="23">
        <f>EXP(-LN(2)/2)*EX44+(1-EXP(-LN(2)/2))/(LN(2)/2)*ER45*EU45*VLOOKUP('Données projet'!$B$15,Paramètres!$A$1:$I$89,3,0)*0.475*44/12</f>
        <v>0.26108172195480767</v>
      </c>
      <c r="EY45" s="24">
        <f t="shared" si="21"/>
        <v>7.5974766668586637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60.170138091014671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4.0999999999999996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15.033333333333331</v>
      </c>
      <c r="H46" s="70">
        <f t="shared" si="1"/>
        <v>196.53333333333333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70.794576398719499</v>
      </c>
      <c r="T46" s="62">
        <f t="shared" si="34"/>
        <v>328.91236364911629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1.485212039987346E-3</v>
      </c>
      <c r="AC46" s="24">
        <f t="shared" si="3"/>
        <v>1.485212039987346E-3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163.94976</v>
      </c>
      <c r="AK46" s="14">
        <f t="shared" si="35"/>
        <v>41.732126457893308</v>
      </c>
      <c r="AL46" s="22">
        <f t="shared" si="4"/>
        <v>358.22928558083089</v>
      </c>
      <c r="AM46" s="62">
        <f t="shared" si="5"/>
        <v>616.14505438330514</v>
      </c>
      <c r="AN46" s="62">
        <f ca="1">AVERAGE(OFFSET($AM$3,0,0,'Données projet'!$E$10+1,1))-AVERAGE(OFFSET($H$3,0,0,'Données projet'!$E$10+1,1))</f>
        <v>466.75323833427217</v>
      </c>
      <c r="AO46" s="62">
        <f t="shared" si="36"/>
        <v>293.88550076209378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6.3673121335570864</v>
      </c>
      <c r="AW46" s="23">
        <f>EXP(-LN(2)/2)*AW45+(1-EXP(-LN(2)/2))/(LN(2)/2)*AQ46*AT46*VLOOKUP('Données projet'!$B$10,Paramètres!$A$1:$I$89,3,0)*0.475*44/12</f>
        <v>0.16473129308015563</v>
      </c>
      <c r="AX46" s="23">
        <f t="shared" si="6"/>
        <v>6.5320434266372418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68.47741055388687</v>
      </c>
      <c r="BJ46" s="62">
        <f t="shared" si="38"/>
        <v>335.34467252166542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39.753342010617828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6.8643476703223513E-3</v>
      </c>
      <c r="BS46" s="24">
        <f t="shared" si="9"/>
        <v>39.760206358288151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5.6843418860808015E-14</v>
      </c>
      <c r="BZ46" s="14">
        <f>BY46*VLOOKUP('Données projet'!$B$12,Paramètres!$A$1:$I$89,3,0)*VLOOKUP('Données projet'!$B$12,Paramètres!$A$1:$I$89,5,0)</f>
        <v>3.3992364478763198E-14</v>
      </c>
      <c r="CA46" s="14">
        <f t="shared" si="39"/>
        <v>5.790027782444094E-13</v>
      </c>
      <c r="CB46" s="22">
        <f t="shared" si="10"/>
        <v>1.0676332069095257E-12</v>
      </c>
      <c r="CC46" s="62">
        <f t="shared" si="11"/>
        <v>257.91576880247533</v>
      </c>
      <c r="CD46" s="62">
        <f ca="1">AVERAGE(OFFSET($CC$3,0,0,'Données projet'!$E$12+1,1))-AVERAGE(OFFSET($H$3,0,0,'Données projet'!$E$12+1,1))</f>
        <v>211.76609132110815</v>
      </c>
      <c r="CE46" s="62">
        <f t="shared" si="40"/>
        <v>363.07965692095752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7.6359692008074553</v>
      </c>
      <c r="CL46" s="23">
        <f>EXP(-LN(2)/25)*CL45+(1-EXP(-LN(2)/25))/(LN(2)/25)*Calculateur!CG46*Calculateur!CI46*VLOOKUP('Données projet'!$B$12,Paramètres!$A$1:$I$89,3,0)*0.475*44/12</f>
        <v>3.7936459282289579</v>
      </c>
      <c r="CM46" s="23">
        <f>EXP(-LN(2)/2)*CM45+(1-EXP(-LN(2)/2))/(LN(2)/2)*CG46*CJ46*VLOOKUP('Données projet'!$B$12,Paramètres!$A$1:$I$89,3,0)*0.475*44/12</f>
        <v>2.6051515242656833E-2</v>
      </c>
      <c r="CN46" s="24">
        <f t="shared" si="12"/>
        <v>11.45566664427907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</v>
      </c>
      <c r="CT46" s="13">
        <f>IF('Données projet'!$A$140&gt;35,CT45+CS46-DB45,IF(A46&lt;'Données projet'!$A$140,$CQ$205^A46,IF(A46='Données projet'!$A$140,'Données projet'!$B$140,CT45+CS46-DB45)))</f>
        <v>299.99999999999994</v>
      </c>
      <c r="CU46" s="18">
        <f>CT46*VLOOKUP('Données projet'!$B$13,Paramètres!$A$1:$I$89,3,0)*VLOOKUP('Données projet'!$B$13,Paramètres!$A$1:$I$89,5,0)</f>
        <v>271.43999999999994</v>
      </c>
      <c r="CV46" s="14">
        <f t="shared" si="41"/>
        <v>65.154778959151173</v>
      </c>
      <c r="CW46" s="22">
        <f t="shared" si="13"/>
        <v>586.23590668718805</v>
      </c>
      <c r="CX46" s="62">
        <f t="shared" si="14"/>
        <v>844.15167548966224</v>
      </c>
      <c r="CY46" s="62">
        <f ca="1">AVERAGE(OFFSET($CX$3,0,0,'Données projet'!$E$13+1,1))-AVERAGE(OFFSET($H$3,0,0,'Données projet'!$E$13+1,1))</f>
        <v>374.91250349988451</v>
      </c>
      <c r="CZ46" s="62">
        <f t="shared" si="42"/>
        <v>529.46825265662869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8.182262412888905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8.182262412888905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6.4</v>
      </c>
      <c r="DO46" s="13">
        <f>IF('Données projet'!$A$166&gt;35,DO45+DN46-DW45,IF(A46&lt;'Données projet'!$A$166,$DL$205^A46,IF(A46='Données projet'!$A$166,'Données projet'!$B$166,DO45+DN46-DW45)))</f>
        <v>144.19999999999999</v>
      </c>
      <c r="DP46" s="18">
        <f>DO46*VLOOKUP('Données projet'!$B$14,Paramètres!$A$1:$I$89,3,0)*VLOOKUP('Données projet'!$B$14,Paramètres!$A$1:$I$89,5,0)</f>
        <v>125.97311999999999</v>
      </c>
      <c r="DQ46" s="14">
        <f t="shared" si="43"/>
        <v>33.064168439352592</v>
      </c>
      <c r="DR46" s="22">
        <f t="shared" si="16"/>
        <v>276.98994403187243</v>
      </c>
      <c r="DS46" s="62">
        <f t="shared" si="17"/>
        <v>534.90571283434667</v>
      </c>
      <c r="DT46" s="62">
        <f ca="1">AVERAGE(OFFSET($DS$3,0,0,'Données projet'!$E$14+1,1))-AVERAGE(OFFSET($H$3,0,0,'Données projet'!$E$14+1,1))</f>
        <v>289.18543665577761</v>
      </c>
      <c r="DU46" s="62">
        <f t="shared" si="44"/>
        <v>291.40065947222843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7.764409428278304</v>
      </c>
      <c r="EC46" s="23">
        <f>EXP(-LN(2)/2)*EC45+(1-EXP(-LN(2)/2))/(LN(2)/2)*DW46*DZ46*VLOOKUP('Données projet'!$B$14,Paramètres!$A$1:$I$89,3,0)*0.475*44/12</f>
        <v>0.11564066709943657</v>
      </c>
      <c r="ED46" s="24">
        <f t="shared" si="18"/>
        <v>7.880050095377741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IF('Données projet'!$A$192&gt;35,EJ45+EI46-ER45,IF(A46&lt;'Données projet'!$A$192,$EG$205^A46,IF(A46='Données projet'!$A$192,'Données projet'!$B$192,EJ45+EI46-ER45)))</f>
        <v>181.20000000000002</v>
      </c>
      <c r="EK46" s="18">
        <f>EJ46*VLOOKUP('Données projet'!$B$15,Paramètres!$A$1:$I$89,3,0)*VLOOKUP('Données projet'!$B$15,Paramètres!$A$1:$I$89,5,0)</f>
        <v>183.73680000000002</v>
      </c>
      <c r="EL46" s="14">
        <f t="shared" si="45"/>
        <v>46.152558509293854</v>
      </c>
      <c r="EM46" s="22">
        <f t="shared" si="19"/>
        <v>400.3906327370201</v>
      </c>
      <c r="EN46" s="62">
        <f t="shared" si="20"/>
        <v>658.30640153949435</v>
      </c>
      <c r="EO46" s="62">
        <f ca="1">AVERAGE(OFFSET($EN$3,0,0,'Données projet'!$E$15+1,1))-AVERAGE(OFFSET($H$3,0,0,'Données projet'!$E$15+1,1))</f>
        <v>514.72748286045442</v>
      </c>
      <c r="EP46" s="62">
        <f t="shared" si="46"/>
        <v>322.28702110656116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7.1357808393312174</v>
      </c>
      <c r="EX46" s="23">
        <f>EXP(-LN(2)/2)*EX45+(1-EXP(-LN(2)/2))/(LN(2)/2)*ER46*EU46*VLOOKUP('Données projet'!$B$15,Paramètres!$A$1:$I$89,3,0)*0.475*44/12</f>
        <v>0.18461265603810523</v>
      </c>
      <c r="EY46" s="24">
        <f t="shared" si="21"/>
        <v>7.3203934953693226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60.340664218856617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4.0999999999999996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15.033333333333331</v>
      </c>
      <c r="H47" s="70">
        <f t="shared" si="1"/>
        <v>196.53333333333333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70.794576398719499</v>
      </c>
      <c r="T47" s="62">
        <f t="shared" si="34"/>
        <v>328.91236364911629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1.0502035049749581E-3</v>
      </c>
      <c r="AC47" s="24">
        <f t="shared" si="3"/>
        <v>1.0502035049749581E-3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174.26447999999999</v>
      </c>
      <c r="AK47" s="14">
        <f t="shared" si="35"/>
        <v>44.043743683739521</v>
      </c>
      <c r="AL47" s="22">
        <f t="shared" si="4"/>
        <v>380.22015624917964</v>
      </c>
      <c r="AM47" s="62">
        <f t="shared" si="5"/>
        <v>638.75034061445228</v>
      </c>
      <c r="AN47" s="62">
        <f ca="1">AVERAGE(OFFSET($AM$3,0,0,'Données projet'!$E$10+1,1))-AVERAGE(OFFSET($H$3,0,0,'Données projet'!$E$10+1,1))</f>
        <v>466.75323833427217</v>
      </c>
      <c r="AO47" s="62">
        <f t="shared" si="36"/>
        <v>293.88550076209378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6.1931976484225757</v>
      </c>
      <c r="AW47" s="23">
        <f>EXP(-LN(2)/2)*AW46+(1-EXP(-LN(2)/2))/(LN(2)/2)*AQ47*AT47*VLOOKUP('Données projet'!$B$10,Paramètres!$A$1:$I$89,3,0)*0.475*44/12</f>
        <v>0.11648261441060664</v>
      </c>
      <c r="AX47" s="23">
        <f t="shared" si="6"/>
        <v>6.3096802628331821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68.47741055388687</v>
      </c>
      <c r="BJ47" s="62">
        <f t="shared" si="38"/>
        <v>335.34467252166542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38.97380322093403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4.853826786107014E-3</v>
      </c>
      <c r="BS47" s="24">
        <f t="shared" si="9"/>
        <v>38.978657047720141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5.6843418860808015E-14</v>
      </c>
      <c r="BZ47" s="14">
        <f>BY47*VLOOKUP('Données projet'!$B$12,Paramètres!$A$1:$I$89,3,0)*VLOOKUP('Données projet'!$B$12,Paramètres!$A$1:$I$89,5,0)</f>
        <v>3.3992364478763198E-14</v>
      </c>
      <c r="CA47" s="14">
        <f t="shared" si="39"/>
        <v>5.790027782444094E-13</v>
      </c>
      <c r="CB47" s="22">
        <f t="shared" si="10"/>
        <v>1.0676332069095257E-12</v>
      </c>
      <c r="CC47" s="62">
        <f t="shared" si="11"/>
        <v>258.53018436527373</v>
      </c>
      <c r="CD47" s="62">
        <f ca="1">AVERAGE(OFFSET($CC$3,0,0,'Données projet'!$E$12+1,1))-AVERAGE(OFFSET($H$3,0,0,'Données projet'!$E$12+1,1))</f>
        <v>211.76609132110815</v>
      </c>
      <c r="CE47" s="62">
        <f t="shared" si="40"/>
        <v>363.07965692095752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7.4862325022609459</v>
      </c>
      <c r="CL47" s="23">
        <f>EXP(-LN(2)/25)*CL46+(1-EXP(-LN(2)/25))/(LN(2)/25)*Calculateur!CG47*Calculateur!CI47*VLOOKUP('Données projet'!$B$12,Paramètres!$A$1:$I$89,3,0)*0.475*44/12</f>
        <v>3.6899084808223681</v>
      </c>
      <c r="CM47" s="23">
        <f>EXP(-LN(2)/2)*CM46+(1-EXP(-LN(2)/2))/(LN(2)/2)*CG47*CJ47*VLOOKUP('Données projet'!$B$12,Paramètres!$A$1:$I$89,3,0)*0.475*44/12</f>
        <v>1.8421203088267352E-2</v>
      </c>
      <c r="CN47" s="24">
        <f t="shared" si="12"/>
        <v>11.194562186171582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</v>
      </c>
      <c r="CT47" s="13">
        <f>IF('Données projet'!$A$140&gt;35,CT46+CS47-DB46,IF(A47&lt;'Données projet'!$A$140,$CQ$205^A47,IF(A47='Données projet'!$A$140,'Données projet'!$B$140,CT46+CS47-DB46)))</f>
        <v>305.99999999999994</v>
      </c>
      <c r="CU47" s="18">
        <f>CT47*VLOOKUP('Données projet'!$B$13,Paramètres!$A$1:$I$89,3,0)*VLOOKUP('Données projet'!$B$13,Paramètres!$A$1:$I$89,5,0)</f>
        <v>276.86879999999996</v>
      </c>
      <c r="CV47" s="14">
        <f t="shared" si="41"/>
        <v>66.30486383631866</v>
      </c>
      <c r="CW47" s="22">
        <f t="shared" si="13"/>
        <v>597.6941311815882</v>
      </c>
      <c r="CX47" s="62">
        <f t="shared" si="14"/>
        <v>856.22431554686091</v>
      </c>
      <c r="CY47" s="62">
        <f ca="1">AVERAGE(OFFSET($CX$3,0,0,'Données projet'!$E$13+1,1))-AVERAGE(OFFSET($H$3,0,0,'Données projet'!$E$13+1,1))</f>
        <v>374.91250349988451</v>
      </c>
      <c r="CZ47" s="62">
        <f t="shared" si="42"/>
        <v>529.46825265662869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8.0218132376594351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8.0218132376594351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6.4</v>
      </c>
      <c r="DO47" s="13">
        <f>IF('Données projet'!$A$166&gt;35,DO46+DN47-DW46,IF(A47&lt;'Données projet'!$A$166,$DL$205^A47,IF(A47='Données projet'!$A$166,'Données projet'!$B$166,DO46+DN47-DW46)))</f>
        <v>150.6</v>
      </c>
      <c r="DP47" s="18">
        <f>DO47*VLOOKUP('Données projet'!$B$14,Paramètres!$A$1:$I$89,3,0)*VLOOKUP('Données projet'!$B$14,Paramètres!$A$1:$I$89,5,0)</f>
        <v>131.56416000000002</v>
      </c>
      <c r="DQ47" s="14">
        <f t="shared" si="43"/>
        <v>34.357538812709066</v>
      </c>
      <c r="DR47" s="22">
        <f t="shared" si="16"/>
        <v>288.98029209880161</v>
      </c>
      <c r="DS47" s="62">
        <f t="shared" si="17"/>
        <v>547.51047646407426</v>
      </c>
      <c r="DT47" s="62">
        <f ca="1">AVERAGE(OFFSET($DS$3,0,0,'Données projet'!$E$14+1,1))-AVERAGE(OFFSET($H$3,0,0,'Données projet'!$E$14+1,1))</f>
        <v>289.18543665577761</v>
      </c>
      <c r="DU47" s="62">
        <f t="shared" si="44"/>
        <v>291.40065947222843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7.5520912441494881</v>
      </c>
      <c r="EC47" s="23">
        <f>EXP(-LN(2)/2)*EC46+(1-EXP(-LN(2)/2))/(LN(2)/2)*DW47*DZ47*VLOOKUP('Données projet'!$B$14,Paramètres!$A$1:$I$89,3,0)*0.475*44/12</f>
        <v>8.1770299886947687E-2</v>
      </c>
      <c r="ED47" s="24">
        <f t="shared" si="18"/>
        <v>7.6338615440364359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IF('Données projet'!$A$192&gt;35,EJ46+EI47-ER46,IF(A47&lt;'Données projet'!$A$192,$EG$205^A47,IF(A47='Données projet'!$A$192,'Données projet'!$B$192,EJ46+EI47-ER46)))</f>
        <v>192.60000000000002</v>
      </c>
      <c r="EK47" s="18">
        <f>EJ47*VLOOKUP('Données projet'!$B$15,Paramètres!$A$1:$I$89,3,0)*VLOOKUP('Données projet'!$B$15,Paramètres!$A$1:$I$89,5,0)</f>
        <v>195.29640000000003</v>
      </c>
      <c r="EL47" s="14">
        <f t="shared" si="45"/>
        <v>48.709031383366153</v>
      </c>
      <c r="EM47" s="22">
        <f t="shared" si="19"/>
        <v>424.97612632602949</v>
      </c>
      <c r="EN47" s="62">
        <f t="shared" si="20"/>
        <v>683.50631069130213</v>
      </c>
      <c r="EO47" s="62">
        <f ca="1">AVERAGE(OFFSET($EN$3,0,0,'Données projet'!$E$15+1,1))-AVERAGE(OFFSET($H$3,0,0,'Données projet'!$E$15+1,1))</f>
        <v>514.72748286045442</v>
      </c>
      <c r="EP47" s="62">
        <f t="shared" si="46"/>
        <v>322.28702110656116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6.9406525370252998</v>
      </c>
      <c r="EX47" s="23">
        <f>EXP(-LN(2)/2)*EX46+(1-EXP(-LN(2)/2))/(LN(2)/2)*ER47*EU47*VLOOKUP('Données projet'!$B$15,Paramètres!$A$1:$I$89,3,0)*0.475*44/12</f>
        <v>0.13054086097740383</v>
      </c>
      <c r="EY47" s="24">
        <f t="shared" si="21"/>
        <v>7.0711933980027037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60.508232099619825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4.0999999999999996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15.033333333333331</v>
      </c>
      <c r="H48" s="70">
        <f t="shared" si="1"/>
        <v>196.53333333333333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70.794576398719499</v>
      </c>
      <c r="T48" s="62">
        <f t="shared" si="34"/>
        <v>328.91236364911629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7.4260601999367299E-4</v>
      </c>
      <c r="AC48" s="24">
        <f t="shared" si="3"/>
        <v>7.4260601999367299E-4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184.57920000000001</v>
      </c>
      <c r="AK48" s="14">
        <f t="shared" si="35"/>
        <v>46.339479465836661</v>
      </c>
      <c r="AL48" s="22">
        <f t="shared" si="4"/>
        <v>402.18336673633218</v>
      </c>
      <c r="AM48" s="62">
        <f t="shared" si="5"/>
        <v>661.31730792801613</v>
      </c>
      <c r="AN48" s="62">
        <f ca="1">AVERAGE(OFFSET($AM$3,0,0,'Données projet'!$E$10+1,1))-AVERAGE(OFFSET($H$3,0,0,'Données projet'!$E$10+1,1))</f>
        <v>466.75323833427217</v>
      </c>
      <c r="AO48" s="62">
        <f t="shared" si="36"/>
        <v>293.88550076209378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6.0238443330403504</v>
      </c>
      <c r="AW48" s="23">
        <f>EXP(-LN(2)/2)*AW47+(1-EXP(-LN(2)/2))/(LN(2)/2)*AQ48*AT48*VLOOKUP('Données projet'!$B$10,Paramètres!$A$1:$I$89,3,0)*0.475*44/12</f>
        <v>8.236564654007783E-2</v>
      </c>
      <c r="AX48" s="23">
        <f t="shared" si="6"/>
        <v>6.1062099795804281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68.47741055388687</v>
      </c>
      <c r="BJ48" s="62">
        <f t="shared" si="38"/>
        <v>335.34467252166542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38.209550711444223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3.4321738351611756E-3</v>
      </c>
      <c r="BS48" s="24">
        <f t="shared" si="9"/>
        <v>38.212982885279381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5.6843418860808015E-14</v>
      </c>
      <c r="BZ48" s="14">
        <f>BY48*VLOOKUP('Données projet'!$B$12,Paramètres!$A$1:$I$89,3,0)*VLOOKUP('Données projet'!$B$12,Paramètres!$A$1:$I$89,5,0)</f>
        <v>3.3992364478763198E-14</v>
      </c>
      <c r="CA48" s="14">
        <f t="shared" si="39"/>
        <v>5.790027782444094E-13</v>
      </c>
      <c r="CB48" s="22">
        <f t="shared" si="10"/>
        <v>1.0676332069095257E-12</v>
      </c>
      <c r="CC48" s="62">
        <f t="shared" si="11"/>
        <v>259.13394119168504</v>
      </c>
      <c r="CD48" s="62">
        <f ca="1">AVERAGE(OFFSET($CC$3,0,0,'Données projet'!$E$12+1,1))-AVERAGE(OFFSET($H$3,0,0,'Données projet'!$E$12+1,1))</f>
        <v>211.76609132110815</v>
      </c>
      <c r="CE48" s="62">
        <f t="shared" si="40"/>
        <v>363.07965692095752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7.3394320490425651</v>
      </c>
      <c r="CL48" s="23">
        <f>EXP(-LN(2)/25)*CL47+(1-EXP(-LN(2)/25))/(LN(2)/25)*Calculateur!CG48*Calculateur!CI48*VLOOKUP('Données projet'!$B$12,Paramètres!$A$1:$I$89,3,0)*0.475*44/12</f>
        <v>3.5890077393704267</v>
      </c>
      <c r="CM48" s="23">
        <f>EXP(-LN(2)/2)*CM47+(1-EXP(-LN(2)/2))/(LN(2)/2)*CG48*CJ48*VLOOKUP('Données projet'!$B$12,Paramètres!$A$1:$I$89,3,0)*0.475*44/12</f>
        <v>1.3025757621328416E-2</v>
      </c>
      <c r="CN48" s="24">
        <f t="shared" si="12"/>
        <v>10.941465546034319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312</v>
      </c>
      <c r="CR48" s="13">
        <f>VLOOKUP(A48,'Données projet'!$A$139:$I$159,9,0)</f>
        <v>6</v>
      </c>
      <c r="CS48" s="13">
        <f t="array" ref="CS48">INDEX(CR:CR,MIN(IF(ISNUMBER(CR48:CR244),ROW(CR48:CR244),"")))</f>
        <v>6</v>
      </c>
      <c r="CT48" s="13">
        <f>IF('Données projet'!$A$140&gt;35,CT47+CS48-DB47,IF(A48&lt;'Données projet'!$A$140,$CQ$205^A48,IF(A48='Données projet'!$A$140,'Données projet'!$B$140,CT47+CS48-DB47)))</f>
        <v>311.99999999999994</v>
      </c>
      <c r="CU48" s="18">
        <f>CT48*VLOOKUP('Données projet'!$B$13,Paramètres!$A$1:$I$89,3,0)*VLOOKUP('Données projet'!$B$13,Paramètres!$A$1:$I$89,5,0)</f>
        <v>282.29759999999993</v>
      </c>
      <c r="CV48" s="14">
        <f t="shared" si="41"/>
        <v>67.452326629470178</v>
      </c>
      <c r="CW48" s="22">
        <f t="shared" si="13"/>
        <v>609.14778887966042</v>
      </c>
      <c r="CX48" s="62">
        <f t="shared" si="14"/>
        <v>868.28173007134433</v>
      </c>
      <c r="CY48" s="62">
        <f ca="1">AVERAGE(OFFSET($CX$3,0,0,'Données projet'!$E$13+1,1))-AVERAGE(OFFSET($H$3,0,0,'Données projet'!$E$13+1,1))</f>
        <v>374.91250349988451</v>
      </c>
      <c r="CZ48" s="62">
        <f t="shared" si="42"/>
        <v>529.46825265662869</v>
      </c>
      <c r="DA48" s="16">
        <f>IF(ISNA(VLOOKUP(A48,'Données projet'!$A$139:$I$159,3,0)),0,VLOOKUP(A48,'Données projet'!$A$139:$I$159,3,0))</f>
        <v>9</v>
      </c>
      <c r="DB48" s="16">
        <f>IF(ISNA(VLOOKUP(A48,'Données projet'!$A$139:$I$159,4,0)),0,VLOOKUP(A48,'Données projet'!$A$139:$I$159,4,0))</f>
        <v>312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7.8645103728918828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7.8645103728918828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157</v>
      </c>
      <c r="DM48" s="13">
        <f>VLOOKUP(A48,'Données projet'!$A$165:$I$185,9,0)</f>
        <v>6.4</v>
      </c>
      <c r="DN48" s="13">
        <f t="array" ref="DN48">INDEX(DM:DM,MIN(IF(ISNUMBER(DM48:DM244),ROW(DM48:DM244),"")))</f>
        <v>6.4</v>
      </c>
      <c r="DO48" s="13">
        <f>IF('Données projet'!$A$166&gt;35,DO47+DN48-DW47,IF(A48&lt;'Données projet'!$A$166,$DL$205^A48,IF(A48='Données projet'!$A$166,'Données projet'!$B$166,DO47+DN48-DW47)))</f>
        <v>157</v>
      </c>
      <c r="DP48" s="18">
        <f>DO48*VLOOKUP('Données projet'!$B$14,Paramètres!$A$1:$I$89,3,0)*VLOOKUP('Données projet'!$B$14,Paramètres!$A$1:$I$89,5,0)</f>
        <v>137.15520000000001</v>
      </c>
      <c r="DQ48" s="14">
        <f t="shared" si="43"/>
        <v>35.644525151069693</v>
      </c>
      <c r="DR48" s="22">
        <f t="shared" si="16"/>
        <v>300.95952130477974</v>
      </c>
      <c r="DS48" s="62">
        <f t="shared" si="17"/>
        <v>560.09346249646364</v>
      </c>
      <c r="DT48" s="62">
        <f ca="1">AVERAGE(OFFSET($DS$3,0,0,'Données projet'!$E$14+1,1))-AVERAGE(OFFSET($H$3,0,0,'Données projet'!$E$14+1,1))</f>
        <v>289.18543665577761</v>
      </c>
      <c r="DU48" s="62">
        <f t="shared" si="44"/>
        <v>291.40065947222843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7.3455789119310024</v>
      </c>
      <c r="EC48" s="23">
        <f>EXP(-LN(2)/2)*EC47+(1-EXP(-LN(2)/2))/(LN(2)/2)*DW48*DZ48*VLOOKUP('Données projet'!$B$14,Paramètres!$A$1:$I$89,3,0)*0.475*44/12</f>
        <v>5.7820333549718293E-2</v>
      </c>
      <c r="ED48" s="24">
        <f t="shared" si="18"/>
        <v>7.4033992454807205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204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IF('Données projet'!$A$192&gt;35,EJ47+EI48-ER47,IF(A48&lt;'Données projet'!$A$192,$EG$205^A48,IF(A48='Données projet'!$A$192,'Données projet'!$B$192,EJ47+EI48-ER47)))</f>
        <v>204.00000000000003</v>
      </c>
      <c r="EK48" s="18">
        <f>EJ48*VLOOKUP('Données projet'!$B$15,Paramètres!$A$1:$I$89,3,0)*VLOOKUP('Données projet'!$B$15,Paramètres!$A$1:$I$89,5,0)</f>
        <v>206.85600000000005</v>
      </c>
      <c r="EL48" s="14">
        <f t="shared" si="45"/>
        <v>51.247940588293027</v>
      </c>
      <c r="EM48" s="22">
        <f t="shared" si="19"/>
        <v>449.53102985794379</v>
      </c>
      <c r="EN48" s="62">
        <f t="shared" si="20"/>
        <v>708.66497104962775</v>
      </c>
      <c r="EO48" s="62">
        <f ca="1">AVERAGE(OFFSET($EN$3,0,0,'Données projet'!$E$15+1,1))-AVERAGE(OFFSET($H$3,0,0,'Données projet'!$E$15+1,1))</f>
        <v>514.72748286045442</v>
      </c>
      <c r="EP48" s="62">
        <f t="shared" si="46"/>
        <v>322.28702110656116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6.7508600284072893</v>
      </c>
      <c r="EX48" s="23">
        <f>EXP(-LN(2)/2)*EX47+(1-EXP(-LN(2)/2))/(LN(2)/2)*ER48*EU48*VLOOKUP('Données projet'!$B$15,Paramètres!$A$1:$I$89,3,0)*0.475*44/12</f>
        <v>9.2306328019052614E-2</v>
      </c>
      <c r="EY48" s="24">
        <f t="shared" si="21"/>
        <v>6.8431663564263419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60.672893052277445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4.0999999999999996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15.033333333333331</v>
      </c>
      <c r="H49" s="70">
        <f t="shared" si="1"/>
        <v>196.53333333333333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70.794576398719499</v>
      </c>
      <c r="T49" s="62">
        <f t="shared" si="34"/>
        <v>328.91236364911629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5.2510175248747905E-4</v>
      </c>
      <c r="AC49" s="24">
        <f t="shared" si="3"/>
        <v>5.2510175248747905E-4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169.19760000000002</v>
      </c>
      <c r="AK49" s="14">
        <f t="shared" si="35"/>
        <v>42.910263223432885</v>
      </c>
      <c r="AL49" s="22">
        <f t="shared" si="4"/>
        <v>369.42119511414558</v>
      </c>
      <c r="AM49" s="62">
        <f t="shared" si="5"/>
        <v>629.1484193011006</v>
      </c>
      <c r="AN49" s="62">
        <f ca="1">AVERAGE(OFFSET($AM$3,0,0,'Données projet'!$E$10+1,1))-AVERAGE(OFFSET($H$3,0,0,'Données projet'!$E$10+1,1))</f>
        <v>466.75323833427217</v>
      </c>
      <c r="AO49" s="62">
        <f t="shared" si="36"/>
        <v>293.88550076209378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5.8591219929731562</v>
      </c>
      <c r="AW49" s="23">
        <f>EXP(-LN(2)/2)*AW48+(1-EXP(-LN(2)/2))/(LN(2)/2)*AQ49*AT49*VLOOKUP('Données projet'!$B$10,Paramètres!$A$1:$I$89,3,0)*0.475*44/12</f>
        <v>5.8241307205303336E-2</v>
      </c>
      <c r="AX49" s="23">
        <f t="shared" si="6"/>
        <v>5.9173633001784598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68.47741055388687</v>
      </c>
      <c r="BJ49" s="62">
        <f t="shared" si="38"/>
        <v>335.34467252166542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37.460284727517504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2.426913393053507E-3</v>
      </c>
      <c r="BS49" s="24">
        <f t="shared" si="9"/>
        <v>37.462711640910555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5.6843418860808015E-14</v>
      </c>
      <c r="BZ49" s="14">
        <f>BY49*VLOOKUP('Données projet'!$B$12,Paramètres!$A$1:$I$89,3,0)*VLOOKUP('Données projet'!$B$12,Paramètres!$A$1:$I$89,5,0)</f>
        <v>3.3992364478763198E-14</v>
      </c>
      <c r="CA49" s="14">
        <f t="shared" si="39"/>
        <v>5.790027782444094E-13</v>
      </c>
      <c r="CB49" s="22">
        <f t="shared" si="10"/>
        <v>1.0676332069095257E-12</v>
      </c>
      <c r="CC49" s="62">
        <f t="shared" si="11"/>
        <v>259.72722418695616</v>
      </c>
      <c r="CD49" s="62">
        <f ca="1">AVERAGE(OFFSET($CC$3,0,0,'Données projet'!$E$12+1,1))-AVERAGE(OFFSET($H$3,0,0,'Données projet'!$E$12+1,1))</f>
        <v>211.76609132110815</v>
      </c>
      <c r="CE49" s="62">
        <f t="shared" si="40"/>
        <v>363.07965692095752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7.1955102631723618</v>
      </c>
      <c r="CL49" s="23">
        <f>EXP(-LN(2)/25)*CL48+(1-EXP(-LN(2)/25))/(LN(2)/25)*Calculateur!CG49*Calculateur!CI49*VLOOKUP('Données projet'!$B$12,Paramètres!$A$1:$I$89,3,0)*0.475*44/12</f>
        <v>3.4908661339996283</v>
      </c>
      <c r="CM49" s="23">
        <f>EXP(-LN(2)/2)*CM48+(1-EXP(-LN(2)/2))/(LN(2)/2)*CG49*CJ49*VLOOKUP('Données projet'!$B$12,Paramètres!$A$1:$I$89,3,0)*0.475*44/12</f>
        <v>9.2106015441336762E-3</v>
      </c>
      <c r="CN49" s="24">
        <f t="shared" si="12"/>
        <v>10.695586998716124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-5.6843418860808015E-14</v>
      </c>
      <c r="CU49" s="18">
        <f>CT49*VLOOKUP('Données projet'!$B$13,Paramètres!$A$1:$I$89,3,0)*VLOOKUP('Données projet'!$B$13,Paramètres!$A$1:$I$89,5,0)</f>
        <v>-5.1431925385259088E-14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374.91250349988451</v>
      </c>
      <c r="CZ49" s="62">
        <f t="shared" si="42"/>
        <v>529.46825265662869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7.7102921213571483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7.7102921213571483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5.8</v>
      </c>
      <c r="DO49" s="13">
        <f>IF('Données projet'!$A$166&gt;35,DO48+DN49-DW48,IF(A49&lt;'Données projet'!$A$166,$DL$205^A49,IF(A49='Données projet'!$A$166,'Données projet'!$B$166,DO48+DN49-DW48)))</f>
        <v>141.80000000000001</v>
      </c>
      <c r="DP49" s="18">
        <f>DO49*VLOOKUP('Données projet'!$B$14,Paramètres!$A$1:$I$89,3,0)*VLOOKUP('Données projet'!$B$14,Paramètres!$A$1:$I$89,5,0)</f>
        <v>123.87648000000003</v>
      </c>
      <c r="DQ49" s="14">
        <f t="shared" si="43"/>
        <v>32.577444847681598</v>
      </c>
      <c r="DR49" s="22">
        <f t="shared" si="16"/>
        <v>272.49058577637885</v>
      </c>
      <c r="DS49" s="62">
        <f t="shared" si="17"/>
        <v>532.21780996333393</v>
      </c>
      <c r="DT49" s="62">
        <f ca="1">AVERAGE(OFFSET($DS$3,0,0,'Données projet'!$E$14+1,1))-AVERAGE(OFFSET($H$3,0,0,'Données projet'!$E$14+1,1))</f>
        <v>289.18543665577761</v>
      </c>
      <c r="DU49" s="62">
        <f t="shared" si="44"/>
        <v>291.40065947222843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7.1447136702970431</v>
      </c>
      <c r="EC49" s="23">
        <f>EXP(-LN(2)/2)*EC48+(1-EXP(-LN(2)/2))/(LN(2)/2)*DW49*DZ49*VLOOKUP('Données projet'!$B$14,Paramètres!$A$1:$I$89,3,0)*0.475*44/12</f>
        <v>4.088514994347385E-2</v>
      </c>
      <c r="ED49" s="24">
        <f t="shared" si="18"/>
        <v>7.185598820240517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</v>
      </c>
      <c r="EJ49" s="13">
        <f>IF('Données projet'!$A$192&gt;35,EJ48+EI49-ER48,IF(A49&lt;'Données projet'!$A$192,$EG$205^A49,IF(A49='Données projet'!$A$192,'Données projet'!$B$192,EJ48+EI49-ER48)))</f>
        <v>187.00000000000003</v>
      </c>
      <c r="EK49" s="18">
        <f>EJ49*VLOOKUP('Données projet'!$B$15,Paramètres!$A$1:$I$89,3,0)*VLOOKUP('Données projet'!$B$15,Paramètres!$A$1:$I$89,5,0)</f>
        <v>189.61800000000005</v>
      </c>
      <c r="EL49" s="14">
        <f t="shared" si="45"/>
        <v>47.4554881852685</v>
      </c>
      <c r="EM49" s="22">
        <f t="shared" si="19"/>
        <v>412.90299192267599</v>
      </c>
      <c r="EN49" s="62">
        <f t="shared" si="20"/>
        <v>672.63021610963108</v>
      </c>
      <c r="EO49" s="62">
        <f ca="1">AVERAGE(OFFSET($EN$3,0,0,'Données projet'!$E$15+1,1))-AVERAGE(OFFSET($H$3,0,0,'Données projet'!$E$15+1,1))</f>
        <v>514.72748286045442</v>
      </c>
      <c r="EP49" s="62">
        <f t="shared" si="46"/>
        <v>322.28702110656116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6.5662574059181926</v>
      </c>
      <c r="EX49" s="23">
        <f>EXP(-LN(2)/2)*EX48+(1-EXP(-LN(2)/2))/(LN(2)/2)*ER49*EU49*VLOOKUP('Données projet'!$B$15,Paramètres!$A$1:$I$89,3,0)*0.475*44/12</f>
        <v>6.5270430488701917E-2</v>
      </c>
      <c r="EY49" s="24">
        <f t="shared" si="21"/>
        <v>6.6315278364068941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60.834697505533192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4.0999999999999996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15.033333333333331</v>
      </c>
      <c r="H50" s="70">
        <f t="shared" si="1"/>
        <v>196.53333333333333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70.794576398719499</v>
      </c>
      <c r="T50" s="62">
        <f t="shared" si="34"/>
        <v>328.91236364911629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3.7130300999683649E-4</v>
      </c>
      <c r="AC50" s="24">
        <f t="shared" si="3"/>
        <v>3.7130300999683649E-4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179.15040000000002</v>
      </c>
      <c r="AK50" s="14">
        <f t="shared" si="35"/>
        <v>45.133113803437304</v>
      </c>
      <c r="AL50" s="22">
        <f t="shared" si="4"/>
        <v>390.62711987431999</v>
      </c>
      <c r="AM50" s="62">
        <f t="shared" si="5"/>
        <v>650.93733492296019</v>
      </c>
      <c r="AN50" s="62">
        <f ca="1">AVERAGE(OFFSET($AM$3,0,0,'Données projet'!$E$10+1,1))-AVERAGE(OFFSET($H$3,0,0,'Données projet'!$E$10+1,1))</f>
        <v>466.75323833427217</v>
      </c>
      <c r="AO50" s="62">
        <f t="shared" si="36"/>
        <v>293.88550076209378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5.6989039939574706</v>
      </c>
      <c r="AW50" s="23">
        <f>EXP(-LN(2)/2)*AW49+(1-EXP(-LN(2)/2))/(LN(2)/2)*AQ50*AT50*VLOOKUP('Données projet'!$B$10,Paramètres!$A$1:$I$89,3,0)*0.475*44/12</f>
        <v>4.1182823270038922E-2</v>
      </c>
      <c r="AX50" s="23">
        <f t="shared" si="6"/>
        <v>5.7400868172275095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68.47741055388687</v>
      </c>
      <c r="BJ50" s="62">
        <f t="shared" si="38"/>
        <v>335.34467252166542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36.725711392528467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1.7160869175805878E-3</v>
      </c>
      <c r="BS50" s="24">
        <f t="shared" si="9"/>
        <v>36.72742747944605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5.6843418860808015E-14</v>
      </c>
      <c r="BZ50" s="14">
        <f>BY50*VLOOKUP('Données projet'!$B$12,Paramètres!$A$1:$I$89,3,0)*VLOOKUP('Données projet'!$B$12,Paramètres!$A$1:$I$89,5,0)</f>
        <v>3.3992364478763198E-14</v>
      </c>
      <c r="CA50" s="14">
        <f t="shared" si="39"/>
        <v>5.790027782444094E-13</v>
      </c>
      <c r="CB50" s="22">
        <f t="shared" si="10"/>
        <v>1.0676332069095257E-12</v>
      </c>
      <c r="CC50" s="62">
        <f t="shared" si="11"/>
        <v>260.31021504864134</v>
      </c>
      <c r="CD50" s="62">
        <f ca="1">AVERAGE(OFFSET($CC$3,0,0,'Données projet'!$E$12+1,1))-AVERAGE(OFFSET($H$3,0,0,'Données projet'!$E$12+1,1))</f>
        <v>211.76609132110815</v>
      </c>
      <c r="CE50" s="62">
        <f t="shared" si="40"/>
        <v>363.07965692095752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7.0544106957394517</v>
      </c>
      <c r="CL50" s="23">
        <f>EXP(-LN(2)/25)*CL49+(1-EXP(-LN(2)/25))/(LN(2)/25)*Calculateur!CG50*Calculateur!CI50*VLOOKUP('Données projet'!$B$12,Paramètres!$A$1:$I$89,3,0)*0.475*44/12</f>
        <v>3.3954082159887369</v>
      </c>
      <c r="CM50" s="23">
        <f>EXP(-LN(2)/2)*CM49+(1-EXP(-LN(2)/2))/(LN(2)/2)*CG50*CJ50*VLOOKUP('Données projet'!$B$12,Paramètres!$A$1:$I$89,3,0)*0.475*44/12</f>
        <v>6.5128788106642082E-3</v>
      </c>
      <c r="CN50" s="24">
        <f t="shared" si="12"/>
        <v>10.456331790538853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-5.6843418860808015E-14</v>
      </c>
      <c r="CU50" s="18">
        <f>CT50*VLOOKUP('Données projet'!$B$13,Paramètres!$A$1:$I$89,3,0)*VLOOKUP('Données projet'!$B$13,Paramètres!$A$1:$I$89,5,0)</f>
        <v>-5.1431925385259088E-14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374.91250349988451</v>
      </c>
      <c r="CZ50" s="62">
        <f t="shared" si="42"/>
        <v>529.46825265662869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7.5590979956711646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7.5590979956711646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5.8</v>
      </c>
      <c r="DO50" s="13">
        <f>IF('Données projet'!$A$166&gt;35,DO49+DN50-DW49,IF(A50&lt;'Données projet'!$A$166,$DL$205^A50,IF(A50='Données projet'!$A$166,'Données projet'!$B$166,DO49+DN50-DW49)))</f>
        <v>147.60000000000002</v>
      </c>
      <c r="DP50" s="18">
        <f>DO50*VLOOKUP('Données projet'!$B$14,Paramètres!$A$1:$I$89,3,0)*VLOOKUP('Données projet'!$B$14,Paramètres!$A$1:$I$89,5,0)</f>
        <v>128.94336000000004</v>
      </c>
      <c r="DQ50" s="14">
        <f t="shared" si="43"/>
        <v>33.752085002132198</v>
      </c>
      <c r="DR50" s="22">
        <f t="shared" si="16"/>
        <v>283.36123337871362</v>
      </c>
      <c r="DS50" s="62">
        <f t="shared" si="17"/>
        <v>543.67144842735388</v>
      </c>
      <c r="DT50" s="62">
        <f ca="1">AVERAGE(OFFSET($DS$3,0,0,'Données projet'!$E$14+1,1))-AVERAGE(OFFSET($H$3,0,0,'Données projet'!$E$14+1,1))</f>
        <v>289.18543665577761</v>
      </c>
      <c r="DU50" s="62">
        <f t="shared" si="44"/>
        <v>291.40065947222843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6.949341099258608</v>
      </c>
      <c r="EC50" s="23">
        <f>EXP(-LN(2)/2)*EC49+(1-EXP(-LN(2)/2))/(LN(2)/2)*DW50*DZ50*VLOOKUP('Données projet'!$B$14,Paramètres!$A$1:$I$89,3,0)*0.475*44/12</f>
        <v>2.891016677485915E-2</v>
      </c>
      <c r="ED50" s="24">
        <f t="shared" si="18"/>
        <v>6.9782512660334675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</v>
      </c>
      <c r="EJ50" s="13">
        <f>IF('Données projet'!$A$192&gt;35,EJ49+EI50-ER49,IF(A50&lt;'Données projet'!$A$192,$EG$205^A50,IF(A50='Données projet'!$A$192,'Données projet'!$B$192,EJ49+EI50-ER49)))</f>
        <v>198.00000000000003</v>
      </c>
      <c r="EK50" s="18">
        <f>EJ50*VLOOKUP('Données projet'!$B$15,Paramètres!$A$1:$I$89,3,0)*VLOOKUP('Données projet'!$B$15,Paramètres!$A$1:$I$89,5,0)</f>
        <v>200.77200000000002</v>
      </c>
      <c r="EL50" s="14">
        <f t="shared" si="45"/>
        <v>49.913791898945412</v>
      </c>
      <c r="EM50" s="22">
        <f t="shared" si="19"/>
        <v>436.61108755732994</v>
      </c>
      <c r="EN50" s="62">
        <f t="shared" si="20"/>
        <v>696.92130260597014</v>
      </c>
      <c r="EO50" s="62">
        <f ca="1">AVERAGE(OFFSET($EN$3,0,0,'Données projet'!$E$15+1,1))-AVERAGE(OFFSET($H$3,0,0,'Données projet'!$E$15+1,1))</f>
        <v>514.72748286045442</v>
      </c>
      <c r="EP50" s="62">
        <f t="shared" si="46"/>
        <v>322.28702110656116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6.3867027518488904</v>
      </c>
      <c r="EX50" s="23">
        <f>EXP(-LN(2)/2)*EX49+(1-EXP(-LN(2)/2))/(LN(2)/2)*ER50*EU50*VLOOKUP('Données projet'!$B$15,Paramètres!$A$1:$I$89,3,0)*0.475*44/12</f>
        <v>4.6153164009526307E-2</v>
      </c>
      <c r="EY50" s="24">
        <f t="shared" si="21"/>
        <v>6.4328559158584167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60.993695013265516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4.0999999999999996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15.033333333333331</v>
      </c>
      <c r="H51" s="70">
        <f t="shared" si="1"/>
        <v>196.53333333333333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70.794576398719499</v>
      </c>
      <c r="T51" s="62">
        <f t="shared" si="34"/>
        <v>328.91236364911629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2.6255087624373953E-4</v>
      </c>
      <c r="AC51" s="24">
        <f t="shared" si="3"/>
        <v>2.6255087624373953E-4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189.10320000000002</v>
      </c>
      <c r="AK51" s="14">
        <f t="shared" si="35"/>
        <v>47.34162854278712</v>
      </c>
      <c r="AL51" s="22">
        <f t="shared" si="4"/>
        <v>411.80807637868764</v>
      </c>
      <c r="AM51" s="62">
        <f t="shared" si="5"/>
        <v>672.69116870093512</v>
      </c>
      <c r="AN51" s="62">
        <f ca="1">AVERAGE(OFFSET($AM$3,0,0,'Données projet'!$E$10+1,1))-AVERAGE(OFFSET($H$3,0,0,'Données projet'!$E$10+1,1))</f>
        <v>466.75323833427217</v>
      </c>
      <c r="AO51" s="62">
        <f t="shared" si="36"/>
        <v>293.88550076209378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5.5430671645503677</v>
      </c>
      <c r="AW51" s="23">
        <f>EXP(-LN(2)/2)*AW50+(1-EXP(-LN(2)/2))/(LN(2)/2)*AQ51*AT51*VLOOKUP('Données projet'!$B$10,Paramètres!$A$1:$I$89,3,0)*0.475*44/12</f>
        <v>2.9120653602651671E-2</v>
      </c>
      <c r="AX51" s="23">
        <f t="shared" si="6"/>
        <v>5.5721878181530196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68.47741055388687</v>
      </c>
      <c r="BJ51" s="62">
        <f t="shared" si="38"/>
        <v>335.34467252166542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36.005542592593073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1.2134566965267535E-3</v>
      </c>
      <c r="BS51" s="24">
        <f t="shared" si="9"/>
        <v>36.006756049289599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5.6843418860808015E-14</v>
      </c>
      <c r="BZ51" s="14">
        <f>BY51*VLOOKUP('Données projet'!$B$12,Paramètres!$A$1:$I$89,3,0)*VLOOKUP('Données projet'!$B$12,Paramètres!$A$1:$I$89,5,0)</f>
        <v>3.3992364478763198E-14</v>
      </c>
      <c r="CA51" s="14">
        <f t="shared" si="39"/>
        <v>5.790027782444094E-13</v>
      </c>
      <c r="CB51" s="22">
        <f t="shared" si="10"/>
        <v>1.0676332069095257E-12</v>
      </c>
      <c r="CC51" s="62">
        <f t="shared" si="11"/>
        <v>260.88309232224856</v>
      </c>
      <c r="CD51" s="62">
        <f ca="1">AVERAGE(OFFSET($CC$3,0,0,'Données projet'!$E$12+1,1))-AVERAGE(OFFSET($H$3,0,0,'Données projet'!$E$12+1,1))</f>
        <v>211.76609132110815</v>
      </c>
      <c r="CE51" s="62">
        <f t="shared" si="40"/>
        <v>363.07965692095752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6.9160780047616628</v>
      </c>
      <c r="CL51" s="23">
        <f>EXP(-LN(2)/25)*CL50+(1-EXP(-LN(2)/25))/(LN(2)/25)*Calculateur!CG51*Calculateur!CI51*VLOOKUP('Données projet'!$B$12,Paramètres!$A$1:$I$89,3,0)*0.475*44/12</f>
        <v>3.302560599765767</v>
      </c>
      <c r="CM51" s="23">
        <f>EXP(-LN(2)/2)*CM50+(1-EXP(-LN(2)/2))/(LN(2)/2)*CG51*CJ51*VLOOKUP('Données projet'!$B$12,Paramètres!$A$1:$I$89,3,0)*0.475*44/12</f>
        <v>4.6053007720668381E-3</v>
      </c>
      <c r="CN51" s="24">
        <f t="shared" si="12"/>
        <v>10.223243905299496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-5.6843418860808015E-14</v>
      </c>
      <c r="CU51" s="18">
        <f>CT51*VLOOKUP('Données projet'!$B$13,Paramètres!$A$1:$I$89,3,0)*VLOOKUP('Données projet'!$B$13,Paramètres!$A$1:$I$89,5,0)</f>
        <v>-5.1431925385259088E-14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374.91250349988451</v>
      </c>
      <c r="CZ51" s="62">
        <f t="shared" si="42"/>
        <v>529.46825265662869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7.4108686945705724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7.4108686945705724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5.8</v>
      </c>
      <c r="DO51" s="13">
        <f>IF('Données projet'!$A$166&gt;35,DO50+DN51-DW50,IF(A51&lt;'Données projet'!$A$166,$DL$205^A51,IF(A51='Données projet'!$A$166,'Données projet'!$B$166,DO50+DN51-DW50)))</f>
        <v>153.40000000000003</v>
      </c>
      <c r="DP51" s="18">
        <f>DO51*VLOOKUP('Données projet'!$B$14,Paramètres!$A$1:$I$89,3,0)*VLOOKUP('Données projet'!$B$14,Paramètres!$A$1:$I$89,5,0)</f>
        <v>134.01024000000004</v>
      </c>
      <c r="DQ51" s="14">
        <f t="shared" si="43"/>
        <v>34.921363182969436</v>
      </c>
      <c r="DR51" s="22">
        <f t="shared" si="16"/>
        <v>294.22254221033847</v>
      </c>
      <c r="DS51" s="62">
        <f t="shared" si="17"/>
        <v>555.10563453258601</v>
      </c>
      <c r="DT51" s="62">
        <f ca="1">AVERAGE(OFFSET($DS$3,0,0,'Données projet'!$E$14+1,1))-AVERAGE(OFFSET($H$3,0,0,'Données projet'!$E$14+1,1))</f>
        <v>289.18543665577761</v>
      </c>
      <c r="DU51" s="62">
        <f t="shared" si="44"/>
        <v>291.40065947222843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6.759311001449416</v>
      </c>
      <c r="EC51" s="23">
        <f>EXP(-LN(2)/2)*EC50+(1-EXP(-LN(2)/2))/(LN(2)/2)*DW51*DZ51*VLOOKUP('Données projet'!$B$14,Paramètres!$A$1:$I$89,3,0)*0.475*44/12</f>
        <v>2.0442574971736925E-2</v>
      </c>
      <c r="ED51" s="24">
        <f t="shared" si="18"/>
        <v>6.7797535764211529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</v>
      </c>
      <c r="EJ51" s="13">
        <f>IF('Données projet'!$A$192&gt;35,EJ50+EI51-ER50,IF(A51&lt;'Données projet'!$A$192,$EG$205^A51,IF(A51='Données projet'!$A$192,'Données projet'!$B$192,EJ50+EI51-ER50)))</f>
        <v>209.00000000000003</v>
      </c>
      <c r="EK51" s="18">
        <f>EJ51*VLOOKUP('Données projet'!$B$15,Paramètres!$A$1:$I$89,3,0)*VLOOKUP('Données projet'!$B$15,Paramètres!$A$1:$I$89,5,0)</f>
        <v>211.92600000000004</v>
      </c>
      <c r="EL51" s="14">
        <f t="shared" si="45"/>
        <v>52.356241262970165</v>
      </c>
      <c r="EM51" s="22">
        <f t="shared" si="19"/>
        <v>460.29157019967312</v>
      </c>
      <c r="EN51" s="62">
        <f t="shared" si="20"/>
        <v>721.1746625219206</v>
      </c>
      <c r="EO51" s="62">
        <f ca="1">AVERAGE(OFFSET($EN$3,0,0,'Données projet'!$E$15+1,1))-AVERAGE(OFFSET($H$3,0,0,'Données projet'!$E$15+1,1))</f>
        <v>514.72748286045442</v>
      </c>
      <c r="EP51" s="62">
        <f t="shared" si="46"/>
        <v>322.28702110656116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6.2120580292374816</v>
      </c>
      <c r="EX51" s="23">
        <f>EXP(-LN(2)/2)*EX50+(1-EXP(-LN(2)/2))/(LN(2)/2)*ER51*EU51*VLOOKUP('Données projet'!$B$15,Paramètres!$A$1:$I$89,3,0)*0.475*44/12</f>
        <v>3.2635215244350958E-2</v>
      </c>
      <c r="EY51" s="24">
        <f t="shared" si="21"/>
        <v>6.2446932444818328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61.14993426970387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4.0999999999999996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15.033333333333331</v>
      </c>
      <c r="H52" s="70">
        <f t="shared" si="1"/>
        <v>196.53333333333333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70.794576398719499</v>
      </c>
      <c r="T52" s="62">
        <f t="shared" si="34"/>
        <v>328.91236364911629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1.8565150499841825E-4</v>
      </c>
      <c r="AC52" s="24">
        <f t="shared" si="3"/>
        <v>1.8565150499841825E-4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199.05600000000001</v>
      </c>
      <c r="AK52" s="14">
        <f t="shared" si="35"/>
        <v>49.536648006253934</v>
      </c>
      <c r="AL52" s="22">
        <f t="shared" si="4"/>
        <v>432.96552861089231</v>
      </c>
      <c r="AM52" s="62">
        <f t="shared" si="5"/>
        <v>694.41156006681172</v>
      </c>
      <c r="AN52" s="62">
        <f ca="1">AVERAGE(OFFSET($AM$3,0,0,'Données projet'!$E$10+1,1))-AVERAGE(OFFSET($H$3,0,0,'Données projet'!$E$10+1,1))</f>
        <v>466.75323833427217</v>
      </c>
      <c r="AO52" s="62">
        <f t="shared" si="36"/>
        <v>293.88550076209378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5.3914917014385049</v>
      </c>
      <c r="AW52" s="23">
        <f>EXP(-LN(2)/2)*AW51+(1-EXP(-LN(2)/2))/(LN(2)/2)*AQ52*AT52*VLOOKUP('Données projet'!$B$10,Paramètres!$A$1:$I$89,3,0)*0.475*44/12</f>
        <v>2.0591411635019465E-2</v>
      </c>
      <c r="AX52" s="23">
        <f t="shared" si="6"/>
        <v>5.4120831130735247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68.47741055388687</v>
      </c>
      <c r="BJ52" s="62">
        <f t="shared" si="38"/>
        <v>335.34467252166542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35.299495863564815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8.5804345879029391E-4</v>
      </c>
      <c r="BS52" s="24">
        <f t="shared" si="9"/>
        <v>35.300353907023606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5.6843418860808015E-14</v>
      </c>
      <c r="BZ52" s="14">
        <f>BY52*VLOOKUP('Données projet'!$B$12,Paramètres!$A$1:$I$89,3,0)*VLOOKUP('Données projet'!$B$12,Paramètres!$A$1:$I$89,5,0)</f>
        <v>3.3992364478763198E-14</v>
      </c>
      <c r="CA52" s="14">
        <f t="shared" si="39"/>
        <v>5.790027782444094E-13</v>
      </c>
      <c r="CB52" s="22">
        <f t="shared" si="10"/>
        <v>1.0676332069095257E-12</v>
      </c>
      <c r="CC52" s="62">
        <f t="shared" si="11"/>
        <v>261.44603145592043</v>
      </c>
      <c r="CD52" s="62">
        <f ca="1">AVERAGE(OFFSET($CC$3,0,0,'Données projet'!$E$12+1,1))-AVERAGE(OFFSET($H$3,0,0,'Données projet'!$E$12+1,1))</f>
        <v>211.76609132110815</v>
      </c>
      <c r="CE52" s="62">
        <f t="shared" si="40"/>
        <v>363.07965692095752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6.7804579334793376</v>
      </c>
      <c r="CL52" s="23">
        <f>EXP(-LN(2)/25)*CL51+(1-EXP(-LN(2)/25))/(LN(2)/25)*Calculateur!CG52*Calculateur!CI52*VLOOKUP('Données projet'!$B$12,Paramètres!$A$1:$I$89,3,0)*0.475*44/12</f>
        <v>3.2122519064910584</v>
      </c>
      <c r="CM52" s="23">
        <f>EXP(-LN(2)/2)*CM51+(1-EXP(-LN(2)/2))/(LN(2)/2)*CG52*CJ52*VLOOKUP('Données projet'!$B$12,Paramètres!$A$1:$I$89,3,0)*0.475*44/12</f>
        <v>3.2564394053321041E-3</v>
      </c>
      <c r="CN52" s="24">
        <f t="shared" si="12"/>
        <v>9.9959662793757271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-5.6843418860808015E-14</v>
      </c>
      <c r="CU52" s="18">
        <f>CT52*VLOOKUP('Données projet'!$B$13,Paramètres!$A$1:$I$89,3,0)*VLOOKUP('Données projet'!$B$13,Paramètres!$A$1:$I$89,5,0)</f>
        <v>-5.1431925385259088E-14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374.91250349988451</v>
      </c>
      <c r="CZ52" s="62">
        <f t="shared" si="42"/>
        <v>529.46825265662869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7.2655460796536158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7.2655460796536158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5.8</v>
      </c>
      <c r="DO52" s="13">
        <f>IF('Données projet'!$A$166&gt;35,DO51+DN52-DW51,IF(A52&lt;'Données projet'!$A$166,$DL$205^A52,IF(A52='Données projet'!$A$166,'Données projet'!$B$166,DO51+DN52-DW51)))</f>
        <v>159.20000000000005</v>
      </c>
      <c r="DP52" s="18">
        <f>DO52*VLOOKUP('Données projet'!$B$14,Paramètres!$A$1:$I$89,3,0)*VLOOKUP('Données projet'!$B$14,Paramètres!$A$1:$I$89,5,0)</f>
        <v>139.07712000000006</v>
      </c>
      <c r="DQ52" s="14">
        <f t="shared" si="43"/>
        <v>36.085505335071026</v>
      </c>
      <c r="DR52" s="22">
        <f t="shared" si="16"/>
        <v>305.07490579191546</v>
      </c>
      <c r="DS52" s="62">
        <f t="shared" si="17"/>
        <v>566.52093724783481</v>
      </c>
      <c r="DT52" s="62">
        <f ca="1">AVERAGE(OFFSET($DS$3,0,0,'Données projet'!$E$14+1,1))-AVERAGE(OFFSET($H$3,0,0,'Données projet'!$E$14+1,1))</f>
        <v>289.18543665577761</v>
      </c>
      <c r="DU52" s="62">
        <f t="shared" si="44"/>
        <v>291.40065947222843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6.5744772866580652</v>
      </c>
      <c r="EC52" s="23">
        <f>EXP(-LN(2)/2)*EC51+(1-EXP(-LN(2)/2))/(LN(2)/2)*DW52*DZ52*VLOOKUP('Données projet'!$B$14,Paramètres!$A$1:$I$89,3,0)*0.475*44/12</f>
        <v>1.4455083387429575E-2</v>
      </c>
      <c r="ED52" s="24">
        <f t="shared" si="18"/>
        <v>6.5889323700454945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</v>
      </c>
      <c r="EJ52" s="13">
        <f>IF('Données projet'!$A$192&gt;35,EJ51+EI52-ER51,IF(A52&lt;'Données projet'!$A$192,$EG$205^A52,IF(A52='Données projet'!$A$192,'Données projet'!$B$192,EJ51+EI52-ER51)))</f>
        <v>220.00000000000003</v>
      </c>
      <c r="EK52" s="18">
        <f>EJ52*VLOOKUP('Données projet'!$B$15,Paramètres!$A$1:$I$89,3,0)*VLOOKUP('Données projet'!$B$15,Paramètres!$A$1:$I$89,5,0)</f>
        <v>223.08000000000004</v>
      </c>
      <c r="EL52" s="14">
        <f t="shared" si="45"/>
        <v>54.783765878062667</v>
      </c>
      <c r="EM52" s="22">
        <f t="shared" si="19"/>
        <v>483.94605890429256</v>
      </c>
      <c r="EN52" s="62">
        <f t="shared" si="20"/>
        <v>745.39209036021191</v>
      </c>
      <c r="EO52" s="62">
        <f ca="1">AVERAGE(OFFSET($EN$3,0,0,'Données projet'!$E$15+1,1))-AVERAGE(OFFSET($H$3,0,0,'Données projet'!$E$15+1,1))</f>
        <v>514.72748286045442</v>
      </c>
      <c r="EP52" s="62">
        <f t="shared" si="46"/>
        <v>322.28702110656116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6.0421889757500491</v>
      </c>
      <c r="EX52" s="23">
        <f>EXP(-LN(2)/2)*EX51+(1-EXP(-LN(2)/2))/(LN(2)/2)*ER52*EU52*VLOOKUP('Données projet'!$B$15,Paramètres!$A$1:$I$89,3,0)*0.475*44/12</f>
        <v>2.3076582004763153E-2</v>
      </c>
      <c r="EY52" s="24">
        <f t="shared" si="21"/>
        <v>6.0652655577548122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61.303463124341654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4.0999999999999996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15.033333333333331</v>
      </c>
      <c r="H53" s="70">
        <f t="shared" si="1"/>
        <v>196.53333333333333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70.794576398719499</v>
      </c>
      <c r="T53" s="62">
        <f t="shared" si="34"/>
        <v>328.91236364911629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1.3127543812186976E-4</v>
      </c>
      <c r="AC53" s="24">
        <f t="shared" si="3"/>
        <v>1.3127543812186976E-4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209.00880000000004</v>
      </c>
      <c r="AK53" s="14">
        <f t="shared" si="35"/>
        <v>51.718923953824252</v>
      </c>
      <c r="AL53" s="22">
        <f t="shared" si="4"/>
        <v>454.10078588624395</v>
      </c>
      <c r="AM53" s="62">
        <f t="shared" si="5"/>
        <v>716.09999074040945</v>
      </c>
      <c r="AN53" s="62">
        <f ca="1">AVERAGE(OFFSET($AM$3,0,0,'Données projet'!$E$10+1,1))-AVERAGE(OFFSET($H$3,0,0,'Données projet'!$E$10+1,1))</f>
        <v>466.75323833427217</v>
      </c>
      <c r="AO53" s="62">
        <f t="shared" si="36"/>
        <v>293.88550076209378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5.2440610773364424</v>
      </c>
      <c r="AW53" s="23">
        <f>EXP(-LN(2)/2)*AW52+(1-EXP(-LN(2)/2))/(LN(2)/2)*AQ53*AT53*VLOOKUP('Données projet'!$B$10,Paramètres!$A$1:$I$89,3,0)*0.475*44/12</f>
        <v>1.4560326801325837E-2</v>
      </c>
      <c r="AX53" s="23">
        <f t="shared" si="6"/>
        <v>5.2586214041377684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68.47741055388687</v>
      </c>
      <c r="BJ53" s="62">
        <f t="shared" si="38"/>
        <v>335.34467252166542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34.607294280246819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6.0672834826337675E-4</v>
      </c>
      <c r="BS53" s="24">
        <f t="shared" si="9"/>
        <v>34.607901008595086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5.6843418860808015E-14</v>
      </c>
      <c r="BZ53" s="14">
        <f>BY53*VLOOKUP('Données projet'!$B$12,Paramètres!$A$1:$I$89,3,0)*VLOOKUP('Données projet'!$B$12,Paramètres!$A$1:$I$89,5,0)</f>
        <v>3.3992364478763198E-14</v>
      </c>
      <c r="CA53" s="14">
        <f t="shared" si="39"/>
        <v>5.790027782444094E-13</v>
      </c>
      <c r="CB53" s="22">
        <f t="shared" si="10"/>
        <v>1.0676332069095257E-12</v>
      </c>
      <c r="CC53" s="62">
        <f t="shared" si="11"/>
        <v>261.99920485416658</v>
      </c>
      <c r="CD53" s="62">
        <f ca="1">AVERAGE(OFFSET($CC$3,0,0,'Données projet'!$E$12+1,1))-AVERAGE(OFFSET($H$3,0,0,'Données projet'!$E$12+1,1))</f>
        <v>211.76609132110815</v>
      </c>
      <c r="CE53" s="62">
        <f t="shared" si="40"/>
        <v>363.07965692095752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6.6474972890747832</v>
      </c>
      <c r="CL53" s="23">
        <f>EXP(-LN(2)/25)*CL52+(1-EXP(-LN(2)/25))/(LN(2)/25)*Calculateur!CG53*Calculateur!CI53*VLOOKUP('Données projet'!$B$12,Paramètres!$A$1:$I$89,3,0)*0.475*44/12</f>
        <v>3.1244127091830745</v>
      </c>
      <c r="CM53" s="23">
        <f>EXP(-LN(2)/2)*CM52+(1-EXP(-LN(2)/2))/(LN(2)/2)*CG53*CJ53*VLOOKUP('Données projet'!$B$12,Paramètres!$A$1:$I$89,3,0)*0.475*44/12</f>
        <v>2.302650386033419E-3</v>
      </c>
      <c r="CN53" s="24">
        <f t="shared" si="12"/>
        <v>9.7742126486438909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-5.6843418860808015E-14</v>
      </c>
      <c r="CU53" s="18">
        <f>CT53*VLOOKUP('Données projet'!$B$13,Paramètres!$A$1:$I$89,3,0)*VLOOKUP('Données projet'!$B$13,Paramètres!$A$1:$I$89,5,0)</f>
        <v>-5.1431925385259088E-14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374.91250349988451</v>
      </c>
      <c r="CZ53" s="62">
        <f t="shared" si="42"/>
        <v>529.46825265662869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7.1230731525771382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7.1230731525771382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165</v>
      </c>
      <c r="DM53" s="13">
        <f>VLOOKUP(A53,'Données projet'!$A$165:$I$185,9,0)</f>
        <v>5.8</v>
      </c>
      <c r="DN53" s="13">
        <f t="array" ref="DN53">INDEX(DM:DM,MIN(IF(ISNUMBER(DM53:DM249),ROW(DM53:DM249),"")))</f>
        <v>5.8</v>
      </c>
      <c r="DO53" s="13">
        <f>IF('Données projet'!$A$166&gt;35,DO52+DN53-DW52,IF(A53&lt;'Données projet'!$A$166,$DL$205^A53,IF(A53='Données projet'!$A$166,'Données projet'!$B$166,DO52+DN53-DW52)))</f>
        <v>165.00000000000006</v>
      </c>
      <c r="DP53" s="18">
        <f>DO53*VLOOKUP('Données projet'!$B$14,Paramètres!$A$1:$I$89,3,0)*VLOOKUP('Données projet'!$B$14,Paramètres!$A$1:$I$89,5,0)</f>
        <v>144.14400000000006</v>
      </c>
      <c r="DQ53" s="14">
        <f t="shared" si="43"/>
        <v>37.244720006976252</v>
      </c>
      <c r="DR53" s="22">
        <f t="shared" si="16"/>
        <v>315.91868734548376</v>
      </c>
      <c r="DS53" s="62">
        <f t="shared" si="17"/>
        <v>577.91789219964926</v>
      </c>
      <c r="DT53" s="62">
        <f ca="1">AVERAGE(OFFSET($DS$3,0,0,'Données projet'!$E$14+1,1))-AVERAGE(OFFSET($H$3,0,0,'Données projet'!$E$14+1,1))</f>
        <v>289.18543665577761</v>
      </c>
      <c r="DU53" s="62">
        <f t="shared" si="44"/>
        <v>291.40065947222843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19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6.3946978595176658</v>
      </c>
      <c r="EC53" s="23">
        <f>EXP(-LN(2)/2)*EC52+(1-EXP(-LN(2)/2))/(LN(2)/2)*DW53*DZ53*VLOOKUP('Données projet'!$B$14,Paramètres!$A$1:$I$89,3,0)*0.475*44/12</f>
        <v>1.0221287485868463E-2</v>
      </c>
      <c r="ED53" s="24">
        <f t="shared" si="18"/>
        <v>6.4049191470035343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231</v>
      </c>
      <c r="EH53" s="13">
        <f>VLOOKUP(A53,'Données projet'!$A$191:$I$211,9,0)</f>
        <v>11</v>
      </c>
      <c r="EI53" s="13">
        <f t="array" ref="EI53">INDEX(EH:EH,MIN(IF(ISNUMBER(EH53:EH249),ROW(EH53:EH249),"")))</f>
        <v>11</v>
      </c>
      <c r="EJ53" s="13">
        <f>IF('Données projet'!$A$192&gt;35,EJ52+EI53-ER52,IF(A53&lt;'Données projet'!$A$192,$EG$205^A53,IF(A53='Données projet'!$A$192,'Données projet'!$B$192,EJ52+EI53-ER52)))</f>
        <v>231.00000000000003</v>
      </c>
      <c r="EK53" s="18">
        <f>EJ53*VLOOKUP('Données projet'!$B$15,Paramètres!$A$1:$I$89,3,0)*VLOOKUP('Données projet'!$B$15,Paramètres!$A$1:$I$89,5,0)</f>
        <v>234.23400000000007</v>
      </c>
      <c r="EL53" s="14">
        <f t="shared" si="45"/>
        <v>57.197197133603488</v>
      </c>
      <c r="EM53" s="22">
        <f t="shared" si="19"/>
        <v>507.57600167435953</v>
      </c>
      <c r="EN53" s="62">
        <f t="shared" si="20"/>
        <v>769.57520652852509</v>
      </c>
      <c r="EO53" s="62">
        <f ca="1">AVERAGE(OFFSET($EN$3,0,0,'Données projet'!$E$15+1,1))-AVERAGE(OFFSET($H$3,0,0,'Données projet'!$E$15+1,1))</f>
        <v>514.72748286045442</v>
      </c>
      <c r="EP53" s="62">
        <f t="shared" si="46"/>
        <v>322.28702110656116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28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5.8769650004632554</v>
      </c>
      <c r="EX53" s="23">
        <f>EXP(-LN(2)/2)*EX52+(1-EXP(-LN(2)/2))/(LN(2)/2)*ER53*EU53*VLOOKUP('Données projet'!$B$15,Paramètres!$A$1:$I$89,3,0)*0.475*44/12</f>
        <v>1.6317607622175479E-2</v>
      </c>
      <c r="EY53" s="24">
        <f t="shared" si="21"/>
        <v>5.893282608085431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61.454328596590578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4.0999999999999996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15.033333333333331</v>
      </c>
      <c r="H54" s="70">
        <f t="shared" si="1"/>
        <v>196.53333333333333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70.794576398719499</v>
      </c>
      <c r="T54" s="62">
        <f t="shared" si="34"/>
        <v>328.91236364911629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9.2825752499209124E-5</v>
      </c>
      <c r="AC54" s="24">
        <f t="shared" si="3"/>
        <v>9.2825752499209124E-5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192.90336000000002</v>
      </c>
      <c r="AK54" s="14">
        <f t="shared" si="35"/>
        <v>48.181276881765257</v>
      </c>
      <c r="AL54" s="22">
        <f t="shared" si="4"/>
        <v>419.88907590240791</v>
      </c>
      <c r="AM54" s="62">
        <f t="shared" si="5"/>
        <v>682.43185783307024</v>
      </c>
      <c r="AN54" s="62">
        <f ca="1">AVERAGE(OFFSET($AM$3,0,0,'Données projet'!$E$10+1,1))-AVERAGE(OFFSET($H$3,0,0,'Données projet'!$E$10+1,1))</f>
        <v>466.75323833427217</v>
      </c>
      <c r="AO54" s="62">
        <f t="shared" si="36"/>
        <v>293.88550076209378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5.1006619514034908</v>
      </c>
      <c r="AW54" s="23">
        <f>EXP(-LN(2)/2)*AW53+(1-EXP(-LN(2)/2))/(LN(2)/2)*AQ54*AT54*VLOOKUP('Données projet'!$B$10,Paramètres!$A$1:$I$89,3,0)*0.475*44/12</f>
        <v>1.0295705817509732E-2</v>
      </c>
      <c r="AX54" s="23">
        <f t="shared" si="6"/>
        <v>5.1109576572210003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68.47741055388687</v>
      </c>
      <c r="BJ54" s="62">
        <f t="shared" si="38"/>
        <v>335.34467252166542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33.928666347776414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4.2902172939514695E-4</v>
      </c>
      <c r="BS54" s="24">
        <f t="shared" si="9"/>
        <v>33.929095369505809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5.6843418860808015E-14</v>
      </c>
      <c r="BZ54" s="14">
        <f>BY54*VLOOKUP('Données projet'!$B$12,Paramètres!$A$1:$I$89,3,0)*VLOOKUP('Données projet'!$B$12,Paramètres!$A$1:$I$89,5,0)</f>
        <v>3.3992364478763198E-14</v>
      </c>
      <c r="CA54" s="14">
        <f t="shared" si="39"/>
        <v>5.790027782444094E-13</v>
      </c>
      <c r="CB54" s="22">
        <f t="shared" si="10"/>
        <v>1.0676332069095257E-12</v>
      </c>
      <c r="CC54" s="62">
        <f t="shared" si="11"/>
        <v>262.54278193066341</v>
      </c>
      <c r="CD54" s="62">
        <f ca="1">AVERAGE(OFFSET($CC$3,0,0,'Données projet'!$E$12+1,1))-AVERAGE(OFFSET($H$3,0,0,'Données projet'!$E$12+1,1))</f>
        <v>211.76609132110815</v>
      </c>
      <c r="CE54" s="62">
        <f t="shared" si="40"/>
        <v>363.07965692095752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6.5171439218090175</v>
      </c>
      <c r="CL54" s="23">
        <f>EXP(-LN(2)/25)*CL53+(1-EXP(-LN(2)/25))/(LN(2)/25)*Calculateur!CG54*Calculateur!CI54*VLOOKUP('Données projet'!$B$12,Paramètres!$A$1:$I$89,3,0)*0.475*44/12</f>
        <v>3.0389754793447397</v>
      </c>
      <c r="CM54" s="23">
        <f>EXP(-LN(2)/2)*CM53+(1-EXP(-LN(2)/2))/(LN(2)/2)*CG54*CJ54*VLOOKUP('Données projet'!$B$12,Paramètres!$A$1:$I$89,3,0)*0.475*44/12</f>
        <v>1.6282197026660521E-3</v>
      </c>
      <c r="CN54" s="24">
        <f t="shared" si="12"/>
        <v>9.5577476208564249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-5.6843418860808015E-14</v>
      </c>
      <c r="CU54" s="18">
        <f>CT54*VLOOKUP('Données projet'!$B$13,Paramètres!$A$1:$I$89,3,0)*VLOOKUP('Données projet'!$B$13,Paramètres!$A$1:$I$89,5,0)</f>
        <v>-5.1431925385259088E-14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374.91250349988451</v>
      </c>
      <c r="CZ54" s="62">
        <f t="shared" si="42"/>
        <v>529.46825265662869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6.9833940327007253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6.9833940327007253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5.2</v>
      </c>
      <c r="DO54" s="13">
        <f>IF('Données projet'!$A$166&gt;35,DO53+DN54-DW53,IF(A54&lt;'Données projet'!$A$166,$DL$205^A54,IF(A54='Données projet'!$A$166,'Données projet'!$B$166,DO53+DN54-DW53)))</f>
        <v>151.20000000000005</v>
      </c>
      <c r="DP54" s="18">
        <f>DO54*VLOOKUP('Données projet'!$B$14,Paramètres!$A$1:$I$89,3,0)*VLOOKUP('Données projet'!$B$14,Paramètres!$A$1:$I$89,5,0)</f>
        <v>132.08832000000007</v>
      </c>
      <c r="DQ54" s="14">
        <f t="shared" si="43"/>
        <v>34.478460296570596</v>
      </c>
      <c r="DR54" s="22">
        <f t="shared" si="16"/>
        <v>290.10380901652724</v>
      </c>
      <c r="DS54" s="62">
        <f t="shared" si="17"/>
        <v>552.64659094718957</v>
      </c>
      <c r="DT54" s="62">
        <f ca="1">AVERAGE(OFFSET($DS$3,0,0,'Données projet'!$E$14+1,1))-AVERAGE(OFFSET($H$3,0,0,'Données projet'!$E$14+1,1))</f>
        <v>289.18543665577761</v>
      </c>
      <c r="DU54" s="62">
        <f t="shared" si="44"/>
        <v>291.40065947222843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6.2198345102666099</v>
      </c>
      <c r="EC54" s="23">
        <f>EXP(-LN(2)/2)*EC53+(1-EXP(-LN(2)/2))/(LN(2)/2)*DW54*DZ54*VLOOKUP('Données projet'!$B$14,Paramètres!$A$1:$I$89,3,0)*0.475*44/12</f>
        <v>7.2275416937147875E-3</v>
      </c>
      <c r="ED54" s="24">
        <f t="shared" si="18"/>
        <v>6.227062051960325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10.199999999999999</v>
      </c>
      <c r="EJ54" s="13">
        <f>IF('Données projet'!$A$192&gt;35,EJ53+EI54-ER53,IF(A54&lt;'Données projet'!$A$192,$EG$205^A54,IF(A54='Données projet'!$A$192,'Données projet'!$B$192,EJ53+EI54-ER53)))</f>
        <v>213.20000000000002</v>
      </c>
      <c r="EK54" s="18">
        <f>EJ54*VLOOKUP('Données projet'!$B$15,Paramètres!$A$1:$I$89,3,0)*VLOOKUP('Données projet'!$B$15,Paramètres!$A$1:$I$89,5,0)</f>
        <v>216.18480000000002</v>
      </c>
      <c r="EL54" s="14">
        <f t="shared" si="45"/>
        <v>53.284828478170375</v>
      </c>
      <c r="EM54" s="22">
        <f t="shared" si="19"/>
        <v>469.3262695994801</v>
      </c>
      <c r="EN54" s="62">
        <f t="shared" si="20"/>
        <v>731.86905153014243</v>
      </c>
      <c r="EO54" s="62">
        <f ca="1">AVERAGE(OFFSET($EN$3,0,0,'Données projet'!$E$15+1,1))-AVERAGE(OFFSET($H$3,0,0,'Données projet'!$E$15+1,1))</f>
        <v>514.72748286045442</v>
      </c>
      <c r="EP54" s="62">
        <f t="shared" si="46"/>
        <v>322.28702110656116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5.7162590834694305</v>
      </c>
      <c r="EX54" s="23">
        <f>EXP(-LN(2)/2)*EX53+(1-EXP(-LN(2)/2))/(LN(2)/2)*ER54*EU54*VLOOKUP('Données projet'!$B$15,Paramètres!$A$1:$I$89,3,0)*0.475*44/12</f>
        <v>1.1538291002381577E-2</v>
      </c>
      <c r="EY54" s="24">
        <f t="shared" si="21"/>
        <v>5.7277973744718125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61.60257689018065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4.0999999999999996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15.033333333333331</v>
      </c>
      <c r="H55" s="70">
        <f t="shared" si="1"/>
        <v>196.53333333333333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70.794576398719499</v>
      </c>
      <c r="T55" s="62">
        <f t="shared" si="34"/>
        <v>328.91236364911629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6.5637719060934881E-5</v>
      </c>
      <c r="AC55" s="24">
        <f t="shared" si="3"/>
        <v>6.5637719060934881E-5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202.13232000000002</v>
      </c>
      <c r="AK55" s="14">
        <f t="shared" si="35"/>
        <v>50.212497488959627</v>
      </c>
      <c r="AL55" s="22">
        <f t="shared" si="4"/>
        <v>439.50055712660469</v>
      </c>
      <c r="AM55" s="62">
        <f t="shared" si="5"/>
        <v>702.57748628674312</v>
      </c>
      <c r="AN55" s="62">
        <f ca="1">AVERAGE(OFFSET($AM$3,0,0,'Données projet'!$E$10+1,1))-AVERAGE(OFFSET($H$3,0,0,'Données projet'!$E$10+1,1))</f>
        <v>466.75323833427217</v>
      </c>
      <c r="AO55" s="62">
        <f t="shared" si="36"/>
        <v>293.88550076209378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4.9611840821102078</v>
      </c>
      <c r="AW55" s="23">
        <f>EXP(-LN(2)/2)*AW54+(1-EXP(-LN(2)/2))/(LN(2)/2)*AQ55*AT55*VLOOKUP('Données projet'!$B$10,Paramètres!$A$1:$I$89,3,0)*0.475*44/12</f>
        <v>7.2801634006629187E-3</v>
      </c>
      <c r="AX55" s="23">
        <f t="shared" si="6"/>
        <v>4.9684642455108703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68.47741055388687</v>
      </c>
      <c r="BJ55" s="62">
        <f t="shared" si="38"/>
        <v>335.34467252166542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33.263345895139587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3.0336417413168838E-4</v>
      </c>
      <c r="BS55" s="24">
        <f t="shared" si="9"/>
        <v>33.263649259313716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5.6843418860808015E-14</v>
      </c>
      <c r="BZ55" s="14">
        <f>BY55*VLOOKUP('Données projet'!$B$12,Paramètres!$A$1:$I$89,3,0)*VLOOKUP('Données projet'!$B$12,Paramètres!$A$1:$I$89,5,0)</f>
        <v>3.3992364478763198E-14</v>
      </c>
      <c r="CA55" s="14">
        <f t="shared" si="39"/>
        <v>5.790027782444094E-13</v>
      </c>
      <c r="CB55" s="22">
        <f t="shared" si="10"/>
        <v>1.0676332069095257E-12</v>
      </c>
      <c r="CC55" s="62">
        <f t="shared" si="11"/>
        <v>263.07692916013946</v>
      </c>
      <c r="CD55" s="62">
        <f ca="1">AVERAGE(OFFSET($CC$3,0,0,'Données projet'!$E$12+1,1))-AVERAGE(OFFSET($H$3,0,0,'Données projet'!$E$12+1,1))</f>
        <v>211.76609132110815</v>
      </c>
      <c r="CE55" s="62">
        <f t="shared" si="40"/>
        <v>363.07965692095752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6.3893467045676298</v>
      </c>
      <c r="CL55" s="23">
        <f>EXP(-LN(2)/25)*CL54+(1-EXP(-LN(2)/25))/(LN(2)/25)*Calculateur!CG55*Calculateur!CI55*VLOOKUP('Données projet'!$B$12,Paramètres!$A$1:$I$89,3,0)*0.475*44/12</f>
        <v>2.9558745350492828</v>
      </c>
      <c r="CM55" s="23">
        <f>EXP(-LN(2)/2)*CM54+(1-EXP(-LN(2)/2))/(LN(2)/2)*CG55*CJ55*VLOOKUP('Données projet'!$B$12,Paramètres!$A$1:$I$89,3,0)*0.475*44/12</f>
        <v>1.1513251930167095E-3</v>
      </c>
      <c r="CN55" s="24">
        <f t="shared" si="12"/>
        <v>9.3463725648099292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-5.6843418860808015E-14</v>
      </c>
      <c r="CU55" s="18">
        <f>CT55*VLOOKUP('Données projet'!$B$13,Paramètres!$A$1:$I$89,3,0)*VLOOKUP('Données projet'!$B$13,Paramètres!$A$1:$I$89,5,0)</f>
        <v>-5.1431925385259088E-14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374.91250349988451</v>
      </c>
      <c r="CZ55" s="62">
        <f t="shared" si="42"/>
        <v>529.46825265662869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6.8464539351692384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6.8464539351692384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5.2</v>
      </c>
      <c r="DO55" s="13">
        <f>IF('Données projet'!$A$166&gt;35,DO54+DN55-DW54,IF(A55&lt;'Données projet'!$A$166,$DL$205^A55,IF(A55='Données projet'!$A$166,'Données projet'!$B$166,DO54+DN55-DW54)))</f>
        <v>156.40000000000003</v>
      </c>
      <c r="DP55" s="18">
        <f>DO55*VLOOKUP('Données projet'!$B$14,Paramètres!$A$1:$I$89,3,0)*VLOOKUP('Données projet'!$B$14,Paramètres!$A$1:$I$89,5,0)</f>
        <v>136.63104000000004</v>
      </c>
      <c r="DQ55" s="14">
        <f t="shared" si="43"/>
        <v>35.52413336387999</v>
      </c>
      <c r="DR55" s="22">
        <f t="shared" si="16"/>
        <v>299.83692694209105</v>
      </c>
      <c r="DS55" s="62">
        <f t="shared" si="17"/>
        <v>562.91385610222937</v>
      </c>
      <c r="DT55" s="62">
        <f ca="1">AVERAGE(OFFSET($DS$3,0,0,'Données projet'!$E$14+1,1))-AVERAGE(OFFSET($H$3,0,0,'Données projet'!$E$14+1,1))</f>
        <v>289.18543665577761</v>
      </c>
      <c r="DU55" s="62">
        <f t="shared" si="44"/>
        <v>291.40065947222843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6.0497528084964882</v>
      </c>
      <c r="EC55" s="23">
        <f>EXP(-LN(2)/2)*EC54+(1-EXP(-LN(2)/2))/(LN(2)/2)*DW55*DZ55*VLOOKUP('Données projet'!$B$14,Paramètres!$A$1:$I$89,3,0)*0.475*44/12</f>
        <v>5.1106437429342313E-3</v>
      </c>
      <c r="ED55" s="24">
        <f t="shared" si="18"/>
        <v>6.054863452239422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10.199999999999999</v>
      </c>
      <c r="EJ55" s="13">
        <f>IF('Données projet'!$A$192&gt;35,EJ54+EI55-ER54,IF(A55&lt;'Données projet'!$A$192,$EG$205^A55,IF(A55='Données projet'!$A$192,'Données projet'!$B$192,EJ54+EI55-ER54)))</f>
        <v>223.4</v>
      </c>
      <c r="EK55" s="18">
        <f>EJ55*VLOOKUP('Données projet'!$B$15,Paramètres!$A$1:$I$89,3,0)*VLOOKUP('Données projet'!$B$15,Paramètres!$A$1:$I$89,5,0)</f>
        <v>226.52760000000001</v>
      </c>
      <c r="EL55" s="14">
        <f t="shared" si="45"/>
        <v>55.531204013656371</v>
      </c>
      <c r="EM55" s="22">
        <f t="shared" si="19"/>
        <v>491.25241699045142</v>
      </c>
      <c r="EN55" s="62">
        <f t="shared" si="20"/>
        <v>754.3293461505898</v>
      </c>
      <c r="EO55" s="62">
        <f ca="1">AVERAGE(OFFSET($EN$3,0,0,'Données projet'!$E$15+1,1))-AVERAGE(OFFSET($H$3,0,0,'Données projet'!$E$15+1,1))</f>
        <v>514.72748286045442</v>
      </c>
      <c r="EP55" s="62">
        <f t="shared" si="46"/>
        <v>322.28702110656116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5.5599476782269583</v>
      </c>
      <c r="EX55" s="23">
        <f>EXP(-LN(2)/2)*EX54+(1-EXP(-LN(2)/2))/(LN(2)/2)*ER55*EU55*VLOOKUP('Données projet'!$B$15,Paramètres!$A$1:$I$89,3,0)*0.475*44/12</f>
        <v>8.1588038110877396E-3</v>
      </c>
      <c r="EY55" s="24">
        <f t="shared" si="21"/>
        <v>5.5681064820380461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61.748253407310465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4.0999999999999996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15.033333333333331</v>
      </c>
      <c r="H56" s="70">
        <f t="shared" si="1"/>
        <v>196.53333333333333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70.794576398719499</v>
      </c>
      <c r="T56" s="62">
        <f t="shared" si="34"/>
        <v>328.91236364911629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4.6412876249604562E-5</v>
      </c>
      <c r="AC56" s="24">
        <f t="shared" si="3"/>
        <v>4.6412876249604562E-5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211.36127999999999</v>
      </c>
      <c r="AK56" s="14">
        <f t="shared" si="35"/>
        <v>52.232947669705631</v>
      </c>
      <c r="AL56" s="22">
        <f t="shared" si="4"/>
        <v>459.09327985807062</v>
      </c>
      <c r="AM56" s="62">
        <f t="shared" si="5"/>
        <v>722.69508998742788</v>
      </c>
      <c r="AN56" s="62">
        <f ca="1">AVERAGE(OFFSET($AM$3,0,0,'Données projet'!$E$10+1,1))-AVERAGE(OFFSET($H$3,0,0,'Données projet'!$E$10+1,1))</f>
        <v>466.75323833427217</v>
      </c>
      <c r="AO56" s="62">
        <f t="shared" si="36"/>
        <v>293.88550076209378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4.8255202424875723</v>
      </c>
      <c r="AW56" s="23">
        <f>EXP(-LN(2)/2)*AW55+(1-EXP(-LN(2)/2))/(LN(2)/2)*AQ56*AT56*VLOOKUP('Données projet'!$B$10,Paramètres!$A$1:$I$89,3,0)*0.475*44/12</f>
        <v>5.1478529087548661E-3</v>
      </c>
      <c r="AX56" s="23">
        <f t="shared" si="6"/>
        <v>4.8306680953963275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68.47741055388687</v>
      </c>
      <c r="BJ56" s="62">
        <f t="shared" si="38"/>
        <v>335.34467252166542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32.611071970773558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2.1451086469757348E-4</v>
      </c>
      <c r="BS56" s="24">
        <f t="shared" si="9"/>
        <v>32.611286481638253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5.6843418860808015E-14</v>
      </c>
      <c r="BZ56" s="14">
        <f>BY56*VLOOKUP('Données projet'!$B$12,Paramètres!$A$1:$I$89,3,0)*VLOOKUP('Données projet'!$B$12,Paramètres!$A$1:$I$89,5,0)</f>
        <v>3.3992364478763198E-14</v>
      </c>
      <c r="CA56" s="14">
        <f t="shared" si="39"/>
        <v>5.790027782444094E-13</v>
      </c>
      <c r="CB56" s="22">
        <f t="shared" si="10"/>
        <v>1.0676332069095257E-12</v>
      </c>
      <c r="CC56" s="62">
        <f t="shared" si="11"/>
        <v>263.60181012935834</v>
      </c>
      <c r="CD56" s="62">
        <f ca="1">AVERAGE(OFFSET($CC$3,0,0,'Données projet'!$E$12+1,1))-AVERAGE(OFFSET($H$3,0,0,'Données projet'!$E$12+1,1))</f>
        <v>211.76609132110815</v>
      </c>
      <c r="CE56" s="62">
        <f t="shared" si="40"/>
        <v>363.07965692095752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6.2640555128077402</v>
      </c>
      <c r="CL56" s="23">
        <f>EXP(-LN(2)/25)*CL55+(1-EXP(-LN(2)/25))/(LN(2)/25)*Calculateur!CG56*Calculateur!CI56*VLOOKUP('Données projet'!$B$12,Paramètres!$A$1:$I$89,3,0)*0.475*44/12</f>
        <v>2.875045990445674</v>
      </c>
      <c r="CM56" s="23">
        <f>EXP(-LN(2)/2)*CM55+(1-EXP(-LN(2)/2))/(LN(2)/2)*CG56*CJ56*VLOOKUP('Données projet'!$B$12,Paramètres!$A$1:$I$89,3,0)*0.475*44/12</f>
        <v>8.1410985133302603E-4</v>
      </c>
      <c r="CN56" s="24">
        <f t="shared" si="12"/>
        <v>9.1399156131047476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-5.6843418860808015E-14</v>
      </c>
      <c r="CU56" s="18">
        <f>CT56*VLOOKUP('Données projet'!$B$13,Paramètres!$A$1:$I$89,3,0)*VLOOKUP('Données projet'!$B$13,Paramètres!$A$1:$I$89,5,0)</f>
        <v>-5.1431925385259088E-14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374.91250349988451</v>
      </c>
      <c r="CZ56" s="62">
        <f t="shared" si="42"/>
        <v>529.46825265662869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6.7121991494251318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6.7121991494251318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5.2</v>
      </c>
      <c r="DO56" s="13">
        <f>IF('Données projet'!$A$166&gt;35,DO55+DN56-DW55,IF(A56&lt;'Données projet'!$A$166,$DL$205^A56,IF(A56='Données projet'!$A$166,'Données projet'!$B$166,DO55+DN56-DW55)))</f>
        <v>161.60000000000002</v>
      </c>
      <c r="DP56" s="18">
        <f>DO56*VLOOKUP('Données projet'!$B$14,Paramètres!$A$1:$I$89,3,0)*VLOOKUP('Données projet'!$B$14,Paramètres!$A$1:$I$89,5,0)</f>
        <v>141.17376000000004</v>
      </c>
      <c r="DQ56" s="14">
        <f t="shared" si="43"/>
        <v>36.565766630582281</v>
      </c>
      <c r="DR56" s="22">
        <f t="shared" si="16"/>
        <v>309.56300888159757</v>
      </c>
      <c r="DS56" s="62">
        <f t="shared" si="17"/>
        <v>573.16481901095483</v>
      </c>
      <c r="DT56" s="62">
        <f ca="1">AVERAGE(OFFSET($DS$3,0,0,'Données projet'!$E$14+1,1))-AVERAGE(OFFSET($H$3,0,0,'Données projet'!$E$14+1,1))</f>
        <v>289.18543665577761</v>
      </c>
      <c r="DU56" s="62">
        <f t="shared" si="44"/>
        <v>291.40065947222843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5.8843219998054783</v>
      </c>
      <c r="EC56" s="23">
        <f>EXP(-LN(2)/2)*EC55+(1-EXP(-LN(2)/2))/(LN(2)/2)*DW56*DZ56*VLOOKUP('Données projet'!$B$14,Paramètres!$A$1:$I$89,3,0)*0.475*44/12</f>
        <v>3.6137708468573938E-3</v>
      </c>
      <c r="ED56" s="24">
        <f t="shared" si="18"/>
        <v>5.8879357706523354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10.199999999999999</v>
      </c>
      <c r="EJ56" s="13">
        <f>IF('Données projet'!$A$192&gt;35,EJ55+EI56-ER55,IF(A56&lt;'Données projet'!$A$192,$EG$205^A56,IF(A56='Données projet'!$A$192,'Données projet'!$B$192,EJ55+EI56-ER55)))</f>
        <v>233.6</v>
      </c>
      <c r="EK56" s="18">
        <f>EJ56*VLOOKUP('Données projet'!$B$15,Paramètres!$A$1:$I$89,3,0)*VLOOKUP('Données projet'!$B$15,Paramètres!$A$1:$I$89,5,0)</f>
        <v>236.87040000000002</v>
      </c>
      <c r="EL56" s="14">
        <f t="shared" si="45"/>
        <v>57.765668276484661</v>
      </c>
      <c r="EM56" s="22">
        <f t="shared" si="19"/>
        <v>513.15781891487757</v>
      </c>
      <c r="EN56" s="62">
        <f t="shared" si="20"/>
        <v>776.75962904423477</v>
      </c>
      <c r="EO56" s="62">
        <f ca="1">AVERAGE(OFFSET($EN$3,0,0,'Données projet'!$E$15+1,1))-AVERAGE(OFFSET($H$3,0,0,'Données projet'!$E$15+1,1))</f>
        <v>514.72748286045442</v>
      </c>
      <c r="EP56" s="62">
        <f t="shared" si="46"/>
        <v>322.28702110656116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5.4079106165809012</v>
      </c>
      <c r="EX56" s="23">
        <f>EXP(-LN(2)/2)*EX55+(1-EXP(-LN(2)/2))/(LN(2)/2)*ER56*EU56*VLOOKUP('Données projet'!$B$15,Paramètres!$A$1:$I$89,3,0)*0.475*44/12</f>
        <v>5.7691455011907884E-3</v>
      </c>
      <c r="EY56" s="24">
        <f t="shared" si="21"/>
        <v>5.4136797620820918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61.891402762551976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4.0999999999999996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15.033333333333331</v>
      </c>
      <c r="H57" s="70">
        <f t="shared" si="1"/>
        <v>196.53333333333333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70.794576398719499</v>
      </c>
      <c r="T57" s="62">
        <f t="shared" si="34"/>
        <v>328.91236364911629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3.2818859530467441E-5</v>
      </c>
      <c r="AC57" s="24">
        <f t="shared" si="3"/>
        <v>3.2818859530467441E-5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220.59023999999997</v>
      </c>
      <c r="AK57" s="14">
        <f t="shared" si="35"/>
        <v>54.24315145708789</v>
      </c>
      <c r="AL57" s="22">
        <f t="shared" si="4"/>
        <v>478.66815678776129</v>
      </c>
      <c r="AM57" s="62">
        <f t="shared" si="5"/>
        <v>742.78574237497946</v>
      </c>
      <c r="AN57" s="62">
        <f ca="1">AVERAGE(OFFSET($AM$3,0,0,'Données projet'!$E$10+1,1))-AVERAGE(OFFSET($H$3,0,0,'Données projet'!$E$10+1,1))</f>
        <v>466.75323833427217</v>
      </c>
      <c r="AO57" s="62">
        <f t="shared" si="36"/>
        <v>293.88550076209378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4.6935661376936686</v>
      </c>
      <c r="AW57" s="23">
        <f>EXP(-LN(2)/2)*AW56+(1-EXP(-LN(2)/2))/(LN(2)/2)*AQ57*AT57*VLOOKUP('Données projet'!$B$10,Paramètres!$A$1:$I$89,3,0)*0.475*44/12</f>
        <v>3.6400817003314594E-3</v>
      </c>
      <c r="AX57" s="23">
        <f t="shared" si="6"/>
        <v>4.6972062193940003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68.47741055388687</v>
      </c>
      <c r="BJ57" s="62">
        <f t="shared" si="38"/>
        <v>335.34467252166542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31.971588740216539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1.5168208706584419E-4</v>
      </c>
      <c r="BS57" s="24">
        <f t="shared" si="9"/>
        <v>31.971740422303604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5.6843418860808015E-14</v>
      </c>
      <c r="BZ57" s="14">
        <f>BY57*VLOOKUP('Données projet'!$B$12,Paramètres!$A$1:$I$89,3,0)*VLOOKUP('Données projet'!$B$12,Paramètres!$A$1:$I$89,5,0)</f>
        <v>3.3992364478763198E-14</v>
      </c>
      <c r="CA57" s="14">
        <f t="shared" si="39"/>
        <v>5.790027782444094E-13</v>
      </c>
      <c r="CB57" s="22">
        <f t="shared" si="10"/>
        <v>1.0676332069095257E-12</v>
      </c>
      <c r="CC57" s="62">
        <f t="shared" si="11"/>
        <v>264.11758558721931</v>
      </c>
      <c r="CD57" s="62">
        <f ca="1">AVERAGE(OFFSET($CC$3,0,0,'Données projet'!$E$12+1,1))-AVERAGE(OFFSET($H$3,0,0,'Données projet'!$E$12+1,1))</f>
        <v>211.76609132110815</v>
      </c>
      <c r="CE57" s="62">
        <f t="shared" si="40"/>
        <v>363.07965692095752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6.1412212048981809</v>
      </c>
      <c r="CL57" s="23">
        <f>EXP(-LN(2)/25)*CL56+(1-EXP(-LN(2)/25))/(LN(2)/25)*Calculateur!CG57*Calculateur!CI57*VLOOKUP('Données projet'!$B$12,Paramètres!$A$1:$I$89,3,0)*0.475*44/12</f>
        <v>2.7964277066448395</v>
      </c>
      <c r="CM57" s="23">
        <f>EXP(-LN(2)/2)*CM56+(1-EXP(-LN(2)/2))/(LN(2)/2)*CG57*CJ57*VLOOKUP('Données projet'!$B$12,Paramètres!$A$1:$I$89,3,0)*0.475*44/12</f>
        <v>5.7566259650835476E-4</v>
      </c>
      <c r="CN57" s="24">
        <f t="shared" si="12"/>
        <v>8.9382245741395288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-5.6843418860808015E-14</v>
      </c>
      <c r="CU57" s="18">
        <f>CT57*VLOOKUP('Données projet'!$B$13,Paramètres!$A$1:$I$89,3,0)*VLOOKUP('Données projet'!$B$13,Paramètres!$A$1:$I$89,5,0)</f>
        <v>-5.1431925385259088E-14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374.91250349988451</v>
      </c>
      <c r="CZ57" s="62">
        <f t="shared" si="42"/>
        <v>529.46825265662869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6.5805770181421339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6.5805770181421339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5.2</v>
      </c>
      <c r="DO57" s="13">
        <f>IF('Données projet'!$A$166&gt;35,DO56+DN57-DW56,IF(A57&lt;'Données projet'!$A$166,$DL$205^A57,IF(A57='Données projet'!$A$166,'Données projet'!$B$166,DO56+DN57-DW56)))</f>
        <v>166.8</v>
      </c>
      <c r="DP57" s="18">
        <f>DO57*VLOOKUP('Données projet'!$B$14,Paramètres!$A$1:$I$89,3,0)*VLOOKUP('Données projet'!$B$14,Paramètres!$A$1:$I$89,5,0)</f>
        <v>145.71648000000002</v>
      </c>
      <c r="DQ57" s="14">
        <f t="shared" si="43"/>
        <v>37.60350500083149</v>
      </c>
      <c r="DR57" s="22">
        <f t="shared" si="16"/>
        <v>319.28230720978155</v>
      </c>
      <c r="DS57" s="62">
        <f t="shared" si="17"/>
        <v>583.39989279699978</v>
      </c>
      <c r="DT57" s="62">
        <f ca="1">AVERAGE(OFFSET($DS$3,0,0,'Données projet'!$E$14+1,1))-AVERAGE(OFFSET($H$3,0,0,'Données projet'!$E$14+1,1))</f>
        <v>289.18543665577761</v>
      </c>
      <c r="DU57" s="62">
        <f t="shared" si="44"/>
        <v>291.40065947222843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5.7234149052777523</v>
      </c>
      <c r="EC57" s="23">
        <f>EXP(-LN(2)/2)*EC56+(1-EXP(-LN(2)/2))/(LN(2)/2)*DW57*DZ57*VLOOKUP('Données projet'!$B$14,Paramètres!$A$1:$I$89,3,0)*0.475*44/12</f>
        <v>2.5553218714671156E-3</v>
      </c>
      <c r="ED57" s="24">
        <f t="shared" si="18"/>
        <v>5.7259702271492197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10.199999999999999</v>
      </c>
      <c r="EJ57" s="13">
        <f>IF('Données projet'!$A$192&gt;35,EJ56+EI57-ER56,IF(A57&lt;'Données projet'!$A$192,$EG$205^A57,IF(A57='Données projet'!$A$192,'Données projet'!$B$192,EJ56+EI57-ER56)))</f>
        <v>243.79999999999998</v>
      </c>
      <c r="EK57" s="18">
        <f>EJ57*VLOOKUP('Données projet'!$B$15,Paramètres!$A$1:$I$89,3,0)*VLOOKUP('Données projet'!$B$15,Paramètres!$A$1:$I$89,5,0)</f>
        <v>247.2132</v>
      </c>
      <c r="EL57" s="14">
        <f t="shared" si="45"/>
        <v>59.988800807398761</v>
      </c>
      <c r="EM57" s="22">
        <f t="shared" si="19"/>
        <v>535.04348473955281</v>
      </c>
      <c r="EN57" s="62">
        <f t="shared" si="20"/>
        <v>799.1610703267711</v>
      </c>
      <c r="EO57" s="62">
        <f ca="1">AVERAGE(OFFSET($EN$3,0,0,'Données projet'!$E$15+1,1))-AVERAGE(OFFSET($H$3,0,0,'Données projet'!$E$15+1,1))</f>
        <v>514.72748286045442</v>
      </c>
      <c r="EP57" s="62">
        <f t="shared" si="46"/>
        <v>322.28702110656116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5.2600310163808368</v>
      </c>
      <c r="EX57" s="23">
        <f>EXP(-LN(2)/2)*EX56+(1-EXP(-LN(2)/2))/(LN(2)/2)*ER57*EU57*VLOOKUP('Données projet'!$B$15,Paramètres!$A$1:$I$89,3,0)*0.475*44/12</f>
        <v>4.0794019055438698E-3</v>
      </c>
      <c r="EY57" s="24">
        <f t="shared" si="21"/>
        <v>5.2641104182863803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62.032068796514061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4.0999999999999996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15.033333333333331</v>
      </c>
      <c r="H58" s="70">
        <f t="shared" si="1"/>
        <v>196.53333333333333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70.794576398719499</v>
      </c>
      <c r="T58" s="62">
        <f t="shared" si="34"/>
        <v>328.91236364911629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2.3206438124802281E-5</v>
      </c>
      <c r="AC58" s="24">
        <f t="shared" si="3"/>
        <v>2.3206438124802281E-5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229.81919999999997</v>
      </c>
      <c r="AK58" s="14">
        <f t="shared" si="35"/>
        <v>56.243586554989342</v>
      </c>
      <c r="AL58" s="22">
        <f t="shared" si="4"/>
        <v>498.22601991660639</v>
      </c>
      <c r="AM58" s="62">
        <f t="shared" si="5"/>
        <v>762.85043341059293</v>
      </c>
      <c r="AN58" s="62">
        <f ca="1">AVERAGE(OFFSET($AM$3,0,0,'Données projet'!$E$10+1,1))-AVERAGE(OFFSET($H$3,0,0,'Données projet'!$E$10+1,1))</f>
        <v>466.75323833427217</v>
      </c>
      <c r="AO58" s="62">
        <f t="shared" si="36"/>
        <v>293.88550076209378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4.5652203248345193</v>
      </c>
      <c r="AW58" s="23">
        <f>EXP(-LN(2)/2)*AW57+(1-EXP(-LN(2)/2))/(LN(2)/2)*AQ58*AT58*VLOOKUP('Données projet'!$B$10,Paramètres!$A$1:$I$89,3,0)*0.475*44/12</f>
        <v>2.5739264543774331E-3</v>
      </c>
      <c r="AX58" s="23">
        <f t="shared" si="6"/>
        <v>4.5677942512888965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68.47741055388687</v>
      </c>
      <c r="BJ58" s="62">
        <f t="shared" si="38"/>
        <v>335.34467252166542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31.344645385764487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1.0725543234878674E-4</v>
      </c>
      <c r="BS58" s="24">
        <f t="shared" si="9"/>
        <v>31.344752641196834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5.6843418860808015E-14</v>
      </c>
      <c r="BZ58" s="14">
        <f>BY58*VLOOKUP('Données projet'!$B$12,Paramètres!$A$1:$I$89,3,0)*VLOOKUP('Données projet'!$B$12,Paramètres!$A$1:$I$89,5,0)</f>
        <v>3.3992364478763198E-14</v>
      </c>
      <c r="CA58" s="14">
        <f t="shared" si="39"/>
        <v>5.790027782444094E-13</v>
      </c>
      <c r="CB58" s="22">
        <f t="shared" si="10"/>
        <v>1.0676332069095257E-12</v>
      </c>
      <c r="CC58" s="62">
        <f t="shared" si="11"/>
        <v>264.62441349398762</v>
      </c>
      <c r="CD58" s="62">
        <f ca="1">AVERAGE(OFFSET($CC$3,0,0,'Données projet'!$E$12+1,1))-AVERAGE(OFFSET($H$3,0,0,'Données projet'!$E$12+1,1))</f>
        <v>211.76609132110815</v>
      </c>
      <c r="CE58" s="62">
        <f t="shared" si="40"/>
        <v>363.07965692095752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6.0207956028451983</v>
      </c>
      <c r="CL58" s="23">
        <f>EXP(-LN(2)/25)*CL57+(1-EXP(-LN(2)/25))/(LN(2)/25)*Calculateur!CG58*Calculateur!CI58*VLOOKUP('Données projet'!$B$12,Paramètres!$A$1:$I$89,3,0)*0.475*44/12</f>
        <v>2.7199592439488947</v>
      </c>
      <c r="CM58" s="23">
        <f>EXP(-LN(2)/2)*CM57+(1-EXP(-LN(2)/2))/(LN(2)/2)*CG58*CJ58*VLOOKUP('Données projet'!$B$12,Paramètres!$A$1:$I$89,3,0)*0.475*44/12</f>
        <v>4.0705492566651301E-4</v>
      </c>
      <c r="CN58" s="24">
        <f t="shared" si="12"/>
        <v>8.7411619017197602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-5.6843418860808015E-14</v>
      </c>
      <c r="CU58" s="18">
        <f>CT58*VLOOKUP('Données projet'!$B$13,Paramètres!$A$1:$I$89,3,0)*VLOOKUP('Données projet'!$B$13,Paramètres!$A$1:$I$89,5,0)</f>
        <v>-5.1431925385259088E-14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374.91250349988451</v>
      </c>
      <c r="CZ58" s="62">
        <f t="shared" si="42"/>
        <v>529.46825265662869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6.4515359165720225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6.4515359165720225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172</v>
      </c>
      <c r="DM58" s="13">
        <f>VLOOKUP(A58,'Données projet'!$A$165:$I$185,9,0)</f>
        <v>5.2</v>
      </c>
      <c r="DN58" s="13">
        <f t="array" ref="DN58">INDEX(DM:DM,MIN(IF(ISNUMBER(DM58:DM254),ROW(DM58:DM254),"")))</f>
        <v>5.2</v>
      </c>
      <c r="DO58" s="13">
        <f>IF('Données projet'!$A$166&gt;35,DO57+DN58-DW57,IF(A58&lt;'Données projet'!$A$166,$DL$205^A58,IF(A58='Données projet'!$A$166,'Données projet'!$B$166,DO57+DN58-DW57)))</f>
        <v>172</v>
      </c>
      <c r="DP58" s="18">
        <f>DO58*VLOOKUP('Données projet'!$B$14,Paramètres!$A$1:$I$89,3,0)*VLOOKUP('Données projet'!$B$14,Paramètres!$A$1:$I$89,5,0)</f>
        <v>150.25920000000002</v>
      </c>
      <c r="DQ58" s="14">
        <f t="shared" si="43"/>
        <v>38.637483830798729</v>
      </c>
      <c r="DR58" s="22">
        <f t="shared" si="16"/>
        <v>328.99505767197445</v>
      </c>
      <c r="DS58" s="62">
        <f t="shared" si="17"/>
        <v>593.61947116596093</v>
      </c>
      <c r="DT58" s="62">
        <f ca="1">AVERAGE(OFFSET($DS$3,0,0,'Données projet'!$E$14+1,1))-AVERAGE(OFFSET($H$3,0,0,'Données projet'!$E$14+1,1))</f>
        <v>289.18543665577761</v>
      </c>
      <c r="DU58" s="62">
        <f t="shared" si="44"/>
        <v>291.40065947222843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18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5.566907823711623</v>
      </c>
      <c r="EC58" s="23">
        <f>EXP(-LN(2)/2)*EC57+(1-EXP(-LN(2)/2))/(LN(2)/2)*DW58*DZ58*VLOOKUP('Données projet'!$B$14,Paramètres!$A$1:$I$89,3,0)*0.475*44/12</f>
        <v>1.8068854234286969E-3</v>
      </c>
      <c r="ED58" s="24">
        <f t="shared" si="18"/>
        <v>5.568714709135052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254</v>
      </c>
      <c r="EH58" s="13">
        <f>VLOOKUP(A58,'Données projet'!$A$191:$I$211,9,0)</f>
        <v>10.199999999999999</v>
      </c>
      <c r="EI58" s="13">
        <f t="array" ref="EI58">INDEX(EH:EH,MIN(IF(ISNUMBER(EH58:EH254),ROW(EH58:EH254),"")))</f>
        <v>10.199999999999999</v>
      </c>
      <c r="EJ58" s="13">
        <f>IF('Données projet'!$A$192&gt;35,EJ57+EI58-ER57,IF(A58&lt;'Données projet'!$A$192,$EG$205^A58,IF(A58='Données projet'!$A$192,'Données projet'!$B$192,EJ57+EI58-ER57)))</f>
        <v>253.99999999999997</v>
      </c>
      <c r="EK58" s="18">
        <f>EJ58*VLOOKUP('Données projet'!$B$15,Paramètres!$A$1:$I$89,3,0)*VLOOKUP('Données projet'!$B$15,Paramètres!$A$1:$I$89,5,0)</f>
        <v>257.55599999999998</v>
      </c>
      <c r="EL58" s="14">
        <f t="shared" si="45"/>
        <v>62.201129910568184</v>
      </c>
      <c r="EM58" s="22">
        <f t="shared" si="19"/>
        <v>556.91033459423954</v>
      </c>
      <c r="EN58" s="62">
        <f t="shared" si="20"/>
        <v>821.53474808822602</v>
      </c>
      <c r="EO58" s="62">
        <f ca="1">AVERAGE(OFFSET($EN$3,0,0,'Données projet'!$E$15+1,1))-AVERAGE(OFFSET($H$3,0,0,'Données projet'!$E$15+1,1))</f>
        <v>514.72748286045442</v>
      </c>
      <c r="EP58" s="62">
        <f t="shared" si="46"/>
        <v>322.28702110656116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28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5.116195191624894</v>
      </c>
      <c r="EX58" s="23">
        <f>EXP(-LN(2)/2)*EX57+(1-EXP(-LN(2)/2))/(LN(2)/2)*ER58*EU58*VLOOKUP('Données projet'!$B$15,Paramètres!$A$1:$I$89,3,0)*0.475*44/12</f>
        <v>2.8845727505953942E-3</v>
      </c>
      <c r="EY58" s="24">
        <f t="shared" si="21"/>
        <v>5.1190797643754893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62.170294589269048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4.0999999999999996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15.033333333333331</v>
      </c>
      <c r="H59" s="70">
        <f t="shared" si="1"/>
        <v>196.53333333333333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70.794576398719499</v>
      </c>
      <c r="T59" s="62">
        <f t="shared" si="34"/>
        <v>328.91236364911629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1.640942976523372E-5</v>
      </c>
      <c r="AC59" s="24">
        <f t="shared" si="3"/>
        <v>1.640942976523372E-5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212.98991999999998</v>
      </c>
      <c r="AK59" s="14">
        <f t="shared" si="35"/>
        <v>52.588419883221171</v>
      </c>
      <c r="AL59" s="22">
        <f t="shared" si="4"/>
        <v>462.54894196327677</v>
      </c>
      <c r="AM59" s="62">
        <f t="shared" si="5"/>
        <v>727.67139103294653</v>
      </c>
      <c r="AN59" s="62">
        <f ca="1">AVERAGE(OFFSET($AM$3,0,0,'Données projet'!$E$10+1,1))-AVERAGE(OFFSET($H$3,0,0,'Données projet'!$E$10+1,1))</f>
        <v>466.75323833427217</v>
      </c>
      <c r="AO59" s="62">
        <f t="shared" si="36"/>
        <v>293.88550076209378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4.4403841349774167</v>
      </c>
      <c r="AW59" s="23">
        <f>EXP(-LN(2)/2)*AW58+(1-EXP(-LN(2)/2))/(LN(2)/2)*AQ59*AT59*VLOOKUP('Données projet'!$B$10,Paramètres!$A$1:$I$89,3,0)*0.475*44/12</f>
        <v>1.8200408501657297E-3</v>
      </c>
      <c r="AX59" s="23">
        <f t="shared" si="6"/>
        <v>4.4422041758275821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68.47741055388687</v>
      </c>
      <c r="BJ59" s="62">
        <f t="shared" si="38"/>
        <v>335.34467252166542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30.729996008095551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7.5841043532922094E-5</v>
      </c>
      <c r="BS59" s="24">
        <f t="shared" si="9"/>
        <v>30.730071849139083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5.6843418860808015E-14</v>
      </c>
      <c r="BZ59" s="14">
        <f>BY59*VLOOKUP('Données projet'!$B$12,Paramètres!$A$1:$I$89,3,0)*VLOOKUP('Données projet'!$B$12,Paramètres!$A$1:$I$89,5,0)</f>
        <v>3.3992364478763198E-14</v>
      </c>
      <c r="CA59" s="14">
        <f t="shared" si="39"/>
        <v>5.790027782444094E-13</v>
      </c>
      <c r="CB59" s="22">
        <f t="shared" si="10"/>
        <v>1.0676332069095257E-12</v>
      </c>
      <c r="CC59" s="62">
        <f t="shared" si="11"/>
        <v>265.12244906967089</v>
      </c>
      <c r="CD59" s="62">
        <f ca="1">AVERAGE(OFFSET($CC$3,0,0,'Données projet'!$E$12+1,1))-AVERAGE(OFFSET($H$3,0,0,'Données projet'!$E$12+1,1))</f>
        <v>211.76609132110815</v>
      </c>
      <c r="CE59" s="62">
        <f t="shared" si="40"/>
        <v>363.07965692095752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5.90273147339611</v>
      </c>
      <c r="CL59" s="23">
        <f>EXP(-LN(2)/25)*CL58+(1-EXP(-LN(2)/25))/(LN(2)/25)*Calculateur!CG59*Calculateur!CI59*VLOOKUP('Données projet'!$B$12,Paramètres!$A$1:$I$89,3,0)*0.475*44/12</f>
        <v>2.6455818153866719</v>
      </c>
      <c r="CM59" s="23">
        <f>EXP(-LN(2)/2)*CM58+(1-EXP(-LN(2)/2))/(LN(2)/2)*CG59*CJ59*VLOOKUP('Données projet'!$B$12,Paramètres!$A$1:$I$89,3,0)*0.475*44/12</f>
        <v>2.8783129825417738E-4</v>
      </c>
      <c r="CN59" s="24">
        <f t="shared" si="12"/>
        <v>8.5486011200810363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>
        <f>CT59*VLOOKUP('Données projet'!$B$13,Paramètres!$A$1:$I$89,3,0)*VLOOKUP('Données projet'!$B$13,Paramètres!$A$1:$I$89,5,0)</f>
        <v>-5.1431925385259088E-14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374.91250349988451</v>
      </c>
      <c r="CZ59" s="62">
        <f t="shared" si="42"/>
        <v>529.46825265662869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6.3250252322964009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6.3250252322964009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4.4000000000000004</v>
      </c>
      <c r="DO59" s="13">
        <f>IF('Données projet'!$A$166&gt;35,DO58+DN59-DW58,IF(A59&lt;'Données projet'!$A$166,$DL$205^A59,IF(A59='Données projet'!$A$166,'Données projet'!$B$166,DO58+DN59-DW58)))</f>
        <v>158.4</v>
      </c>
      <c r="DP59" s="18">
        <f>DO59*VLOOKUP('Données projet'!$B$14,Paramètres!$A$1:$I$89,3,0)*VLOOKUP('Données projet'!$B$14,Paramètres!$A$1:$I$89,5,0)</f>
        <v>138.37824000000001</v>
      </c>
      <c r="DQ59" s="14">
        <f t="shared" si="43"/>
        <v>35.925231489823396</v>
      </c>
      <c r="DR59" s="22">
        <f t="shared" si="16"/>
        <v>303.57854617810909</v>
      </c>
      <c r="DS59" s="62">
        <f t="shared" si="17"/>
        <v>568.70099524777891</v>
      </c>
      <c r="DT59" s="62">
        <f ca="1">AVERAGE(OFFSET($DS$3,0,0,'Données projet'!$E$14+1,1))-AVERAGE(OFFSET($H$3,0,0,'Données projet'!$E$14+1,1))</f>
        <v>289.18543665577761</v>
      </c>
      <c r="DU59" s="62">
        <f t="shared" si="44"/>
        <v>291.40065947222843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5.4146804365212695</v>
      </c>
      <c r="EC59" s="23">
        <f>EXP(-LN(2)/2)*EC58+(1-EXP(-LN(2)/2))/(LN(2)/2)*DW59*DZ59*VLOOKUP('Données projet'!$B$14,Paramètres!$A$1:$I$89,3,0)*0.475*44/12</f>
        <v>1.2776609357335578E-3</v>
      </c>
      <c r="ED59" s="24">
        <f t="shared" si="18"/>
        <v>5.4159580974570032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9.4</v>
      </c>
      <c r="EJ59" s="13">
        <f>IF('Données projet'!$A$192&gt;35,EJ58+EI59-ER58,IF(A59&lt;'Données projet'!$A$192,$EG$205^A59,IF(A59='Données projet'!$A$192,'Données projet'!$B$192,EJ58+EI59-ER58)))</f>
        <v>235.39999999999998</v>
      </c>
      <c r="EK59" s="18">
        <f>EJ59*VLOOKUP('Données projet'!$B$15,Paramètres!$A$1:$I$89,3,0)*VLOOKUP('Données projet'!$B$15,Paramètres!$A$1:$I$89,5,0)</f>
        <v>238.69559999999998</v>
      </c>
      <c r="EL59" s="14">
        <f t="shared" si="45"/>
        <v>58.158793514165929</v>
      </c>
      <c r="EM59" s="22">
        <f t="shared" si="19"/>
        <v>517.02140203717238</v>
      </c>
      <c r="EN59" s="62">
        <f t="shared" si="20"/>
        <v>782.14385110684225</v>
      </c>
      <c r="EO59" s="62">
        <f ca="1">AVERAGE(OFFSET($EN$3,0,0,'Données projet'!$E$15+1,1))-AVERAGE(OFFSET($H$3,0,0,'Données projet'!$E$15+1,1))</f>
        <v>514.72748286045442</v>
      </c>
      <c r="EP59" s="62">
        <f t="shared" si="46"/>
        <v>322.28702110656116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4.9762925650608993</v>
      </c>
      <c r="EX59" s="23">
        <f>EXP(-LN(2)/2)*EX58+(1-EXP(-LN(2)/2))/(LN(2)/2)*ER59*EU59*VLOOKUP('Données projet'!$B$15,Paramètres!$A$1:$I$89,3,0)*0.475*44/12</f>
        <v>2.0397009527719349E-3</v>
      </c>
      <c r="EY59" s="24">
        <f t="shared" si="21"/>
        <v>4.9783322660136715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62.30612247354631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4.0999999999999996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15.033333333333331</v>
      </c>
      <c r="H60" s="70">
        <f t="shared" si="1"/>
        <v>196.53333333333333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70.794576398719499</v>
      </c>
      <c r="T60" s="62">
        <f t="shared" si="34"/>
        <v>328.91236364911629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1.160321906240114E-5</v>
      </c>
      <c r="AC60" s="24">
        <f t="shared" si="3"/>
        <v>1.160321906240114E-5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221.49503999999999</v>
      </c>
      <c r="AK60" s="14">
        <f t="shared" si="35"/>
        <v>54.439697086174412</v>
      </c>
      <c r="AL60" s="22">
        <f t="shared" si="4"/>
        <v>480.58633375842032</v>
      </c>
      <c r="AM60" s="62">
        <f t="shared" si="5"/>
        <v>746.19817859997602</v>
      </c>
      <c r="AN60" s="62">
        <f ca="1">AVERAGE(OFFSET($AM$3,0,0,'Données projet'!$E$10+1,1))-AVERAGE(OFFSET($H$3,0,0,'Données projet'!$E$10+1,1))</f>
        <v>466.75323833427217</v>
      </c>
      <c r="AO60" s="62">
        <f t="shared" si="36"/>
        <v>293.88550076209378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4.3189615972968065</v>
      </c>
      <c r="AW60" s="23">
        <f>EXP(-LN(2)/2)*AW59+(1-EXP(-LN(2)/2))/(LN(2)/2)*AQ60*AT60*VLOOKUP('Données projet'!$B$10,Paramètres!$A$1:$I$89,3,0)*0.475*44/12</f>
        <v>1.2869632271887165E-3</v>
      </c>
      <c r="AX60" s="23">
        <f t="shared" si="6"/>
        <v>4.3202485605239955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68.47741055388687</v>
      </c>
      <c r="BJ60" s="62">
        <f t="shared" si="38"/>
        <v>335.34467252166542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30.127399529823599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5.3627716174393369E-5</v>
      </c>
      <c r="BS60" s="24">
        <f t="shared" si="9"/>
        <v>30.127453157539772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5.6843418860808015E-14</v>
      </c>
      <c r="BZ60" s="14">
        <f>BY60*VLOOKUP('Données projet'!$B$12,Paramètres!$A$1:$I$89,3,0)*VLOOKUP('Données projet'!$B$12,Paramètres!$A$1:$I$89,5,0)</f>
        <v>3.3992364478763198E-14</v>
      </c>
      <c r="CA60" s="14">
        <f t="shared" si="39"/>
        <v>5.790027782444094E-13</v>
      </c>
      <c r="CB60" s="22">
        <f t="shared" si="10"/>
        <v>1.0676332069095257E-12</v>
      </c>
      <c r="CC60" s="62">
        <f t="shared" si="11"/>
        <v>265.61184484155683</v>
      </c>
      <c r="CD60" s="62">
        <f ca="1">AVERAGE(OFFSET($CC$3,0,0,'Données projet'!$E$12+1,1))-AVERAGE(OFFSET($H$3,0,0,'Données projet'!$E$12+1,1))</f>
        <v>211.76609132110815</v>
      </c>
      <c r="CE60" s="62">
        <f t="shared" si="40"/>
        <v>363.07965692095752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5.7869825095135097</v>
      </c>
      <c r="CL60" s="23">
        <f>EXP(-LN(2)/25)*CL59+(1-EXP(-LN(2)/25))/(LN(2)/25)*Calculateur!CG60*Calculateur!CI60*VLOOKUP('Données projet'!$B$12,Paramètres!$A$1:$I$89,3,0)*0.475*44/12</f>
        <v>2.5732382415198223</v>
      </c>
      <c r="CM60" s="23">
        <f>EXP(-LN(2)/2)*CM59+(1-EXP(-LN(2)/2))/(LN(2)/2)*CG60*CJ60*VLOOKUP('Données projet'!$B$12,Paramètres!$A$1:$I$89,3,0)*0.475*44/12</f>
        <v>2.0352746283325651E-4</v>
      </c>
      <c r="CN60" s="24">
        <f t="shared" si="12"/>
        <v>8.3604242784961649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>
        <f>CT60*VLOOKUP('Données projet'!$B$13,Paramètres!$A$1:$I$89,3,0)*VLOOKUP('Données projet'!$B$13,Paramètres!$A$1:$I$89,5,0)</f>
        <v>-5.1431925385259088E-14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374.91250349988451</v>
      </c>
      <c r="CZ60" s="62">
        <f t="shared" si="42"/>
        <v>529.46825265662869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6.2009953453755253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6.2009953453755253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4.4000000000000004</v>
      </c>
      <c r="DO60" s="13">
        <f>IF('Données projet'!$A$166&gt;35,DO59+DN60-DW59,IF(A60&lt;'Données projet'!$A$166,$DL$205^A60,IF(A60='Données projet'!$A$166,'Données projet'!$B$166,DO59+DN60-DW59)))</f>
        <v>162.80000000000001</v>
      </c>
      <c r="DP60" s="18">
        <f>DO60*VLOOKUP('Données projet'!$B$14,Paramètres!$A$1:$I$89,3,0)*VLOOKUP('Données projet'!$B$14,Paramètres!$A$1:$I$89,5,0)</f>
        <v>142.22208000000003</v>
      </c>
      <c r="DQ60" s="14">
        <f t="shared" si="43"/>
        <v>36.805585341198615</v>
      </c>
      <c r="DR60" s="22">
        <f t="shared" si="16"/>
        <v>311.80651713592096</v>
      </c>
      <c r="DS60" s="62">
        <f t="shared" si="17"/>
        <v>577.41836197747671</v>
      </c>
      <c r="DT60" s="62">
        <f ca="1">AVERAGE(OFFSET($DS$3,0,0,'Données projet'!$E$14+1,1))-AVERAGE(OFFSET($H$3,0,0,'Données projet'!$E$14+1,1))</f>
        <v>289.18543665577761</v>
      </c>
      <c r="DU60" s="62">
        <f t="shared" si="44"/>
        <v>291.40065947222843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5.2666157152389266</v>
      </c>
      <c r="EC60" s="23">
        <f>EXP(-LN(2)/2)*EC59+(1-EXP(-LN(2)/2))/(LN(2)/2)*DW60*DZ60*VLOOKUP('Données projet'!$B$14,Paramètres!$A$1:$I$89,3,0)*0.475*44/12</f>
        <v>9.0344271171434844E-4</v>
      </c>
      <c r="ED60" s="24">
        <f t="shared" si="18"/>
        <v>5.2675191579506411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9.4</v>
      </c>
      <c r="EJ60" s="13">
        <f>IF('Données projet'!$A$192&gt;35,EJ59+EI60-ER59,IF(A60&lt;'Données projet'!$A$192,$EG$205^A60,IF(A60='Données projet'!$A$192,'Données projet'!$B$192,EJ59+EI60-ER59)))</f>
        <v>244.79999999999998</v>
      </c>
      <c r="EK60" s="18">
        <f>EJ60*VLOOKUP('Données projet'!$B$15,Paramètres!$A$1:$I$89,3,0)*VLOOKUP('Données projet'!$B$15,Paramètres!$A$1:$I$89,5,0)</f>
        <v>248.22720000000001</v>
      </c>
      <c r="EL60" s="14">
        <f t="shared" si="45"/>
        <v>60.20616532763993</v>
      </c>
      <c r="EM60" s="22">
        <f t="shared" si="19"/>
        <v>537.18811127897277</v>
      </c>
      <c r="EN60" s="62">
        <f t="shared" si="20"/>
        <v>802.79995612052858</v>
      </c>
      <c r="EO60" s="62">
        <f ca="1">AVERAGE(OFFSET($EN$3,0,0,'Données projet'!$E$15+1,1))-AVERAGE(OFFSET($H$3,0,0,'Données projet'!$E$15+1,1))</f>
        <v>514.72748286045442</v>
      </c>
      <c r="EP60" s="62">
        <f t="shared" si="46"/>
        <v>322.28702110656116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4.8402155831774563</v>
      </c>
      <c r="EX60" s="23">
        <f>EXP(-LN(2)/2)*EX59+(1-EXP(-LN(2)/2))/(LN(2)/2)*ER60*EU60*VLOOKUP('Données projet'!$B$15,Paramètres!$A$1:$I$89,3,0)*0.475*44/12</f>
        <v>1.4422863752976971E-3</v>
      </c>
      <c r="EY60" s="24">
        <f t="shared" si="21"/>
        <v>4.8416578695527539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62.439594047697014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4.0999999999999996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15.033333333333331</v>
      </c>
      <c r="H61" s="70">
        <f t="shared" si="1"/>
        <v>196.53333333333333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70.794576398719499</v>
      </c>
      <c r="T61" s="62">
        <f t="shared" si="34"/>
        <v>328.91236364911629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8.2047148826168602E-6</v>
      </c>
      <c r="AC61" s="24">
        <f t="shared" si="3"/>
        <v>8.2047148826168602E-6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230.00015999999997</v>
      </c>
      <c r="AK61" s="14">
        <f t="shared" si="35"/>
        <v>56.282716126880423</v>
      </c>
      <c r="AL61" s="22">
        <f t="shared" si="4"/>
        <v>498.60934258765002</v>
      </c>
      <c r="AM61" s="62">
        <f t="shared" si="5"/>
        <v>764.70209327857447</v>
      </c>
      <c r="AN61" s="62">
        <f ca="1">AVERAGE(OFFSET($AM$3,0,0,'Données projet'!$E$10+1,1))-AVERAGE(OFFSET($H$3,0,0,'Données projet'!$E$10+1,1))</f>
        <v>466.75323833427217</v>
      </c>
      <c r="AO61" s="62">
        <f t="shared" si="36"/>
        <v>293.88550076209378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4.2008593652944057</v>
      </c>
      <c r="AW61" s="23">
        <f>EXP(-LN(2)/2)*AW60+(1-EXP(-LN(2)/2))/(LN(2)/2)*AQ61*AT61*VLOOKUP('Données projet'!$B$10,Paramètres!$A$1:$I$89,3,0)*0.475*44/12</f>
        <v>9.1002042508286484E-4</v>
      </c>
      <c r="AX61" s="23">
        <f t="shared" si="6"/>
        <v>4.2017693857194889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68.47741055388687</v>
      </c>
      <c r="BJ61" s="62">
        <f t="shared" si="38"/>
        <v>335.34467252166542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29.536619600943002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3.7920521766461047E-5</v>
      </c>
      <c r="BS61" s="24">
        <f t="shared" si="9"/>
        <v>29.536657521464768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5.6843418860808015E-14</v>
      </c>
      <c r="BZ61" s="14">
        <f>BY61*VLOOKUP('Données projet'!$B$12,Paramètres!$A$1:$I$89,3,0)*VLOOKUP('Données projet'!$B$12,Paramètres!$A$1:$I$89,5,0)</f>
        <v>3.3992364478763198E-14</v>
      </c>
      <c r="CA61" s="14">
        <f t="shared" si="39"/>
        <v>5.790027782444094E-13</v>
      </c>
      <c r="CB61" s="22">
        <f t="shared" si="10"/>
        <v>1.0676332069095257E-12</v>
      </c>
      <c r="CC61" s="62">
        <f t="shared" si="11"/>
        <v>266.09275069092553</v>
      </c>
      <c r="CD61" s="62">
        <f ca="1">AVERAGE(OFFSET($CC$3,0,0,'Données projet'!$E$12+1,1))-AVERAGE(OFFSET($H$3,0,0,'Données projet'!$E$12+1,1))</f>
        <v>211.76609132110815</v>
      </c>
      <c r="CE61" s="62">
        <f t="shared" si="40"/>
        <v>363.07965692095752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5.6735033122127509</v>
      </c>
      <c r="CL61" s="23">
        <f>EXP(-LN(2)/25)*CL60+(1-EXP(-LN(2)/25))/(LN(2)/25)*Calculateur!CG61*Calculateur!CI61*VLOOKUP('Données projet'!$B$12,Paramètres!$A$1:$I$89,3,0)*0.475*44/12</f>
        <v>2.502872906484745</v>
      </c>
      <c r="CM61" s="23">
        <f>EXP(-LN(2)/2)*CM60+(1-EXP(-LN(2)/2))/(LN(2)/2)*CG61*CJ61*VLOOKUP('Données projet'!$B$12,Paramètres!$A$1:$I$89,3,0)*0.475*44/12</f>
        <v>1.4391564912708869E-4</v>
      </c>
      <c r="CN61" s="24">
        <f t="shared" si="12"/>
        <v>8.1765201343466227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>
        <f>CT61*VLOOKUP('Données projet'!$B$13,Paramètres!$A$1:$I$89,3,0)*VLOOKUP('Données projet'!$B$13,Paramètres!$A$1:$I$89,5,0)</f>
        <v>-5.1431925385259088E-14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374.91250349988451</v>
      </c>
      <c r="CZ61" s="62">
        <f t="shared" si="42"/>
        <v>529.46825265662869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6.0793976088864072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6.0793976088864072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4.4000000000000004</v>
      </c>
      <c r="DO61" s="13">
        <f>IF('Données projet'!$A$166&gt;35,DO60+DN61-DW60,IF(A61&lt;'Données projet'!$A$166,$DL$205^A61,IF(A61='Données projet'!$A$166,'Données projet'!$B$166,DO60+DN61-DW60)))</f>
        <v>167.20000000000002</v>
      </c>
      <c r="DP61" s="18">
        <f>DO61*VLOOKUP('Données projet'!$B$14,Paramètres!$A$1:$I$89,3,0)*VLOOKUP('Données projet'!$B$14,Paramètres!$A$1:$I$89,5,0)</f>
        <v>146.06592000000003</v>
      </c>
      <c r="DQ61" s="14">
        <f t="shared" si="43"/>
        <v>37.683173643014399</v>
      </c>
      <c r="DR61" s="22">
        <f t="shared" si="16"/>
        <v>320.02967142825008</v>
      </c>
      <c r="DS61" s="62">
        <f t="shared" si="17"/>
        <v>586.12242211917453</v>
      </c>
      <c r="DT61" s="62">
        <f ca="1">AVERAGE(OFFSET($DS$3,0,0,'Données projet'!$E$14+1,1))-AVERAGE(OFFSET($H$3,0,0,'Données projet'!$E$14+1,1))</f>
        <v>289.18543665577761</v>
      </c>
      <c r="DU61" s="62">
        <f t="shared" si="44"/>
        <v>291.40065947222843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5.1225998315464345</v>
      </c>
      <c r="EC61" s="23">
        <f>EXP(-LN(2)/2)*EC60+(1-EXP(-LN(2)/2))/(LN(2)/2)*DW61*DZ61*VLOOKUP('Données projet'!$B$14,Paramètres!$A$1:$I$89,3,0)*0.475*44/12</f>
        <v>6.3883046786677891E-4</v>
      </c>
      <c r="ED61" s="24">
        <f t="shared" si="18"/>
        <v>5.1232386620143009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9.4</v>
      </c>
      <c r="EJ61" s="13">
        <f>IF('Données projet'!$A$192&gt;35,EJ60+EI61-ER60,IF(A61&lt;'Données projet'!$A$192,$EG$205^A61,IF(A61='Données projet'!$A$192,'Données projet'!$B$192,EJ60+EI61-ER60)))</f>
        <v>254.2</v>
      </c>
      <c r="EK61" s="18">
        <f>EJ61*VLOOKUP('Données projet'!$B$15,Paramètres!$A$1:$I$89,3,0)*VLOOKUP('Données projet'!$B$15,Paramètres!$A$1:$I$89,5,0)</f>
        <v>257.75880000000001</v>
      </c>
      <c r="EL61" s="14">
        <f t="shared" si="45"/>
        <v>62.244404241627407</v>
      </c>
      <c r="EM61" s="22">
        <f t="shared" si="19"/>
        <v>557.33891405416773</v>
      </c>
      <c r="EN61" s="62">
        <f t="shared" si="20"/>
        <v>823.43166474509212</v>
      </c>
      <c r="EO61" s="62">
        <f ca="1">AVERAGE(OFFSET($EN$3,0,0,'Données projet'!$E$15+1,1))-AVERAGE(OFFSET($H$3,0,0,'Données projet'!$E$15+1,1))</f>
        <v>514.72748286045442</v>
      </c>
      <c r="EP61" s="62">
        <f t="shared" si="46"/>
        <v>322.28702110656116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4.7078596335195932</v>
      </c>
      <c r="EX61" s="23">
        <f>EXP(-LN(2)/2)*EX60+(1-EXP(-LN(2)/2))/(LN(2)/2)*ER61*EU61*VLOOKUP('Données projet'!$B$15,Paramètres!$A$1:$I$89,3,0)*0.475*44/12</f>
        <v>1.0198504763859674E-3</v>
      </c>
      <c r="EY61" s="24">
        <f t="shared" si="21"/>
        <v>4.7088794839959789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62.570750188433948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4.0999999999999996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15.033333333333331</v>
      </c>
      <c r="H62" s="70">
        <f t="shared" si="1"/>
        <v>196.53333333333333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70.794576398719499</v>
      </c>
      <c r="T62" s="62">
        <f t="shared" si="34"/>
        <v>328.91236364911629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5.8016095312005702E-6</v>
      </c>
      <c r="AC62" s="24">
        <f t="shared" si="3"/>
        <v>5.8016095312005702E-6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238.50527999999997</v>
      </c>
      <c r="AK62" s="14">
        <f t="shared" si="35"/>
        <v>58.117817352909881</v>
      </c>
      <c r="AL62" s="22">
        <f t="shared" si="4"/>
        <v>516.61856122298457</v>
      </c>
      <c r="AM62" s="62">
        <f t="shared" si="5"/>
        <v>783.18387512193567</v>
      </c>
      <c r="AN62" s="62">
        <f ca="1">AVERAGE(OFFSET($AM$3,0,0,'Données projet'!$E$10+1,1))-AVERAGE(OFFSET($H$3,0,0,'Données projet'!$E$10+1,1))</f>
        <v>466.75323833427217</v>
      </c>
      <c r="AO62" s="62">
        <f t="shared" si="36"/>
        <v>293.88550076209378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4.0859866450368374</v>
      </c>
      <c r="AW62" s="23">
        <f>EXP(-LN(2)/2)*AW61+(1-EXP(-LN(2)/2))/(LN(2)/2)*AQ62*AT62*VLOOKUP('Données projet'!$B$10,Paramètres!$A$1:$I$89,3,0)*0.475*44/12</f>
        <v>6.4348161359435827E-4</v>
      </c>
      <c r="AX62" s="23">
        <f t="shared" si="6"/>
        <v>4.0866301266504319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68.47741055388687</v>
      </c>
      <c r="BJ62" s="62">
        <f t="shared" si="38"/>
        <v>335.34467252166542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28.957424506127577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2.6813858087196685E-5</v>
      </c>
      <c r="BS62" s="24">
        <f t="shared" si="9"/>
        <v>28.957451319985665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5.6843418860808015E-14</v>
      </c>
      <c r="BZ62" s="14">
        <f>BY62*VLOOKUP('Données projet'!$B$12,Paramètres!$A$1:$I$89,3,0)*VLOOKUP('Données projet'!$B$12,Paramètres!$A$1:$I$89,5,0)</f>
        <v>3.3992364478763198E-14</v>
      </c>
      <c r="CA62" s="14">
        <f t="shared" si="39"/>
        <v>5.790027782444094E-13</v>
      </c>
      <c r="CB62" s="22">
        <f t="shared" si="10"/>
        <v>1.0676332069095257E-12</v>
      </c>
      <c r="CC62" s="62">
        <f t="shared" si="11"/>
        <v>266.56531389895213</v>
      </c>
      <c r="CD62" s="62">
        <f ca="1">AVERAGE(OFFSET($CC$3,0,0,'Données projet'!$E$12+1,1))-AVERAGE(OFFSET($H$3,0,0,'Données projet'!$E$12+1,1))</f>
        <v>211.76609132110815</v>
      </c>
      <c r="CE62" s="62">
        <f t="shared" si="40"/>
        <v>363.07965692095752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5.5622493727555842</v>
      </c>
      <c r="CL62" s="23">
        <f>EXP(-LN(2)/25)*CL61+(1-EXP(-LN(2)/25))/(LN(2)/25)*Calculateur!CG62*Calculateur!CI62*VLOOKUP('Données projet'!$B$12,Paramètres!$A$1:$I$89,3,0)*0.475*44/12</f>
        <v>2.434431715236554</v>
      </c>
      <c r="CM62" s="23">
        <f>EXP(-LN(2)/2)*CM61+(1-EXP(-LN(2)/2))/(LN(2)/2)*CG62*CJ62*VLOOKUP('Données projet'!$B$12,Paramètres!$A$1:$I$89,3,0)*0.475*44/12</f>
        <v>1.0176373141662825E-4</v>
      </c>
      <c r="CN62" s="24">
        <f t="shared" si="12"/>
        <v>7.9967828517235553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>
        <f>CT62*VLOOKUP('Données projet'!$B$13,Paramètres!$A$1:$I$89,3,0)*VLOOKUP('Données projet'!$B$13,Paramètres!$A$1:$I$89,5,0)</f>
        <v>-5.1431925385259088E-14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374.91250349988451</v>
      </c>
      <c r="CZ62" s="62">
        <f t="shared" si="42"/>
        <v>529.46825265662869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5.9601843298425452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5.9601843298425452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4.4000000000000004</v>
      </c>
      <c r="DO62" s="13">
        <f>IF('Données projet'!$A$166&gt;35,DO61+DN62-DW61,IF(A62&lt;'Données projet'!$A$166,$DL$205^A62,IF(A62='Données projet'!$A$166,'Données projet'!$B$166,DO61+DN62-DW61)))</f>
        <v>171.60000000000002</v>
      </c>
      <c r="DP62" s="18">
        <f>DO62*VLOOKUP('Données projet'!$B$14,Paramètres!$A$1:$I$89,3,0)*VLOOKUP('Données projet'!$B$14,Paramètres!$A$1:$I$89,5,0)</f>
        <v>149.90976000000003</v>
      </c>
      <c r="DQ62" s="14">
        <f t="shared" si="43"/>
        <v>38.558077538852132</v>
      </c>
      <c r="DR62" s="22">
        <f t="shared" si="16"/>
        <v>328.24815038016749</v>
      </c>
      <c r="DS62" s="62">
        <f t="shared" si="17"/>
        <v>594.81346427911853</v>
      </c>
      <c r="DT62" s="62">
        <f ca="1">AVERAGE(OFFSET($DS$3,0,0,'Données projet'!$E$14+1,1))-AVERAGE(OFFSET($H$3,0,0,'Données projet'!$E$14+1,1))</f>
        <v>289.18543665577761</v>
      </c>
      <c r="DU62" s="62">
        <f t="shared" si="44"/>
        <v>291.40065947222843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4.9825220697669801</v>
      </c>
      <c r="EC62" s="23">
        <f>EXP(-LN(2)/2)*EC61+(1-EXP(-LN(2)/2))/(LN(2)/2)*DW62*DZ62*VLOOKUP('Données projet'!$B$14,Paramètres!$A$1:$I$89,3,0)*0.475*44/12</f>
        <v>4.5172135585717422E-4</v>
      </c>
      <c r="ED62" s="24">
        <f t="shared" si="18"/>
        <v>4.9829737911228369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9.4</v>
      </c>
      <c r="EJ62" s="13">
        <f>IF('Données projet'!$A$192&gt;35,EJ61+EI62-ER61,IF(A62&lt;'Données projet'!$A$192,$EG$205^A62,IF(A62='Données projet'!$A$192,'Données projet'!$B$192,EJ61+EI62-ER61)))</f>
        <v>263.59999999999997</v>
      </c>
      <c r="EK62" s="18">
        <f>EJ62*VLOOKUP('Données projet'!$B$15,Paramètres!$A$1:$I$89,3,0)*VLOOKUP('Données projet'!$B$15,Paramètres!$A$1:$I$89,5,0)</f>
        <v>267.29039999999998</v>
      </c>
      <c r="EL62" s="14">
        <f t="shared" si="45"/>
        <v>64.273886654661325</v>
      </c>
      <c r="EM62" s="22">
        <f t="shared" si="19"/>
        <v>577.47446592353515</v>
      </c>
      <c r="EN62" s="62">
        <f t="shared" si="20"/>
        <v>844.03977982248625</v>
      </c>
      <c r="EO62" s="62">
        <f ca="1">AVERAGE(OFFSET($EN$3,0,0,'Données projet'!$E$15+1,1))-AVERAGE(OFFSET($H$3,0,0,'Données projet'!$E$15+1,1))</f>
        <v>514.72748286045442</v>
      </c>
      <c r="EP62" s="62">
        <f t="shared" si="46"/>
        <v>322.28702110656116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4.5791229642654221</v>
      </c>
      <c r="EX62" s="23">
        <f>EXP(-LN(2)/2)*EX61+(1-EXP(-LN(2)/2))/(LN(2)/2)*ER62*EU62*VLOOKUP('Données projet'!$B$15,Paramètres!$A$1:$I$89,3,0)*0.475*44/12</f>
        <v>7.2114318764884854E-4</v>
      </c>
      <c r="EY62" s="24">
        <f t="shared" si="21"/>
        <v>4.5798441074530709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62.699631063350289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4.0999999999999996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15.033333333333331</v>
      </c>
      <c r="H63" s="70">
        <f t="shared" si="1"/>
        <v>196.53333333333333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70.794576398719499</v>
      </c>
      <c r="T63" s="62">
        <f t="shared" si="34"/>
        <v>328.91236364911629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4.1023574413084301E-6</v>
      </c>
      <c r="AC63" s="24">
        <f t="shared" si="3"/>
        <v>4.1023574413084301E-6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247.01039999999992</v>
      </c>
      <c r="AK63" s="14">
        <f t="shared" si="35"/>
        <v>59.945315462121812</v>
      </c>
      <c r="AL63" s="22">
        <f t="shared" si="4"/>
        <v>534.61453776319524</v>
      </c>
      <c r="AM63" s="62">
        <f t="shared" si="5"/>
        <v>801.64421695500675</v>
      </c>
      <c r="AN63" s="62">
        <f ca="1">AVERAGE(OFFSET($AM$3,0,0,'Données projet'!$E$10+1,1))-AVERAGE(OFFSET($H$3,0,0,'Données projet'!$E$10+1,1))</f>
        <v>466.75323833427217</v>
      </c>
      <c r="AO63" s="62">
        <f t="shared" si="36"/>
        <v>293.88550076209378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3.9742551253556062</v>
      </c>
      <c r="AW63" s="23">
        <f>EXP(-LN(2)/2)*AW62+(1-EXP(-LN(2)/2))/(LN(2)/2)*AQ63*AT63*VLOOKUP('Données projet'!$B$10,Paramètres!$A$1:$I$89,3,0)*0.475*44/12</f>
        <v>4.5501021254143242E-4</v>
      </c>
      <c r="AX63" s="23">
        <f t="shared" si="6"/>
        <v>3.9747101355681478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68.47741055388687</v>
      </c>
      <c r="BJ63" s="62">
        <f t="shared" si="38"/>
        <v>335.34467252166542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28.389587073847359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1.8960260883230523E-5</v>
      </c>
      <c r="BS63" s="24">
        <f t="shared" si="9"/>
        <v>28.389606034108244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5.6843418860808015E-14</v>
      </c>
      <c r="BZ63" s="14">
        <f>BY63*VLOOKUP('Données projet'!$B$12,Paramètres!$A$1:$I$89,3,0)*VLOOKUP('Données projet'!$B$12,Paramètres!$A$1:$I$89,5,0)</f>
        <v>3.3992364478763198E-14</v>
      </c>
      <c r="CA63" s="14">
        <f t="shared" si="39"/>
        <v>5.790027782444094E-13</v>
      </c>
      <c r="CB63" s="22">
        <f t="shared" si="10"/>
        <v>1.0676332069095257E-12</v>
      </c>
      <c r="CC63" s="62">
        <f t="shared" si="11"/>
        <v>267.02967919181259</v>
      </c>
      <c r="CD63" s="62">
        <f ca="1">AVERAGE(OFFSET($CC$3,0,0,'Données projet'!$E$12+1,1))-AVERAGE(OFFSET($H$3,0,0,'Données projet'!$E$12+1,1))</f>
        <v>211.76609132110815</v>
      </c>
      <c r="CE63" s="62">
        <f t="shared" si="40"/>
        <v>363.07965692095752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5.4531770551929695</v>
      </c>
      <c r="CL63" s="23">
        <f>EXP(-LN(2)/25)*CL62+(1-EXP(-LN(2)/25))/(LN(2)/25)*Calculateur!CG63*Calculateur!CI63*VLOOKUP('Données projet'!$B$12,Paramètres!$A$1:$I$89,3,0)*0.475*44/12</f>
        <v>2.3678620519622107</v>
      </c>
      <c r="CM63" s="23">
        <f>EXP(-LN(2)/2)*CM62+(1-EXP(-LN(2)/2))/(LN(2)/2)*CG63*CJ63*VLOOKUP('Données projet'!$B$12,Paramètres!$A$1:$I$89,3,0)*0.475*44/12</f>
        <v>7.1957824563544345E-5</v>
      </c>
      <c r="CN63" s="24">
        <f t="shared" si="12"/>
        <v>7.8211110649797435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>
        <f>CT63*VLOOKUP('Données projet'!$B$13,Paramètres!$A$1:$I$89,3,0)*VLOOKUP('Données projet'!$B$13,Paramètres!$A$1:$I$89,5,0)</f>
        <v>-5.1431925385259088E-14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374.91250349988451</v>
      </c>
      <c r="CZ63" s="62">
        <f t="shared" si="42"/>
        <v>529.46825265662869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5.8433087504878127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5.8433087504878127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176</v>
      </c>
      <c r="DM63" s="13">
        <f>VLOOKUP(A63,'Données projet'!$A$165:$I$185,9,0)</f>
        <v>4.4000000000000004</v>
      </c>
      <c r="DN63" s="13">
        <f t="array" ref="DN63">INDEX(DM:DM,MIN(IF(ISNUMBER(DM63:DM259),ROW(DM63:DM259),"")))</f>
        <v>4.4000000000000004</v>
      </c>
      <c r="DO63" s="13">
        <f>IF('Données projet'!$A$166&gt;35,DO62+DN63-DW62,IF(A63&lt;'Données projet'!$A$166,$DL$205^A63,IF(A63='Données projet'!$A$166,'Données projet'!$B$166,DO62+DN63-DW62)))</f>
        <v>176.00000000000003</v>
      </c>
      <c r="DP63" s="18">
        <f>DO63*VLOOKUP('Données projet'!$B$14,Paramètres!$A$1:$I$89,3,0)*VLOOKUP('Données projet'!$B$14,Paramètres!$A$1:$I$89,5,0)</f>
        <v>153.75360000000006</v>
      </c>
      <c r="DQ63" s="14">
        <f t="shared" si="43"/>
        <v>39.430373774012359</v>
      </c>
      <c r="DR63" s="22">
        <f t="shared" si="16"/>
        <v>336.462087656405</v>
      </c>
      <c r="DS63" s="62">
        <f t="shared" si="17"/>
        <v>603.49176684821646</v>
      </c>
      <c r="DT63" s="62">
        <f ca="1">AVERAGE(OFFSET($DS$3,0,0,'Données projet'!$E$14+1,1))-AVERAGE(OFFSET($H$3,0,0,'Données projet'!$E$14+1,1))</f>
        <v>289.18543665577761</v>
      </c>
      <c r="DU63" s="62">
        <f t="shared" si="44"/>
        <v>291.40065947222843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16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4.8462747417497543</v>
      </c>
      <c r="EC63" s="23">
        <f>EXP(-LN(2)/2)*EC62+(1-EXP(-LN(2)/2))/(LN(2)/2)*DW63*DZ63*VLOOKUP('Données projet'!$B$14,Paramètres!$A$1:$I$89,3,0)*0.475*44/12</f>
        <v>3.1941523393338945E-4</v>
      </c>
      <c r="ED63" s="24">
        <f t="shared" si="18"/>
        <v>4.8465941569836879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273</v>
      </c>
      <c r="EH63" s="13">
        <f>VLOOKUP(A63,'Données projet'!$A$191:$I$211,9,0)</f>
        <v>9.4</v>
      </c>
      <c r="EI63" s="13">
        <f t="array" ref="EI63">INDEX(EH:EH,MIN(IF(ISNUMBER(EH63:EH259),ROW(EH63:EH259),"")))</f>
        <v>9.4</v>
      </c>
      <c r="EJ63" s="13">
        <f>IF('Données projet'!$A$192&gt;35,EJ62+EI63-ER62,IF(A63&lt;'Données projet'!$A$192,$EG$205^A63,IF(A63='Données projet'!$A$192,'Données projet'!$B$192,EJ62+EI63-ER62)))</f>
        <v>272.99999999999994</v>
      </c>
      <c r="EK63" s="18">
        <f>EJ63*VLOOKUP('Données projet'!$B$15,Paramètres!$A$1:$I$89,3,0)*VLOOKUP('Données projet'!$B$15,Paramètres!$A$1:$I$89,5,0)</f>
        <v>276.82199999999995</v>
      </c>
      <c r="EL63" s="14">
        <f t="shared" si="45"/>
        <v>66.29496059864374</v>
      </c>
      <c r="EM63" s="22">
        <f t="shared" si="19"/>
        <v>597.59537304263779</v>
      </c>
      <c r="EN63" s="62">
        <f t="shared" si="20"/>
        <v>864.6250522344493</v>
      </c>
      <c r="EO63" s="62">
        <f ca="1">AVERAGE(OFFSET($EN$3,0,0,'Données projet'!$E$15+1,1))-AVERAGE(OFFSET($H$3,0,0,'Données projet'!$E$15+1,1))</f>
        <v>514.72748286045442</v>
      </c>
      <c r="EP63" s="62">
        <f t="shared" si="46"/>
        <v>322.28702110656116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28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4.453906606001973</v>
      </c>
      <c r="EX63" s="23">
        <f>EXP(-LN(2)/2)*EX62+(1-EXP(-LN(2)/2))/(LN(2)/2)*ER63*EU63*VLOOKUP('Données projet'!$B$15,Paramètres!$A$1:$I$89,3,0)*0.475*44/12</f>
        <v>5.0992523819298372E-4</v>
      </c>
      <c r="EY63" s="24">
        <f t="shared" si="21"/>
        <v>4.4544165312401658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62.826276143221321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4.0999999999999996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15.033333333333331</v>
      </c>
      <c r="H64" s="70">
        <f t="shared" si="1"/>
        <v>196.53333333333333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70.794576398719499</v>
      </c>
      <c r="T64" s="62">
        <f t="shared" si="34"/>
        <v>328.91236364911629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2.9008047656002851E-6</v>
      </c>
      <c r="AC64" s="24">
        <f t="shared" si="3"/>
        <v>2.9008047656002851E-6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229.63823999999994</v>
      </c>
      <c r="AK64" s="14">
        <f t="shared" si="35"/>
        <v>56.204453396569633</v>
      </c>
      <c r="AL64" s="22">
        <f t="shared" si="4"/>
        <v>497.84269099902531</v>
      </c>
      <c r="AM64" s="62">
        <f t="shared" si="5"/>
        <v>765.32867978403135</v>
      </c>
      <c r="AN64" s="62">
        <f ca="1">AVERAGE(OFFSET($AM$3,0,0,'Données projet'!$E$10+1,1))-AVERAGE(OFFSET($H$3,0,0,'Données projet'!$E$10+1,1))</f>
        <v>466.75323833427217</v>
      </c>
      <c r="AO64" s="62">
        <f t="shared" si="36"/>
        <v>293.88550076209378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3.8655789099557634</v>
      </c>
      <c r="AW64" s="23">
        <f>EXP(-LN(2)/2)*AW63+(1-EXP(-LN(2)/2))/(LN(2)/2)*AQ64*AT64*VLOOKUP('Données projet'!$B$10,Paramètres!$A$1:$I$89,3,0)*0.475*44/12</f>
        <v>3.2174080679717913E-4</v>
      </c>
      <c r="AX64" s="23">
        <f t="shared" si="6"/>
        <v>3.8659006507625606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68.47741055388687</v>
      </c>
      <c r="BJ64" s="62">
        <f t="shared" si="38"/>
        <v>335.34467252166542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27.832884587267522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1.3406929043598342E-5</v>
      </c>
      <c r="BS64" s="24">
        <f t="shared" si="9"/>
        <v>27.832897994196564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5.6843418860808015E-14</v>
      </c>
      <c r="BZ64" s="14">
        <f>BY64*VLOOKUP('Données projet'!$B$12,Paramètres!$A$1:$I$89,3,0)*VLOOKUP('Données projet'!$B$12,Paramètres!$A$1:$I$89,5,0)</f>
        <v>3.3992364478763198E-14</v>
      </c>
      <c r="CA64" s="14">
        <f t="shared" si="39"/>
        <v>5.790027782444094E-13</v>
      </c>
      <c r="CB64" s="22">
        <f t="shared" si="10"/>
        <v>1.0676332069095257E-12</v>
      </c>
      <c r="CC64" s="62">
        <f t="shared" si="11"/>
        <v>267.48598878500712</v>
      </c>
      <c r="CD64" s="62">
        <f ca="1">AVERAGE(OFFSET($CC$3,0,0,'Données projet'!$E$12+1,1))-AVERAGE(OFFSET($H$3,0,0,'Données projet'!$E$12+1,1))</f>
        <v>211.76609132110815</v>
      </c>
      <c r="CE64" s="62">
        <f t="shared" si="40"/>
        <v>363.07965692095752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5.3462435792502125</v>
      </c>
      <c r="CL64" s="23">
        <f>EXP(-LN(2)/25)*CL63+(1-EXP(-LN(2)/25))/(LN(2)/25)*Calculateur!CG64*Calculateur!CI64*VLOOKUP('Données projet'!$B$12,Paramètres!$A$1:$I$89,3,0)*0.475*44/12</f>
        <v>2.3031127396308504</v>
      </c>
      <c r="CM64" s="23">
        <f>EXP(-LN(2)/2)*CM63+(1-EXP(-LN(2)/2))/(LN(2)/2)*CG64*CJ64*VLOOKUP('Données projet'!$B$12,Paramètres!$A$1:$I$89,3,0)*0.475*44/12</f>
        <v>5.0881865708314127E-5</v>
      </c>
      <c r="CN64" s="24">
        <f t="shared" si="12"/>
        <v>7.6494072007467713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-5.1431925385259088E-14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374.91250349988451</v>
      </c>
      <c r="CZ64" s="62">
        <f t="shared" si="42"/>
        <v>529.46825265662869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5.7287250299571619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5.7287250299571619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</v>
      </c>
      <c r="DO64" s="13">
        <f>IF('Données projet'!$A$166&gt;35,DO63+DN64-DW63,IF(A64&lt;'Données projet'!$A$166,$DL$205^A64,IF(A64='Données projet'!$A$166,'Données projet'!$B$166,DO63+DN64-DW63)))</f>
        <v>164.00000000000003</v>
      </c>
      <c r="DP64" s="18">
        <f>DO64*VLOOKUP('Données projet'!$B$14,Paramètres!$A$1:$I$89,3,0)*VLOOKUP('Données projet'!$B$14,Paramètres!$A$1:$I$89,5,0)</f>
        <v>143.27040000000002</v>
      </c>
      <c r="DQ64" s="14">
        <f t="shared" si="43"/>
        <v>37.045198377171303</v>
      </c>
      <c r="DR64" s="22">
        <f t="shared" si="16"/>
        <v>314.04966717357337</v>
      </c>
      <c r="DS64" s="62">
        <f t="shared" si="17"/>
        <v>581.53565595857935</v>
      </c>
      <c r="DT64" s="62">
        <f ca="1">AVERAGE(OFFSET($DS$3,0,0,'Données projet'!$E$14+1,1))-AVERAGE(OFFSET($H$3,0,0,'Données projet'!$E$14+1,1))</f>
        <v>289.18543665577761</v>
      </c>
      <c r="DU64" s="62">
        <f t="shared" si="44"/>
        <v>291.40065947222843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4.7137531040820946</v>
      </c>
      <c r="EC64" s="23">
        <f>EXP(-LN(2)/2)*EC63+(1-EXP(-LN(2)/2))/(LN(2)/2)*DW64*DZ64*VLOOKUP('Données projet'!$B$14,Paramètres!$A$1:$I$89,3,0)*0.475*44/12</f>
        <v>2.2586067792858711E-4</v>
      </c>
      <c r="ED64" s="24">
        <f t="shared" si="18"/>
        <v>4.713978964760023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8.8000000000000007</v>
      </c>
      <c r="EJ64" s="13">
        <f>IF('Données projet'!$A$192&gt;35,EJ63+EI64-ER63,IF(A64&lt;'Données projet'!$A$192,$EG$205^A64,IF(A64='Données projet'!$A$192,'Données projet'!$B$192,EJ63+EI64-ER63)))</f>
        <v>253.79999999999995</v>
      </c>
      <c r="EK64" s="18">
        <f>EJ64*VLOOKUP('Données projet'!$B$15,Paramètres!$A$1:$I$89,3,0)*VLOOKUP('Données projet'!$B$15,Paramètres!$A$1:$I$89,5,0)</f>
        <v>257.35319999999996</v>
      </c>
      <c r="EL64" s="14">
        <f t="shared" si="45"/>
        <v>62.157851613080908</v>
      </c>
      <c r="EM64" s="22">
        <f t="shared" si="19"/>
        <v>556.48174822611588</v>
      </c>
      <c r="EN64" s="62">
        <f t="shared" si="20"/>
        <v>823.96773701112193</v>
      </c>
      <c r="EO64" s="62">
        <f ca="1">AVERAGE(OFFSET($EN$3,0,0,'Données projet'!$E$15+1,1))-AVERAGE(OFFSET($H$3,0,0,'Données projet'!$E$15+1,1))</f>
        <v>514.72748286045442</v>
      </c>
      <c r="EP64" s="62">
        <f t="shared" si="46"/>
        <v>322.28702110656116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4.3321142956400802</v>
      </c>
      <c r="EX64" s="23">
        <f>EXP(-LN(2)/2)*EX63+(1-EXP(-LN(2)/2))/(LN(2)/2)*ER64*EU64*VLOOKUP('Données projet'!$B$15,Paramètres!$A$1:$I$89,3,0)*0.475*44/12</f>
        <v>3.6057159382442427E-4</v>
      </c>
      <c r="EY64" s="24">
        <f t="shared" si="21"/>
        <v>4.3324748672339046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62.95072421409256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4.0999999999999996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15.033333333333331</v>
      </c>
      <c r="H65" s="70">
        <f t="shared" si="1"/>
        <v>196.53333333333333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70.794576398719499</v>
      </c>
      <c r="T65" s="62">
        <f t="shared" si="34"/>
        <v>328.91236364911629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2.051178720654215E-6</v>
      </c>
      <c r="AC65" s="24">
        <f t="shared" si="3"/>
        <v>2.051178720654215E-6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237.60047999999995</v>
      </c>
      <c r="AK65" s="14">
        <f t="shared" si="35"/>
        <v>57.922960533442058</v>
      </c>
      <c r="AL65" s="22">
        <f t="shared" si="4"/>
        <v>514.70332559574479</v>
      </c>
      <c r="AM65" s="62">
        <f t="shared" si="5"/>
        <v>782.6377080226589</v>
      </c>
      <c r="AN65" s="62">
        <f ca="1">AVERAGE(OFFSET($AM$3,0,0,'Données projet'!$E$10+1,1))-AVERAGE(OFFSET($H$3,0,0,'Données projet'!$E$10+1,1))</f>
        <v>466.75323833427217</v>
      </c>
      <c r="AO65" s="62">
        <f t="shared" si="36"/>
        <v>293.88550076209378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3.7598744513810631</v>
      </c>
      <c r="AW65" s="23">
        <f>EXP(-LN(2)/2)*AW64+(1-EXP(-LN(2)/2))/(LN(2)/2)*AQ65*AT65*VLOOKUP('Données projet'!$B$10,Paramètres!$A$1:$I$89,3,0)*0.475*44/12</f>
        <v>2.2750510627071621E-4</v>
      </c>
      <c r="AX65" s="23">
        <f t="shared" si="6"/>
        <v>3.7601019564873339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68.47741055388687</v>
      </c>
      <c r="BJ65" s="62">
        <f t="shared" si="38"/>
        <v>335.34467252166542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27.287098696894525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9.4801304416152617E-6</v>
      </c>
      <c r="BS65" s="24">
        <f t="shared" si="9"/>
        <v>27.287108177024965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5.6843418860808015E-14</v>
      </c>
      <c r="BZ65" s="14">
        <f>BY65*VLOOKUP('Données projet'!$B$12,Paramètres!$A$1:$I$89,3,0)*VLOOKUP('Données projet'!$B$12,Paramètres!$A$1:$I$89,5,0)</f>
        <v>3.3992364478763198E-14</v>
      </c>
      <c r="CA65" s="14">
        <f t="shared" si="39"/>
        <v>5.790027782444094E-13</v>
      </c>
      <c r="CB65" s="22">
        <f t="shared" si="10"/>
        <v>1.0676332069095257E-12</v>
      </c>
      <c r="CC65" s="62">
        <f t="shared" si="11"/>
        <v>267.93438242691514</v>
      </c>
      <c r="CD65" s="62">
        <f ca="1">AVERAGE(OFFSET($CC$3,0,0,'Données projet'!$E$12+1,1))-AVERAGE(OFFSET($H$3,0,0,'Données projet'!$E$12+1,1))</f>
        <v>211.76609132110815</v>
      </c>
      <c r="CE65" s="62">
        <f t="shared" si="40"/>
        <v>363.07965692095752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5.2414070035477138</v>
      </c>
      <c r="CL65" s="23">
        <f>EXP(-LN(2)/25)*CL64+(1-EXP(-LN(2)/25))/(LN(2)/25)*Calculateur!CG65*Calculateur!CI65*VLOOKUP('Données projet'!$B$12,Paramètres!$A$1:$I$89,3,0)*0.475*44/12</f>
        <v>2.2401340006502095</v>
      </c>
      <c r="CM65" s="23">
        <f>EXP(-LN(2)/2)*CM64+(1-EXP(-LN(2)/2))/(LN(2)/2)*CG65*CJ65*VLOOKUP('Données projet'!$B$12,Paramètres!$A$1:$I$89,3,0)*0.475*44/12</f>
        <v>3.5978912281772173E-5</v>
      </c>
      <c r="CN65" s="24">
        <f t="shared" si="12"/>
        <v>7.4815769831102052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-5.1431925385259088E-14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374.91250349988451</v>
      </c>
      <c r="CZ65" s="62">
        <f t="shared" si="42"/>
        <v>529.46825265662869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5.6163882262969489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5.6163882262969489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</v>
      </c>
      <c r="DO65" s="13">
        <f>IF('Données projet'!$A$166&gt;35,DO64+DN65-DW64,IF(A65&lt;'Données projet'!$A$166,$DL$205^A65,IF(A65='Données projet'!$A$166,'Données projet'!$B$166,DO64+DN65-DW64)))</f>
        <v>168.00000000000003</v>
      </c>
      <c r="DP65" s="18">
        <f>DO65*VLOOKUP('Données projet'!$B$14,Paramètres!$A$1:$I$89,3,0)*VLOOKUP('Données projet'!$B$14,Paramètres!$A$1:$I$89,5,0)</f>
        <v>146.76480000000004</v>
      </c>
      <c r="DQ65" s="14">
        <f t="shared" si="43"/>
        <v>37.842444439956665</v>
      </c>
      <c r="DR65" s="22">
        <f t="shared" si="16"/>
        <v>321.52428406625791</v>
      </c>
      <c r="DS65" s="62">
        <f t="shared" si="17"/>
        <v>589.4586664931719</v>
      </c>
      <c r="DT65" s="62">
        <f ca="1">AVERAGE(OFFSET($DS$3,0,0,'Données projet'!$E$14+1,1))-AVERAGE(OFFSET($H$3,0,0,'Données projet'!$E$14+1,1))</f>
        <v>289.18543665577761</v>
      </c>
      <c r="DU65" s="62">
        <f t="shared" si="44"/>
        <v>291.40065947222843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4.5848552775654676</v>
      </c>
      <c r="EC65" s="23">
        <f>EXP(-LN(2)/2)*EC64+(1-EXP(-LN(2)/2))/(LN(2)/2)*DW65*DZ65*VLOOKUP('Données projet'!$B$14,Paramètres!$A$1:$I$89,3,0)*0.475*44/12</f>
        <v>1.5970761696669473E-4</v>
      </c>
      <c r="ED65" s="24">
        <f t="shared" si="18"/>
        <v>4.5850149851824344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8.8000000000000007</v>
      </c>
      <c r="EJ65" s="13">
        <f>IF('Données projet'!$A$192&gt;35,EJ64+EI65-ER64,IF(A65&lt;'Données projet'!$A$192,$EG$205^A65,IF(A65='Données projet'!$A$192,'Données projet'!$B$192,EJ64+EI65-ER64)))</f>
        <v>262.59999999999997</v>
      </c>
      <c r="EK65" s="18">
        <f>EJ65*VLOOKUP('Données projet'!$B$15,Paramètres!$A$1:$I$89,3,0)*VLOOKUP('Données projet'!$B$15,Paramètres!$A$1:$I$89,5,0)</f>
        <v>266.27640000000002</v>
      </c>
      <c r="EL65" s="14">
        <f t="shared" si="45"/>
        <v>64.058389829439747</v>
      </c>
      <c r="EM65" s="22">
        <f t="shared" si="19"/>
        <v>575.33309228627434</v>
      </c>
      <c r="EN65" s="62">
        <f t="shared" si="20"/>
        <v>843.26747471318845</v>
      </c>
      <c r="EO65" s="62">
        <f ca="1">AVERAGE(OFFSET($EN$3,0,0,'Données projet'!$E$15+1,1))-AVERAGE(OFFSET($H$3,0,0,'Données projet'!$E$15+1,1))</f>
        <v>514.72748286045442</v>
      </c>
      <c r="EP65" s="62">
        <f t="shared" si="46"/>
        <v>322.28702110656116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4.2136524024098128</v>
      </c>
      <c r="EX65" s="23">
        <f>EXP(-LN(2)/2)*EX64+(1-EXP(-LN(2)/2))/(LN(2)/2)*ER65*EU65*VLOOKUP('Données projet'!$B$15,Paramètres!$A$1:$I$89,3,0)*0.475*44/12</f>
        <v>2.5496261909649186E-4</v>
      </c>
      <c r="EY65" s="24">
        <f t="shared" si="21"/>
        <v>4.2139073650289092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63.073013389158383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4.0999999999999996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15.033333333333331</v>
      </c>
      <c r="H66" s="70">
        <f t="shared" si="1"/>
        <v>196.53333333333333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70.794576398719499</v>
      </c>
      <c r="T66" s="62">
        <f t="shared" si="34"/>
        <v>328.91236364911629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1.4504023828001426E-6</v>
      </c>
      <c r="AC66" s="24">
        <f t="shared" si="3"/>
        <v>1.4504023828001426E-6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245.56271999999998</v>
      </c>
      <c r="AK66" s="14">
        <f t="shared" si="35"/>
        <v>59.634776048276898</v>
      </c>
      <c r="AL66" s="22">
        <f t="shared" si="4"/>
        <v>531.55230561741564</v>
      </c>
      <c r="AM66" s="62">
        <f t="shared" si="5"/>
        <v>799.92730305900864</v>
      </c>
      <c r="AN66" s="62">
        <f ca="1">AVERAGE(OFFSET($AM$3,0,0,'Données projet'!$E$10+1,1))-AVERAGE(OFFSET($H$3,0,0,'Données projet'!$E$10+1,1))</f>
        <v>466.75323833427217</v>
      </c>
      <c r="AO66" s="62">
        <f t="shared" si="36"/>
        <v>293.88550076209378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3.657060486784844</v>
      </c>
      <c r="AW66" s="23">
        <f>EXP(-LN(2)/2)*AW65+(1-EXP(-LN(2)/2))/(LN(2)/2)*AQ66*AT66*VLOOKUP('Données projet'!$B$10,Paramètres!$A$1:$I$89,3,0)*0.475*44/12</f>
        <v>1.6087040339858957E-4</v>
      </c>
      <c r="AX66" s="23">
        <f t="shared" si="6"/>
        <v>3.6572213571882424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68.47741055388687</v>
      </c>
      <c r="BJ66" s="62">
        <f t="shared" si="38"/>
        <v>335.34467252166542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26.752015334935219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6.7034645217991711E-6</v>
      </c>
      <c r="BS66" s="24">
        <f t="shared" si="9"/>
        <v>26.75202203839974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5.6843418860808015E-14</v>
      </c>
      <c r="BZ66" s="14">
        <f>BY66*VLOOKUP('Données projet'!$B$12,Paramètres!$A$1:$I$89,3,0)*VLOOKUP('Données projet'!$B$12,Paramètres!$A$1:$I$89,5,0)</f>
        <v>3.3992364478763198E-14</v>
      </c>
      <c r="CA66" s="14">
        <f t="shared" si="39"/>
        <v>5.790027782444094E-13</v>
      </c>
      <c r="CB66" s="22">
        <f t="shared" si="10"/>
        <v>1.0676332069095257E-12</v>
      </c>
      <c r="CC66" s="62">
        <f t="shared" si="11"/>
        <v>268.37499744159402</v>
      </c>
      <c r="CD66" s="62">
        <f ca="1">AVERAGE(OFFSET($CC$3,0,0,'Données projet'!$E$12+1,1))-AVERAGE(OFFSET($H$3,0,0,'Données projet'!$E$12+1,1))</f>
        <v>211.76609132110815</v>
      </c>
      <c r="CE66" s="62">
        <f t="shared" si="40"/>
        <v>363.07965692095752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5.1386262091507433</v>
      </c>
      <c r="CL66" s="23">
        <f>EXP(-LN(2)/25)*CL65+(1-EXP(-LN(2)/25))/(LN(2)/25)*Calculateur!CG66*Calculateur!CI66*VLOOKUP('Données projet'!$B$12,Paramètres!$A$1:$I$89,3,0)*0.475*44/12</f>
        <v>2.1788774185989022</v>
      </c>
      <c r="CM66" s="23">
        <f>EXP(-LN(2)/2)*CM65+(1-EXP(-LN(2)/2))/(LN(2)/2)*CG66*CJ66*VLOOKUP('Données projet'!$B$12,Paramètres!$A$1:$I$89,3,0)*0.475*44/12</f>
        <v>2.5440932854157063E-5</v>
      </c>
      <c r="CN66" s="24">
        <f t="shared" si="12"/>
        <v>7.3175290686824992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-5.1431925385259088E-14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374.91250349988451</v>
      </c>
      <c r="CZ66" s="62">
        <f t="shared" si="42"/>
        <v>529.46825265662869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5.5062542788378277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5.5062542788378277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</v>
      </c>
      <c r="DO66" s="13">
        <f>IF('Données projet'!$A$166&gt;35,DO65+DN66-DW65,IF(A66&lt;'Données projet'!$A$166,$DL$205^A66,IF(A66='Données projet'!$A$166,'Données projet'!$B$166,DO65+DN66-DW65)))</f>
        <v>172.00000000000003</v>
      </c>
      <c r="DP66" s="18">
        <f>DO66*VLOOKUP('Données projet'!$B$14,Paramètres!$A$1:$I$89,3,0)*VLOOKUP('Données projet'!$B$14,Paramètres!$A$1:$I$89,5,0)</f>
        <v>150.25920000000005</v>
      </c>
      <c r="DQ66" s="14">
        <f t="shared" si="43"/>
        <v>38.637483830798729</v>
      </c>
      <c r="DR66" s="22">
        <f t="shared" si="16"/>
        <v>328.99505767197456</v>
      </c>
      <c r="DS66" s="62">
        <f t="shared" si="17"/>
        <v>597.37005511356756</v>
      </c>
      <c r="DT66" s="62">
        <f ca="1">AVERAGE(OFFSET($DS$3,0,0,'Données projet'!$E$14+1,1))-AVERAGE(OFFSET($H$3,0,0,'Données projet'!$E$14+1,1))</f>
        <v>289.18543665577761</v>
      </c>
      <c r="DU66" s="62">
        <f t="shared" si="44"/>
        <v>291.40065947222843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4.4594821688933797</v>
      </c>
      <c r="EC66" s="23">
        <f>EXP(-LN(2)/2)*EC65+(1-EXP(-LN(2)/2))/(LN(2)/2)*DW66*DZ66*VLOOKUP('Données projet'!$B$14,Paramètres!$A$1:$I$89,3,0)*0.475*44/12</f>
        <v>1.1293033896429356E-4</v>
      </c>
      <c r="ED66" s="24">
        <f t="shared" si="18"/>
        <v>4.4595950992323443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8.8000000000000007</v>
      </c>
      <c r="EJ66" s="13">
        <f>IF('Données projet'!$A$192&gt;35,EJ65+EI66-ER65,IF(A66&lt;'Données projet'!$A$192,$EG$205^A66,IF(A66='Données projet'!$A$192,'Données projet'!$B$192,EJ65+EI66-ER65)))</f>
        <v>271.39999999999998</v>
      </c>
      <c r="EK66" s="18">
        <f>EJ66*VLOOKUP('Données projet'!$B$15,Paramètres!$A$1:$I$89,3,0)*VLOOKUP('Données projet'!$B$15,Paramètres!$A$1:$I$89,5,0)</f>
        <v>275.19960000000003</v>
      </c>
      <c r="EL66" s="14">
        <f t="shared" si="45"/>
        <v>65.951527620662617</v>
      </c>
      <c r="EM66" s="22">
        <f t="shared" si="19"/>
        <v>594.17154727265404</v>
      </c>
      <c r="EN66" s="62">
        <f t="shared" si="20"/>
        <v>862.54654471424692</v>
      </c>
      <c r="EO66" s="62">
        <f ca="1">AVERAGE(OFFSET($EN$3,0,0,'Données projet'!$E$15+1,1))-AVERAGE(OFFSET($H$3,0,0,'Données projet'!$E$15+1,1))</f>
        <v>514.72748286045442</v>
      </c>
      <c r="EP66" s="62">
        <f t="shared" si="46"/>
        <v>322.28702110656116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4.0984298558795667</v>
      </c>
      <c r="EX66" s="23">
        <f>EXP(-LN(2)/2)*EX65+(1-EXP(-LN(2)/2))/(LN(2)/2)*ER66*EU66*VLOOKUP('Données projet'!$B$15,Paramètres!$A$1:$I$89,3,0)*0.475*44/12</f>
        <v>1.8028579691221214E-4</v>
      </c>
      <c r="EY66" s="24">
        <f t="shared" si="21"/>
        <v>4.0986101416764793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63.193181120434453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4.0999999999999996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15.033333333333331</v>
      </c>
      <c r="H67" s="70">
        <f t="shared" si="1"/>
        <v>196.53333333333333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70.794576398719499</v>
      </c>
      <c r="T67" s="62">
        <f t="shared" si="34"/>
        <v>328.91236364911629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1.0255893603271075E-6</v>
      </c>
      <c r="AC67" s="24">
        <f t="shared" si="3"/>
        <v>1.0255893603271075E-6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253.52495999999999</v>
      </c>
      <c r="AK67" s="14">
        <f t="shared" si="35"/>
        <v>61.340141798422209</v>
      </c>
      <c r="AL67" s="22">
        <f t="shared" si="4"/>
        <v>548.39005229891859</v>
      </c>
      <c r="AM67" s="62">
        <f t="shared" si="5"/>
        <v>817.19802106975339</v>
      </c>
      <c r="AN67" s="62">
        <f ca="1">AVERAGE(OFFSET($AM$3,0,0,'Données projet'!$E$10+1,1))-AVERAGE(OFFSET($H$3,0,0,'Données projet'!$E$10+1,1))</f>
        <v>466.75323833427217</v>
      </c>
      <c r="AO67" s="62">
        <f t="shared" si="36"/>
        <v>293.88550076209378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3.5570579754572598</v>
      </c>
      <c r="AW67" s="23">
        <f>EXP(-LN(2)/2)*AW66+(1-EXP(-LN(2)/2))/(LN(2)/2)*AQ67*AT67*VLOOKUP('Données projet'!$B$10,Paramètres!$A$1:$I$89,3,0)*0.475*44/12</f>
        <v>1.1375255313535811E-4</v>
      </c>
      <c r="AX67" s="23">
        <f t="shared" si="6"/>
        <v>3.5571717280103949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68.47741055388687</v>
      </c>
      <c r="BJ67" s="62">
        <f t="shared" si="38"/>
        <v>335.34467252166542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26.227424631335314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4.7400652208076309E-6</v>
      </c>
      <c r="BS67" s="24">
        <f t="shared" si="9"/>
        <v>26.227429371400536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5.6843418860808015E-14</v>
      </c>
      <c r="BZ67" s="14">
        <f>BY67*VLOOKUP('Données projet'!$B$12,Paramètres!$A$1:$I$89,3,0)*VLOOKUP('Données projet'!$B$12,Paramètres!$A$1:$I$89,5,0)</f>
        <v>3.3992364478763198E-14</v>
      </c>
      <c r="CA67" s="14">
        <f t="shared" si="39"/>
        <v>5.790027782444094E-13</v>
      </c>
      <c r="CB67" s="22">
        <f t="shared" si="10"/>
        <v>1.0676332069095257E-12</v>
      </c>
      <c r="CC67" s="62">
        <f t="shared" si="11"/>
        <v>268.80796877083594</v>
      </c>
      <c r="CD67" s="62">
        <f ca="1">AVERAGE(OFFSET($CC$3,0,0,'Données projet'!$E$12+1,1))-AVERAGE(OFFSET($H$3,0,0,'Données projet'!$E$12+1,1))</f>
        <v>211.76609132110815</v>
      </c>
      <c r="CE67" s="62">
        <f t="shared" si="40"/>
        <v>363.07965692095752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5.0378608834418035</v>
      </c>
      <c r="CL67" s="23">
        <f>EXP(-LN(2)/25)*CL66+(1-EXP(-LN(2)/25))/(LN(2)/25)*Calculateur!CG67*Calculateur!CI67*VLOOKUP('Données projet'!$B$12,Paramètres!$A$1:$I$89,3,0)*0.475*44/12</f>
        <v>2.1192959010051315</v>
      </c>
      <c r="CM67" s="23">
        <f>EXP(-LN(2)/2)*CM66+(1-EXP(-LN(2)/2))/(LN(2)/2)*CG67*CJ67*VLOOKUP('Données projet'!$B$12,Paramètres!$A$1:$I$89,3,0)*0.475*44/12</f>
        <v>1.7989456140886086E-5</v>
      </c>
      <c r="CN67" s="24">
        <f t="shared" si="12"/>
        <v>7.1571747739030753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-5.1431925385259088E-14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374.91250349988451</v>
      </c>
      <c r="CZ67" s="62">
        <f t="shared" si="42"/>
        <v>529.46825265662869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5.3982799909133057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5.3982799909133057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</v>
      </c>
      <c r="DO67" s="13">
        <f>IF('Données projet'!$A$166&gt;35,DO66+DN67-DW66,IF(A67&lt;'Données projet'!$A$166,$DL$205^A67,IF(A67='Données projet'!$A$166,'Données projet'!$B$166,DO66+DN67-DW66)))</f>
        <v>176.00000000000003</v>
      </c>
      <c r="DP67" s="18">
        <f>DO67*VLOOKUP('Données projet'!$B$14,Paramètres!$A$1:$I$89,3,0)*VLOOKUP('Données projet'!$B$14,Paramètres!$A$1:$I$89,5,0)</f>
        <v>153.75360000000006</v>
      </c>
      <c r="DQ67" s="14">
        <f t="shared" si="43"/>
        <v>39.430373774012359</v>
      </c>
      <c r="DR67" s="22">
        <f t="shared" si="16"/>
        <v>336.462087656405</v>
      </c>
      <c r="DS67" s="62">
        <f t="shared" si="17"/>
        <v>605.27005642723987</v>
      </c>
      <c r="DT67" s="62">
        <f ca="1">AVERAGE(OFFSET($DS$3,0,0,'Données projet'!$E$14+1,1))-AVERAGE(OFFSET($H$3,0,0,'Données projet'!$E$14+1,1))</f>
        <v>289.18543665577761</v>
      </c>
      <c r="DU67" s="62">
        <f t="shared" si="44"/>
        <v>291.40065947222843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4.3375373944710152</v>
      </c>
      <c r="EC67" s="23">
        <f>EXP(-LN(2)/2)*EC66+(1-EXP(-LN(2)/2))/(LN(2)/2)*DW67*DZ67*VLOOKUP('Données projet'!$B$14,Paramètres!$A$1:$I$89,3,0)*0.475*44/12</f>
        <v>7.9853808483347364E-5</v>
      </c>
      <c r="ED67" s="24">
        <f t="shared" si="18"/>
        <v>4.3376172482794981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8.8000000000000007</v>
      </c>
      <c r="EJ67" s="13">
        <f>IF('Données projet'!$A$192&gt;35,EJ66+EI67-ER66,IF(A67&lt;'Données projet'!$A$192,$EG$205^A67,IF(A67='Données projet'!$A$192,'Données projet'!$B$192,EJ66+EI67-ER66)))</f>
        <v>280.2</v>
      </c>
      <c r="EK67" s="18">
        <f>EJ67*VLOOKUP('Données projet'!$B$15,Paramètres!$A$1:$I$89,3,0)*VLOOKUP('Données projet'!$B$15,Paramètres!$A$1:$I$89,5,0)</f>
        <v>284.12279999999998</v>
      </c>
      <c r="EL67" s="14">
        <f t="shared" si="45"/>
        <v>67.837532462585557</v>
      </c>
      <c r="EM67" s="22">
        <f t="shared" si="19"/>
        <v>612.99757903900309</v>
      </c>
      <c r="EN67" s="62">
        <f t="shared" si="20"/>
        <v>881.80554780983789</v>
      </c>
      <c r="EO67" s="62">
        <f ca="1">AVERAGE(OFFSET($EN$3,0,0,'Données projet'!$E$15+1,1))-AVERAGE(OFFSET($H$3,0,0,'Données projet'!$E$15+1,1))</f>
        <v>514.72748286045442</v>
      </c>
      <c r="EP67" s="62">
        <f t="shared" si="46"/>
        <v>322.28702110656116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3.9863580759434809</v>
      </c>
      <c r="EX67" s="23">
        <f>EXP(-LN(2)/2)*EX66+(1-EXP(-LN(2)/2))/(LN(2)/2)*ER67*EU67*VLOOKUP('Données projet'!$B$15,Paramètres!$A$1:$I$89,3,0)*0.475*44/12</f>
        <v>1.2748130954824593E-4</v>
      </c>
      <c r="EY67" s="24">
        <f t="shared" si="21"/>
        <v>3.9864855572530291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63.311264210227691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4.0999999999999996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15.033333333333331</v>
      </c>
      <c r="H68" s="70">
        <f t="shared" ref="H68:H131" si="56">(B68+E68+F68)*44/12+(C68+D68)*0.475*44/12</f>
        <v>196.53333333333333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70.794576398719499</v>
      </c>
      <c r="T68" s="62">
        <f t="shared" si="34"/>
        <v>328.91236364911629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7.2520119140007128E-7</v>
      </c>
      <c r="AC68" s="24">
        <f t="shared" ref="AC68:AC131" si="57">SUM(Z68:AB68)</f>
        <v>7.2520119140007128E-7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261.48719999999997</v>
      </c>
      <c r="AK68" s="14">
        <f t="shared" si="35"/>
        <v>63.039283586802391</v>
      </c>
      <c r="AL68" s="22">
        <f t="shared" ref="AL68:AL131" si="58">(AJ68+AK68)*0.475*44/12</f>
        <v>565.21695891368086</v>
      </c>
      <c r="AM68" s="62">
        <f t="shared" ref="AM68:AM131" si="59">AL68+(AD68+AE68)*44/12</f>
        <v>834.4503879291741</v>
      </c>
      <c r="AN68" s="62">
        <f ca="1">AVERAGE(OFFSET($AM$3,0,0,'Données projet'!$E$10+1,1))-AVERAGE(OFFSET($H$3,0,0,'Données projet'!$E$10+1,1))</f>
        <v>466.75323833427217</v>
      </c>
      <c r="AO68" s="62">
        <f t="shared" si="36"/>
        <v>293.88550076209378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3.4597900380608317</v>
      </c>
      <c r="AW68" s="23">
        <f>EXP(-LN(2)/2)*AW67+(1-EXP(-LN(2)/2))/(LN(2)/2)*AQ68*AT68*VLOOKUP('Données projet'!$B$10,Paramètres!$A$1:$I$89,3,0)*0.475*44/12</f>
        <v>8.0435201699294783E-5</v>
      </c>
      <c r="AX68" s="23">
        <f t="shared" ref="AX68:AX131" si="60">SUM(AU68:AW68)</f>
        <v>3.4598704732625309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68.47741055388687</v>
      </c>
      <c r="BJ68" s="62">
        <f t="shared" si="38"/>
        <v>335.34467252166542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25.713120831464266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3.3517322608995856E-6</v>
      </c>
      <c r="BS68" s="24">
        <f t="shared" ref="BS68:BS131" si="63">SUM(BP68:BR68)</f>
        <v>25.713124183196527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5.6843418860808015E-14</v>
      </c>
      <c r="BZ68" s="14">
        <f>BY68*VLOOKUP('Données projet'!$B$12,Paramètres!$A$1:$I$89,3,0)*VLOOKUP('Données projet'!$B$12,Paramètres!$A$1:$I$89,5,0)</f>
        <v>3.3992364478763198E-14</v>
      </c>
      <c r="CA68" s="14">
        <f t="shared" si="39"/>
        <v>5.790027782444094E-13</v>
      </c>
      <c r="CB68" s="22">
        <f t="shared" ref="CB68:CB131" si="64">(BZ68+CA68)*0.475*44/12</f>
        <v>1.0676332069095257E-12</v>
      </c>
      <c r="CC68" s="62">
        <f t="shared" ref="CC68:CC131" si="65">CB68+(BT68+BU68)*44/12</f>
        <v>269.23342901549432</v>
      </c>
      <c r="CD68" s="62">
        <f ca="1">AVERAGE(OFFSET($CC$3,0,0,'Données projet'!$E$12+1,1))-AVERAGE(OFFSET($H$3,0,0,'Données projet'!$E$12+1,1))</f>
        <v>211.76609132110815</v>
      </c>
      <c r="CE68" s="62">
        <f t="shared" si="40"/>
        <v>363.07965692095752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4.9390715043092355</v>
      </c>
      <c r="CL68" s="23">
        <f>EXP(-LN(2)/25)*CL67+(1-EXP(-LN(2)/25))/(LN(2)/25)*Calculateur!CG68*Calculateur!CI68*VLOOKUP('Données projet'!$B$12,Paramètres!$A$1:$I$89,3,0)*0.475*44/12</f>
        <v>2.0613436431432186</v>
      </c>
      <c r="CM68" s="23">
        <f>EXP(-LN(2)/2)*CM67+(1-EXP(-LN(2)/2))/(LN(2)/2)*CG68*CJ68*VLOOKUP('Données projet'!$B$12,Paramètres!$A$1:$I$89,3,0)*0.475*44/12</f>
        <v>1.2720466427078532E-5</v>
      </c>
      <c r="CN68" s="24">
        <f t="shared" ref="CN68:CN131" si="66">SUM(CK68:CM68)</f>
        <v>7.0004278679188809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-5.1431925385259088E-14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374.91250349988451</v>
      </c>
      <c r="CZ68" s="62">
        <f t="shared" si="42"/>
        <v>529.46825265662869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5.2924230129171708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5.2924230129171708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180</v>
      </c>
      <c r="DM68" s="13">
        <f>VLOOKUP(A68,'Données projet'!$A$165:$I$185,9,0)</f>
        <v>4</v>
      </c>
      <c r="DN68" s="13">
        <f t="array" ref="DN68">INDEX(DM:DM,MIN(IF(ISNUMBER(DM68:DM264),ROW(DM68:DM264),"")))</f>
        <v>4</v>
      </c>
      <c r="DO68" s="13">
        <f>IF('Données projet'!$A$166&gt;35,DO67+DN68-DW67,IF(A68&lt;'Données projet'!$A$166,$DL$205^A68,IF(A68='Données projet'!$A$166,'Données projet'!$B$166,DO67+DN68-DW67)))</f>
        <v>180.00000000000003</v>
      </c>
      <c r="DP68" s="18">
        <f>DO68*VLOOKUP('Données projet'!$B$14,Paramètres!$A$1:$I$89,3,0)*VLOOKUP('Données projet'!$B$14,Paramètres!$A$1:$I$89,5,0)</f>
        <v>157.24800000000005</v>
      </c>
      <c r="DQ68" s="14">
        <f t="shared" si="43"/>
        <v>40.221168744348645</v>
      </c>
      <c r="DR68" s="22">
        <f t="shared" ref="DR68:DR131" si="70">(DP68+DQ68)*0.475*44/12</f>
        <v>343.92546889640727</v>
      </c>
      <c r="DS68" s="62">
        <f t="shared" ref="DS68:DS131" si="71">DR68+(DJ68+DK68)*44/12</f>
        <v>613.15889791190057</v>
      </c>
      <c r="DT68" s="62">
        <f ca="1">AVERAGE(OFFSET($DS$3,0,0,'Données projet'!$E$14+1,1))-AVERAGE(OFFSET($H$3,0,0,'Données projet'!$E$14+1,1))</f>
        <v>289.18543665577761</v>
      </c>
      <c r="DU68" s="62">
        <f t="shared" si="44"/>
        <v>291.40065947222843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14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4.2189272063180274</v>
      </c>
      <c r="EC68" s="23">
        <f>EXP(-LN(2)/2)*EC67+(1-EXP(-LN(2)/2))/(LN(2)/2)*DW68*DZ68*VLOOKUP('Données projet'!$B$14,Paramètres!$A$1:$I$89,3,0)*0.475*44/12</f>
        <v>5.6465169482146778E-5</v>
      </c>
      <c r="ED68" s="24">
        <f t="shared" ref="ED68:ED131" si="72">SUM(EA68:EC68)</f>
        <v>4.2189836714875097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289</v>
      </c>
      <c r="EH68" s="13">
        <f>VLOOKUP(A68,'Données projet'!$A$191:$I$211,9,0)</f>
        <v>8.8000000000000007</v>
      </c>
      <c r="EI68" s="13">
        <f t="array" ref="EI68">INDEX(EH:EH,MIN(IF(ISNUMBER(EH68:EH264),ROW(EH68:EH264),"")))</f>
        <v>8.8000000000000007</v>
      </c>
      <c r="EJ68" s="13">
        <f>IF('Données projet'!$A$192&gt;35,EJ67+EI68-ER67,IF(A68&lt;'Données projet'!$A$192,$EG$205^A68,IF(A68='Données projet'!$A$192,'Données projet'!$B$192,EJ67+EI68-ER67)))</f>
        <v>289</v>
      </c>
      <c r="EK68" s="18">
        <f>EJ68*VLOOKUP('Données projet'!$B$15,Paramètres!$A$1:$I$89,3,0)*VLOOKUP('Données projet'!$B$15,Paramètres!$A$1:$I$89,5,0)</f>
        <v>293.04599999999999</v>
      </c>
      <c r="EL68" s="14">
        <f t="shared" si="45"/>
        <v>69.716654076072615</v>
      </c>
      <c r="EM68" s="22">
        <f t="shared" ref="EM68:EM131" si="73">(EK68+EL68)*0.475*44/12</f>
        <v>631.81162251582646</v>
      </c>
      <c r="EN68" s="62">
        <f t="shared" ref="EN68:EN131" si="74">EM68+(EE68+EF68)*44/12</f>
        <v>901.0450515313197</v>
      </c>
      <c r="EO68" s="62">
        <f ca="1">AVERAGE(OFFSET($EN$3,0,0,'Données projet'!$E$15+1,1))-AVERAGE(OFFSET($H$3,0,0,'Données projet'!$E$15+1,1))</f>
        <v>514.72748286045442</v>
      </c>
      <c r="EP68" s="62">
        <f t="shared" si="46"/>
        <v>322.28702110656116</v>
      </c>
      <c r="EQ68" s="16">
        <f>IF(ISNA(VLOOKUP(A68,'Données projet'!$A$191:$I$211,3,0)),0,VLOOKUP(A68,'Données projet'!$A$191:$I$211,3,0))</f>
        <v>10</v>
      </c>
      <c r="ER68" s="16">
        <f>IF(ISNA(VLOOKUP(A68,'Données projet'!$A$191:$I$211,4,0)),0,VLOOKUP(A68,'Données projet'!$A$191:$I$211,4,0))</f>
        <v>28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3.8773509047233463</v>
      </c>
      <c r="EX68" s="23">
        <f>EXP(-LN(2)/2)*EX67+(1-EXP(-LN(2)/2))/(LN(2)/2)*ER68*EU68*VLOOKUP('Données projet'!$B$15,Paramètres!$A$1:$I$89,3,0)*0.475*44/12</f>
        <v>9.0142898456106068E-5</v>
      </c>
      <c r="EY68" s="24">
        <f t="shared" ref="EY68:EY131" si="75">SUM(EV68:EX68)</f>
        <v>3.8774410476218026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63.427298822407252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4.0999999999999996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15.033333333333331</v>
      </c>
      <c r="H69" s="70">
        <f t="shared" si="56"/>
        <v>196.53333333333333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70.794576398719499</v>
      </c>
      <c r="T69" s="62">
        <f t="shared" ref="T69:T132" si="88">$T$3</f>
        <v>328.91236364911629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5.1279468016355376E-7</v>
      </c>
      <c r="AC69" s="24">
        <f t="shared" si="57"/>
        <v>5.1279468016355376E-7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243.57216</v>
      </c>
      <c r="AK69" s="14">
        <f t="shared" ref="AK69:AK132" si="89">EXP(-1.0587+0.8836*LN(AJ69)+0.284)</f>
        <v>59.207435995642292</v>
      </c>
      <c r="AL69" s="22">
        <f t="shared" si="58"/>
        <v>527.34112969241028</v>
      </c>
      <c r="AM69" s="62">
        <f t="shared" si="59"/>
        <v>796.99263816850362</v>
      </c>
      <c r="AN69" s="62">
        <f ca="1">AVERAGE(OFFSET($AM$3,0,0,'Données projet'!$E$10+1,1))-AVERAGE(OFFSET($H$3,0,0,'Données projet'!$E$10+1,1))</f>
        <v>466.75323833427217</v>
      </c>
      <c r="AO69" s="62">
        <f t="shared" ref="AO69:AO132" si="90">$AO$3</f>
        <v>293.88550076209378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3.3651818975276075</v>
      </c>
      <c r="AW69" s="23">
        <f>EXP(-LN(2)/2)*AW68+(1-EXP(-LN(2)/2))/(LN(2)/2)*AQ69*AT69*VLOOKUP('Données projet'!$B$10,Paramètres!$A$1:$I$89,3,0)*0.475*44/12</f>
        <v>5.6876276567679053E-5</v>
      </c>
      <c r="AX69" s="23">
        <f t="shared" si="60"/>
        <v>3.3652387738041751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68.47741055388687</v>
      </c>
      <c r="BJ69" s="62">
        <f t="shared" ref="BJ69:BJ132" si="92">$BJ$3</f>
        <v>335.34467252166542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25.208902215414348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2.3700326104038154E-6</v>
      </c>
      <c r="BS69" s="24">
        <f t="shared" si="63"/>
        <v>25.208904585446959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5.6843418860808015E-14</v>
      </c>
      <c r="BZ69" s="14">
        <f>BY69*VLOOKUP('Données projet'!$B$12,Paramètres!$A$1:$I$89,3,0)*VLOOKUP('Données projet'!$B$12,Paramètres!$A$1:$I$89,5,0)</f>
        <v>3.3992364478763198E-14</v>
      </c>
      <c r="CA69" s="14">
        <f t="shared" ref="CA69:CA132" si="93">EXP(-1.0587+0.8836*LN(BZ69)+0.284)</f>
        <v>5.790027782444094E-13</v>
      </c>
      <c r="CB69" s="22">
        <f t="shared" si="64"/>
        <v>1.0676332069095257E-12</v>
      </c>
      <c r="CC69" s="62">
        <f t="shared" si="65"/>
        <v>269.65150847609448</v>
      </c>
      <c r="CD69" s="62">
        <f ca="1">AVERAGE(OFFSET($CC$3,0,0,'Données projet'!$E$12+1,1))-AVERAGE(OFFSET($H$3,0,0,'Données projet'!$E$12+1,1))</f>
        <v>211.76609132110815</v>
      </c>
      <c r="CE69" s="62">
        <f t="shared" ref="CE69:CE132" si="94">$CE$3</f>
        <v>363.07965692095752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4.8422193246458853</v>
      </c>
      <c r="CL69" s="23">
        <f>EXP(-LN(2)/25)*CL68+(1-EXP(-LN(2)/25))/(LN(2)/25)*Calculateur!CG69*Calculateur!CI69*VLOOKUP('Données projet'!$B$12,Paramètres!$A$1:$I$89,3,0)*0.475*44/12</f>
        <v>2.0049760928201166</v>
      </c>
      <c r="CM69" s="23">
        <f>EXP(-LN(2)/2)*CM68+(1-EXP(-LN(2)/2))/(LN(2)/2)*CG69*CJ69*VLOOKUP('Données projet'!$B$12,Paramètres!$A$1:$I$89,3,0)*0.475*44/12</f>
        <v>8.9947280704430431E-6</v>
      </c>
      <c r="CN69" s="24">
        <f t="shared" si="66"/>
        <v>6.8472044121940732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-5.1431925385259088E-14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374.91250349988451</v>
      </c>
      <c r="CZ69" s="62">
        <f t="shared" ref="CZ69:CZ132" si="96">$CZ$3</f>
        <v>529.46825265662869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5.1886418256931588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5.1886418256931588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3.4</v>
      </c>
      <c r="DO69" s="13">
        <f>IF('Données projet'!$A$166&gt;35,DO68+DN69-DW68,IF(A69&lt;'Données projet'!$A$166,$DL$205^A69,IF(A69='Données projet'!$A$166,'Données projet'!$B$166,DO68+DN69-DW68)))</f>
        <v>169.40000000000003</v>
      </c>
      <c r="DP69" s="18">
        <f>DO69*VLOOKUP('Données projet'!$B$14,Paramètres!$A$1:$I$89,3,0)*VLOOKUP('Données projet'!$B$14,Paramètres!$A$1:$I$89,5,0)</f>
        <v>147.98784000000006</v>
      </c>
      <c r="DQ69" s="14">
        <f t="shared" ref="DQ69:DQ132" si="97">EXP(-1.0587+0.8836*LN(DP69)+0.284)</f>
        <v>38.120956246204841</v>
      </c>
      <c r="DR69" s="22">
        <f t="shared" si="70"/>
        <v>324.13948679547354</v>
      </c>
      <c r="DS69" s="62">
        <f t="shared" si="71"/>
        <v>593.790995271567</v>
      </c>
      <c r="DT69" s="62">
        <f ca="1">AVERAGE(OFFSET($DS$3,0,0,'Données projet'!$E$14+1,1))-AVERAGE(OFFSET($H$3,0,0,'Données projet'!$E$14+1,1))</f>
        <v>289.18543665577761</v>
      </c>
      <c r="DU69" s="62">
        <f t="shared" ref="DU69:DU132" si="98">$DU$3</f>
        <v>291.40065947222843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4.103560419997522</v>
      </c>
      <c r="EC69" s="23">
        <f>EXP(-LN(2)/2)*EC68+(1-EXP(-LN(2)/2))/(LN(2)/2)*DW69*DZ69*VLOOKUP('Données projet'!$B$14,Paramètres!$A$1:$I$89,3,0)*0.475*44/12</f>
        <v>3.9926904241673682E-5</v>
      </c>
      <c r="ED69" s="24">
        <f t="shared" si="72"/>
        <v>4.1036003469017635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8.1999999999999993</v>
      </c>
      <c r="EJ69" s="13">
        <f>IF('Données projet'!$A$192&gt;35,EJ68+EI69-ER68,IF(A69&lt;'Données projet'!$A$192,$EG$205^A69,IF(A69='Données projet'!$A$192,'Données projet'!$B$192,EJ68+EI69-ER68)))</f>
        <v>269.2</v>
      </c>
      <c r="EK69" s="18">
        <f>EJ69*VLOOKUP('Données projet'!$B$15,Paramètres!$A$1:$I$89,3,0)*VLOOKUP('Données projet'!$B$15,Paramètres!$A$1:$I$89,5,0)</f>
        <v>272.96879999999999</v>
      </c>
      <c r="EL69" s="14">
        <f t="shared" ref="EL69:EL132" si="99">EXP(-1.0587+0.8836*LN(EK69)+0.284)</f>
        <v>65.478922017818945</v>
      </c>
      <c r="EM69" s="22">
        <f t="shared" si="73"/>
        <v>589.46311584770126</v>
      </c>
      <c r="EN69" s="62">
        <f t="shared" si="74"/>
        <v>859.11462432379471</v>
      </c>
      <c r="EO69" s="62">
        <f ca="1">AVERAGE(OFFSET($EN$3,0,0,'Données projet'!$E$15+1,1))-AVERAGE(OFFSET($H$3,0,0,'Données projet'!$E$15+1,1))</f>
        <v>514.72748286045442</v>
      </c>
      <c r="EP69" s="62">
        <f t="shared" ref="EP69:EP132" si="100">$EP$3</f>
        <v>322.28702110656116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3.7713245403326643</v>
      </c>
      <c r="EX69" s="23">
        <f>EXP(-LN(2)/2)*EX68+(1-EXP(-LN(2)/2))/(LN(2)/2)*ER69*EU69*VLOOKUP('Données projet'!$B$15,Paramètres!$A$1:$I$89,3,0)*0.475*44/12</f>
        <v>6.3740654774122965E-5</v>
      </c>
      <c r="EY69" s="24">
        <f t="shared" si="75"/>
        <v>3.7713882809874386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63.541320493480022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4.0999999999999996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15.033333333333331</v>
      </c>
      <c r="H70" s="70">
        <f t="shared" si="56"/>
        <v>196.53333333333333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70.794576398719499</v>
      </c>
      <c r="T70" s="62">
        <f t="shared" si="88"/>
        <v>328.91236364911629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3.6260059570003564E-7</v>
      </c>
      <c r="AC70" s="24">
        <f t="shared" si="57"/>
        <v>3.6260059570003564E-7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250.99151999999995</v>
      </c>
      <c r="AK70" s="14">
        <f t="shared" si="89"/>
        <v>60.798211000769406</v>
      </c>
      <c r="AL70" s="22">
        <f t="shared" si="58"/>
        <v>543.03378149300659</v>
      </c>
      <c r="AM70" s="62">
        <f t="shared" si="59"/>
        <v>813.09611668574439</v>
      </c>
      <c r="AN70" s="62">
        <f ca="1">AVERAGE(OFFSET($AM$3,0,0,'Données projet'!$E$10+1,1))-AVERAGE(OFFSET($H$3,0,0,'Données projet'!$E$10+1,1))</f>
        <v>466.75323833427217</v>
      </c>
      <c r="AO70" s="62">
        <f t="shared" si="90"/>
        <v>293.88550076209378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3.2731608215724903</v>
      </c>
      <c r="AW70" s="23">
        <f>EXP(-LN(2)/2)*AW69+(1-EXP(-LN(2)/2))/(LN(2)/2)*AQ70*AT70*VLOOKUP('Données projet'!$B$10,Paramètres!$A$1:$I$89,3,0)*0.475*44/12</f>
        <v>4.0217600849647392E-5</v>
      </c>
      <c r="AX70" s="23">
        <f t="shared" si="60"/>
        <v>3.2732010391733399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68.47741055388687</v>
      </c>
      <c r="BJ70" s="62">
        <f t="shared" si="92"/>
        <v>335.34467252166542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24.714571018882179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1.6758661304497928E-6</v>
      </c>
      <c r="BS70" s="24">
        <f t="shared" si="63"/>
        <v>24.714572694748309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5.6843418860808015E-14</v>
      </c>
      <c r="BZ70" s="14">
        <f>BY70*VLOOKUP('Données projet'!$B$12,Paramètres!$A$1:$I$89,3,0)*VLOOKUP('Données projet'!$B$12,Paramètres!$A$1:$I$89,5,0)</f>
        <v>3.3992364478763198E-14</v>
      </c>
      <c r="CA70" s="14">
        <f t="shared" si="93"/>
        <v>5.790027782444094E-13</v>
      </c>
      <c r="CB70" s="22">
        <f t="shared" si="64"/>
        <v>1.0676332069095257E-12</v>
      </c>
      <c r="CC70" s="62">
        <f t="shared" si="65"/>
        <v>270.06233519273894</v>
      </c>
      <c r="CD70" s="62">
        <f ca="1">AVERAGE(OFFSET($CC$3,0,0,'Données projet'!$E$12+1,1))-AVERAGE(OFFSET($H$3,0,0,'Données projet'!$E$12+1,1))</f>
        <v>211.76609132110815</v>
      </c>
      <c r="CE70" s="62">
        <f t="shared" si="94"/>
        <v>363.07965692095752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4.7472663571517373</v>
      </c>
      <c r="CL70" s="23">
        <f>EXP(-LN(2)/25)*CL69+(1-EXP(-LN(2)/25))/(LN(2)/25)*Calculateur!CG70*Calculateur!CI70*VLOOKUP('Données projet'!$B$12,Paramètres!$A$1:$I$89,3,0)*0.475*44/12</f>
        <v>1.9501499161248401</v>
      </c>
      <c r="CM70" s="23">
        <f>EXP(-LN(2)/2)*CM69+(1-EXP(-LN(2)/2))/(LN(2)/2)*CG70*CJ70*VLOOKUP('Données projet'!$B$12,Paramètres!$A$1:$I$89,3,0)*0.475*44/12</f>
        <v>6.3602332135392658E-6</v>
      </c>
      <c r="CN70" s="24">
        <f t="shared" si="66"/>
        <v>6.6974226335097908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-5.1431925385259088E-14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374.91250349988451</v>
      </c>
      <c r="CZ70" s="62">
        <f t="shared" si="96"/>
        <v>529.46825265662869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5.0868957242503354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5.0868957242503354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3.4</v>
      </c>
      <c r="DO70" s="13">
        <f>IF('Données projet'!$A$166&gt;35,DO69+DN70-DW69,IF(A70&lt;'Données projet'!$A$166,$DL$205^A70,IF(A70='Données projet'!$A$166,'Données projet'!$B$166,DO69+DN70-DW69)))</f>
        <v>172.80000000000004</v>
      </c>
      <c r="DP70" s="18">
        <f>DO70*VLOOKUP('Données projet'!$B$14,Paramètres!$A$1:$I$89,3,0)*VLOOKUP('Données projet'!$B$14,Paramètres!$A$1:$I$89,5,0)</f>
        <v>150.95808000000005</v>
      </c>
      <c r="DQ70" s="14">
        <f t="shared" si="97"/>
        <v>38.796231993724774</v>
      </c>
      <c r="DR70" s="22">
        <f t="shared" si="70"/>
        <v>330.48876005573737</v>
      </c>
      <c r="DS70" s="62">
        <f t="shared" si="71"/>
        <v>600.55109524847524</v>
      </c>
      <c r="DT70" s="62">
        <f ca="1">AVERAGE(OFFSET($DS$3,0,0,'Données projet'!$E$14+1,1))-AVERAGE(OFFSET($H$3,0,0,'Données projet'!$E$14+1,1))</f>
        <v>289.18543665577761</v>
      </c>
      <c r="DU70" s="62">
        <f t="shared" si="98"/>
        <v>291.40065947222843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3.991348344515826</v>
      </c>
      <c r="EC70" s="23">
        <f>EXP(-LN(2)/2)*EC69+(1-EXP(-LN(2)/2))/(LN(2)/2)*DW70*DZ70*VLOOKUP('Données projet'!$B$14,Paramètres!$A$1:$I$89,3,0)*0.475*44/12</f>
        <v>2.8232584741073389E-5</v>
      </c>
      <c r="ED70" s="24">
        <f t="shared" si="72"/>
        <v>3.9913765771005671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8.1999999999999993</v>
      </c>
      <c r="EJ70" s="13">
        <f>IF('Données projet'!$A$192&gt;35,EJ69+EI70-ER69,IF(A70&lt;'Données projet'!$A$192,$EG$205^A70,IF(A70='Données projet'!$A$192,'Données projet'!$B$192,EJ69+EI70-ER69)))</f>
        <v>277.39999999999998</v>
      </c>
      <c r="EK70" s="18">
        <f>EJ70*VLOOKUP('Données projet'!$B$15,Paramètres!$A$1:$I$89,3,0)*VLOOKUP('Données projet'!$B$15,Paramètres!$A$1:$I$89,5,0)</f>
        <v>281.28360000000004</v>
      </c>
      <c r="EL70" s="14">
        <f t="shared" si="99"/>
        <v>67.238198209347928</v>
      </c>
      <c r="EM70" s="22">
        <f t="shared" si="73"/>
        <v>607.00879854794766</v>
      </c>
      <c r="EN70" s="62">
        <f t="shared" si="74"/>
        <v>877.07113374068558</v>
      </c>
      <c r="EO70" s="62">
        <f ca="1">AVERAGE(OFFSET($EN$3,0,0,'Données projet'!$E$15+1,1))-AVERAGE(OFFSET($H$3,0,0,'Données projet'!$E$15+1,1))</f>
        <v>514.72748286045442</v>
      </c>
      <c r="EP70" s="62">
        <f t="shared" si="100"/>
        <v>322.28702110656116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3.6681974724519293</v>
      </c>
      <c r="EX70" s="23">
        <f>EXP(-LN(2)/2)*EX69+(1-EXP(-LN(2)/2))/(LN(2)/2)*ER70*EU70*VLOOKUP('Données projet'!$B$15,Paramètres!$A$1:$I$89,3,0)*0.475*44/12</f>
        <v>4.5071449228053034E-5</v>
      </c>
      <c r="EY70" s="24">
        <f t="shared" si="75"/>
        <v>3.6682425439011572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63.653364143473958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4.0999999999999996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15.033333333333331</v>
      </c>
      <c r="H71" s="70">
        <f t="shared" si="56"/>
        <v>196.53333333333333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70.794576398719499</v>
      </c>
      <c r="T71" s="62">
        <f t="shared" si="88"/>
        <v>328.91236364911629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2.5639734008177688E-7</v>
      </c>
      <c r="AC71" s="24">
        <f t="shared" si="57"/>
        <v>2.5639734008177688E-7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258.41087999999996</v>
      </c>
      <c r="AK71" s="14">
        <f t="shared" si="89"/>
        <v>62.383521020316756</v>
      </c>
      <c r="AL71" s="22">
        <f t="shared" si="58"/>
        <v>558.71691511038489</v>
      </c>
      <c r="AM71" s="62">
        <f t="shared" si="59"/>
        <v>829.18295009470421</v>
      </c>
      <c r="AN71" s="62">
        <f ca="1">AVERAGE(OFFSET($AM$3,0,0,'Données projet'!$E$10+1,1))-AVERAGE(OFFSET($H$3,0,0,'Données projet'!$E$10+1,1))</f>
        <v>466.75323833427217</v>
      </c>
      <c r="AO71" s="62">
        <f t="shared" si="90"/>
        <v>293.88550076209378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3.1836560667785441</v>
      </c>
      <c r="AW71" s="23">
        <f>EXP(-LN(2)/2)*AW70+(1-EXP(-LN(2)/2))/(LN(2)/2)*AQ71*AT71*VLOOKUP('Données projet'!$B$10,Paramètres!$A$1:$I$89,3,0)*0.475*44/12</f>
        <v>2.8438138283839526E-5</v>
      </c>
      <c r="AX71" s="23">
        <f t="shared" si="60"/>
        <v>3.1836845049168279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68.47741055388687</v>
      </c>
      <c r="BJ71" s="62">
        <f t="shared" si="92"/>
        <v>335.34467252166542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24.229933355601748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1.1850163052019077E-6</v>
      </c>
      <c r="BS71" s="24">
        <f t="shared" si="63"/>
        <v>24.229934540618054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5.6843418860808015E-14</v>
      </c>
      <c r="BZ71" s="14">
        <f>BY71*VLOOKUP('Données projet'!$B$12,Paramètres!$A$1:$I$89,3,0)*VLOOKUP('Données projet'!$B$12,Paramètres!$A$1:$I$89,5,0)</f>
        <v>3.3992364478763198E-14</v>
      </c>
      <c r="CA71" s="14">
        <f t="shared" si="93"/>
        <v>5.790027782444094E-13</v>
      </c>
      <c r="CB71" s="22">
        <f t="shared" si="64"/>
        <v>1.0676332069095257E-12</v>
      </c>
      <c r="CC71" s="62">
        <f t="shared" si="65"/>
        <v>270.46603498432046</v>
      </c>
      <c r="CD71" s="62">
        <f ca="1">AVERAGE(OFFSET($CC$3,0,0,'Données projet'!$E$12+1,1))-AVERAGE(OFFSET($H$3,0,0,'Données projet'!$E$12+1,1))</f>
        <v>211.76609132110815</v>
      </c>
      <c r="CE71" s="62">
        <f t="shared" si="94"/>
        <v>363.07965692095752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4.6541753594345581</v>
      </c>
      <c r="CL71" s="23">
        <f>EXP(-LN(2)/25)*CL70+(1-EXP(-LN(2)/25))/(LN(2)/25)*Calculateur!CG71*Calculateur!CI71*VLOOKUP('Données projet'!$B$12,Paramètres!$A$1:$I$89,3,0)*0.475*44/12</f>
        <v>1.8968229641144794</v>
      </c>
      <c r="CM71" s="23">
        <f>EXP(-LN(2)/2)*CM70+(1-EXP(-LN(2)/2))/(LN(2)/2)*CG71*CJ71*VLOOKUP('Données projet'!$B$12,Paramètres!$A$1:$I$89,3,0)*0.475*44/12</f>
        <v>4.4973640352215216E-6</v>
      </c>
      <c r="CN71" s="24">
        <f t="shared" si="66"/>
        <v>6.5510028209130722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-5.1431925385259088E-14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374.91250349988451</v>
      </c>
      <c r="CZ71" s="62">
        <f t="shared" si="96"/>
        <v>529.46825265662869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4.9871448017978119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4.9871448017978119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3.4</v>
      </c>
      <c r="DO71" s="13">
        <f>IF('Données projet'!$A$166&gt;35,DO70+DN71-DW70,IF(A71&lt;'Données projet'!$A$166,$DL$205^A71,IF(A71='Données projet'!$A$166,'Données projet'!$B$166,DO70+DN71-DW70)))</f>
        <v>176.20000000000005</v>
      </c>
      <c r="DP71" s="18">
        <f>DO71*VLOOKUP('Données projet'!$B$14,Paramètres!$A$1:$I$89,3,0)*VLOOKUP('Données projet'!$B$14,Paramètres!$A$1:$I$89,5,0)</f>
        <v>153.92832000000007</v>
      </c>
      <c r="DQ71" s="14">
        <f t="shared" si="97"/>
        <v>39.46996283651783</v>
      </c>
      <c r="DR71" s="22">
        <f t="shared" si="70"/>
        <v>336.83534260693528</v>
      </c>
      <c r="DS71" s="62">
        <f t="shared" si="71"/>
        <v>607.30137759125466</v>
      </c>
      <c r="DT71" s="62">
        <f ca="1">AVERAGE(OFFSET($DS$3,0,0,'Données projet'!$E$14+1,1))-AVERAGE(OFFSET($H$3,0,0,'Données projet'!$E$14+1,1))</f>
        <v>289.18543665577761</v>
      </c>
      <c r="DU71" s="62">
        <f t="shared" si="98"/>
        <v>291.40065947222843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3.8822047141391538</v>
      </c>
      <c r="EC71" s="23">
        <f>EXP(-LN(2)/2)*EC70+(1-EXP(-LN(2)/2))/(LN(2)/2)*DW71*DZ71*VLOOKUP('Données projet'!$B$14,Paramètres!$A$1:$I$89,3,0)*0.475*44/12</f>
        <v>1.9963452120836841E-5</v>
      </c>
      <c r="ED71" s="24">
        <f t="shared" si="72"/>
        <v>3.8822246775912745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8.1999999999999993</v>
      </c>
      <c r="EJ71" s="13">
        <f>IF('Données projet'!$A$192&gt;35,EJ70+EI71-ER70,IF(A71&lt;'Données projet'!$A$192,$EG$205^A71,IF(A71='Données projet'!$A$192,'Données projet'!$B$192,EJ70+EI71-ER70)))</f>
        <v>285.59999999999997</v>
      </c>
      <c r="EK71" s="18">
        <f>EJ71*VLOOKUP('Données projet'!$B$15,Paramètres!$A$1:$I$89,3,0)*VLOOKUP('Données projet'!$B$15,Paramètres!$A$1:$I$89,5,0)</f>
        <v>289.59839999999997</v>
      </c>
      <c r="EL71" s="14">
        <f t="shared" si="99"/>
        <v>68.991430542388798</v>
      </c>
      <c r="EM71" s="22">
        <f t="shared" si="73"/>
        <v>624.54395486132705</v>
      </c>
      <c r="EN71" s="62">
        <f t="shared" si="74"/>
        <v>895.00998984564649</v>
      </c>
      <c r="EO71" s="62">
        <f ca="1">AVERAGE(OFFSET($EN$3,0,0,'Données projet'!$E$15+1,1))-AVERAGE(OFFSET($H$3,0,0,'Données projet'!$E$15+1,1))</f>
        <v>514.72748286045442</v>
      </c>
      <c r="EP71" s="62">
        <f t="shared" si="100"/>
        <v>322.28702110656116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3.56789041966561</v>
      </c>
      <c r="EX71" s="23">
        <f>EXP(-LN(2)/2)*EX70+(1-EXP(-LN(2)/2))/(LN(2)/2)*ER71*EU71*VLOOKUP('Données projet'!$B$15,Paramètres!$A$1:$I$89,3,0)*0.475*44/12</f>
        <v>3.1870327387061483E-5</v>
      </c>
      <c r="EY71" s="24">
        <f t="shared" si="75"/>
        <v>3.567922289992997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63.763464086632567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4.0999999999999996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15.033333333333331</v>
      </c>
      <c r="H72" s="70">
        <f t="shared" si="56"/>
        <v>196.53333333333333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70.794576398719499</v>
      </c>
      <c r="T72" s="62">
        <f t="shared" si="88"/>
        <v>328.91236364911629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1.8130029785001782E-7</v>
      </c>
      <c r="AC72" s="24">
        <f t="shared" si="57"/>
        <v>1.8130029785001782E-7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265.83023999999995</v>
      </c>
      <c r="AK72" s="14">
        <f t="shared" si="89"/>
        <v>63.963540982526439</v>
      </c>
      <c r="AL72" s="22">
        <f t="shared" si="58"/>
        <v>574.39083521123348</v>
      </c>
      <c r="AM72" s="62">
        <f t="shared" si="59"/>
        <v>845.25356669828807</v>
      </c>
      <c r="AN72" s="62">
        <f ca="1">AVERAGE(OFFSET($AM$3,0,0,'Données projet'!$E$10+1,1))-AVERAGE(OFFSET($H$3,0,0,'Données projet'!$E$10+1,1))</f>
        <v>466.75323833427217</v>
      </c>
      <c r="AO72" s="62">
        <f t="shared" si="90"/>
        <v>293.88550076209378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3.0965988242112887</v>
      </c>
      <c r="AW72" s="23">
        <f>EXP(-LN(2)/2)*AW71+(1-EXP(-LN(2)/2))/(LN(2)/2)*AQ72*AT72*VLOOKUP('Données projet'!$B$10,Paramètres!$A$1:$I$89,3,0)*0.475*44/12</f>
        <v>2.0108800424823696E-5</v>
      </c>
      <c r="AX72" s="23">
        <f t="shared" si="60"/>
        <v>3.0966189330117135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68.47741055388687</v>
      </c>
      <c r="BJ72" s="62">
        <f t="shared" si="92"/>
        <v>335.34467252166542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23.754799141298459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8.3793306522489639E-7</v>
      </c>
      <c r="BS72" s="24">
        <f t="shared" si="63"/>
        <v>23.754799979231525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5.6843418860808015E-14</v>
      </c>
      <c r="BZ72" s="14">
        <f>BY72*VLOOKUP('Données projet'!$B$12,Paramètres!$A$1:$I$89,3,0)*VLOOKUP('Données projet'!$B$12,Paramètres!$A$1:$I$89,5,0)</f>
        <v>3.3992364478763198E-14</v>
      </c>
      <c r="CA72" s="14">
        <f t="shared" si="93"/>
        <v>5.790027782444094E-13</v>
      </c>
      <c r="CB72" s="22">
        <f t="shared" si="64"/>
        <v>1.0676332069095257E-12</v>
      </c>
      <c r="CC72" s="62">
        <f t="shared" si="65"/>
        <v>270.86273148705567</v>
      </c>
      <c r="CD72" s="62">
        <f ca="1">AVERAGE(OFFSET($CC$3,0,0,'Données projet'!$E$12+1,1))-AVERAGE(OFFSET($H$3,0,0,'Données projet'!$E$12+1,1))</f>
        <v>211.76609132110815</v>
      </c>
      <c r="CE72" s="62">
        <f t="shared" si="94"/>
        <v>363.07965692095752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4.5629098194027105</v>
      </c>
      <c r="CL72" s="23">
        <f>EXP(-LN(2)/25)*CL71+(1-EXP(-LN(2)/25))/(LN(2)/25)*Calculateur!CG72*Calculateur!CI72*VLOOKUP('Données projet'!$B$12,Paramètres!$A$1:$I$89,3,0)*0.475*44/12</f>
        <v>1.8449542404111845</v>
      </c>
      <c r="CM72" s="23">
        <f>EXP(-LN(2)/2)*CM71+(1-EXP(-LN(2)/2))/(LN(2)/2)*CG72*CJ72*VLOOKUP('Données projet'!$B$12,Paramètres!$A$1:$I$89,3,0)*0.475*44/12</f>
        <v>3.1801166067696329E-6</v>
      </c>
      <c r="CN72" s="24">
        <f t="shared" si="66"/>
        <v>6.4078672399305017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-5.1431925385259088E-14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374.91250349988451</v>
      </c>
      <c r="CZ72" s="62">
        <f t="shared" si="96"/>
        <v>529.46825265662869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4.8893499340925271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4.8893499340925271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3.4</v>
      </c>
      <c r="DO72" s="13">
        <f>IF('Données projet'!$A$166&gt;35,DO71+DN72-DW71,IF(A72&lt;'Données projet'!$A$166,$DL$205^A72,IF(A72='Données projet'!$A$166,'Données projet'!$B$166,DO71+DN72-DW71)))</f>
        <v>179.60000000000005</v>
      </c>
      <c r="DP72" s="18">
        <f>DO72*VLOOKUP('Données projet'!$B$14,Paramètres!$A$1:$I$89,3,0)*VLOOKUP('Données projet'!$B$14,Paramètres!$A$1:$I$89,5,0)</f>
        <v>156.89856000000006</v>
      </c>
      <c r="DQ72" s="14">
        <f t="shared" si="97"/>
        <v>40.142182022259064</v>
      </c>
      <c r="DR72" s="22">
        <f t="shared" si="70"/>
        <v>343.1792923554346</v>
      </c>
      <c r="DS72" s="62">
        <f t="shared" si="71"/>
        <v>614.04202384248924</v>
      </c>
      <c r="DT72" s="62">
        <f ca="1">AVERAGE(OFFSET($DS$3,0,0,'Données projet'!$E$14+1,1))-AVERAGE(OFFSET($H$3,0,0,'Données projet'!$E$14+1,1))</f>
        <v>289.18543665577761</v>
      </c>
      <c r="DU72" s="62">
        <f t="shared" si="98"/>
        <v>291.40065947222843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3.7760456220747458</v>
      </c>
      <c r="EC72" s="23">
        <f>EXP(-LN(2)/2)*EC71+(1-EXP(-LN(2)/2))/(LN(2)/2)*DW72*DZ72*VLOOKUP('Données projet'!$B$14,Paramètres!$A$1:$I$89,3,0)*0.475*44/12</f>
        <v>1.4116292370536694E-5</v>
      </c>
      <c r="ED72" s="24">
        <f t="shared" si="72"/>
        <v>3.7760597383671164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8.1999999999999993</v>
      </c>
      <c r="EJ72" s="13">
        <f>IF('Données projet'!$A$192&gt;35,EJ71+EI72-ER71,IF(A72&lt;'Données projet'!$A$192,$EG$205^A72,IF(A72='Données projet'!$A$192,'Données projet'!$B$192,EJ71+EI72-ER71)))</f>
        <v>293.79999999999995</v>
      </c>
      <c r="EK72" s="18">
        <f>EJ72*VLOOKUP('Données projet'!$B$15,Paramètres!$A$1:$I$89,3,0)*VLOOKUP('Données projet'!$B$15,Paramètres!$A$1:$I$89,5,0)</f>
        <v>297.91319999999996</v>
      </c>
      <c r="EL72" s="14">
        <f t="shared" si="99"/>
        <v>70.73881247427552</v>
      </c>
      <c r="EM72" s="22">
        <f t="shared" si="73"/>
        <v>642.06892172602977</v>
      </c>
      <c r="EN72" s="62">
        <f t="shared" si="74"/>
        <v>912.93165321308436</v>
      </c>
      <c r="EO72" s="62">
        <f ca="1">AVERAGE(OFFSET($EN$3,0,0,'Données projet'!$E$15+1,1))-AVERAGE(OFFSET($H$3,0,0,'Données projet'!$E$15+1,1))</f>
        <v>514.72748286045442</v>
      </c>
      <c r="EP72" s="62">
        <f t="shared" si="100"/>
        <v>322.28702110656116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3.4703262685126512</v>
      </c>
      <c r="EX72" s="23">
        <f>EXP(-LN(2)/2)*EX71+(1-EXP(-LN(2)/2))/(LN(2)/2)*ER72*EU72*VLOOKUP('Données projet'!$B$15,Paramètres!$A$1:$I$89,3,0)*0.475*44/12</f>
        <v>2.2535724614026517E-5</v>
      </c>
      <c r="EY72" s="24">
        <f t="shared" si="75"/>
        <v>3.4703488042372652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63.871654041923975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4.0999999999999996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15.033333333333331</v>
      </c>
      <c r="H73" s="70">
        <f t="shared" si="56"/>
        <v>196.53333333333333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70.794576398719499</v>
      </c>
      <c r="T73" s="62">
        <f t="shared" si="88"/>
        <v>328.91236364911629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1.2819867004088844E-7</v>
      </c>
      <c r="AC73" s="24">
        <f t="shared" si="57"/>
        <v>1.2819867004088844E-7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273.24959999999999</v>
      </c>
      <c r="AK73" s="14">
        <f t="shared" si="89"/>
        <v>65.538435495514321</v>
      </c>
      <c r="AL73" s="22">
        <f t="shared" si="58"/>
        <v>590.05582848802067</v>
      </c>
      <c r="AM73" s="62">
        <f t="shared" si="59"/>
        <v>861.30837468036839</v>
      </c>
      <c r="AN73" s="62">
        <f ca="1">AVERAGE(OFFSET($AM$3,0,0,'Données projet'!$E$10+1,1))-AVERAGE(OFFSET($H$3,0,0,'Données projet'!$E$10+1,1))</f>
        <v>466.75323833427217</v>
      </c>
      <c r="AO73" s="62">
        <f t="shared" si="90"/>
        <v>293.88550076209378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3.0119221665201761</v>
      </c>
      <c r="AW73" s="23">
        <f>EXP(-LN(2)/2)*AW72+(1-EXP(-LN(2)/2))/(LN(2)/2)*AQ73*AT73*VLOOKUP('Données projet'!$B$10,Paramètres!$A$1:$I$89,3,0)*0.475*44/12</f>
        <v>1.4219069141919763E-5</v>
      </c>
      <c r="AX73" s="23">
        <f t="shared" si="60"/>
        <v>3.0119363855893182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68.47741055388687</v>
      </c>
      <c r="BJ73" s="62">
        <f t="shared" si="92"/>
        <v>335.34467252166542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23.288982019134401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5.9250815260095386E-7</v>
      </c>
      <c r="BS73" s="24">
        <f t="shared" si="63"/>
        <v>23.288982611642552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5.6843418860808015E-14</v>
      </c>
      <c r="BZ73" s="14">
        <f>BY73*VLOOKUP('Données projet'!$B$12,Paramètres!$A$1:$I$89,3,0)*VLOOKUP('Données projet'!$B$12,Paramètres!$A$1:$I$89,5,0)</f>
        <v>3.3992364478763198E-14</v>
      </c>
      <c r="CA73" s="14">
        <f t="shared" si="93"/>
        <v>5.790027782444094E-13</v>
      </c>
      <c r="CB73" s="22">
        <f t="shared" si="64"/>
        <v>1.0676332069095257E-12</v>
      </c>
      <c r="CC73" s="62">
        <f t="shared" si="65"/>
        <v>271.25254619234886</v>
      </c>
      <c r="CD73" s="62">
        <f ca="1">AVERAGE(OFFSET($CC$3,0,0,'Données projet'!$E$12+1,1))-AVERAGE(OFFSET($H$3,0,0,'Données projet'!$E$12+1,1))</f>
        <v>211.76609132110815</v>
      </c>
      <c r="CE73" s="62">
        <f t="shared" si="94"/>
        <v>363.07965692095752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4.4734339409444051</v>
      </c>
      <c r="CL73" s="23">
        <f>EXP(-LN(2)/25)*CL72+(1-EXP(-LN(2)/25))/(LN(2)/25)*Calculateur!CG73*Calculateur!CI73*VLOOKUP('Données projet'!$B$12,Paramètres!$A$1:$I$89,3,0)*0.475*44/12</f>
        <v>1.7945038696852138</v>
      </c>
      <c r="CM73" s="23">
        <f>EXP(-LN(2)/2)*CM72+(1-EXP(-LN(2)/2))/(LN(2)/2)*CG73*CJ73*VLOOKUP('Données projet'!$B$12,Paramètres!$A$1:$I$89,3,0)*0.475*44/12</f>
        <v>2.2486820176107608E-6</v>
      </c>
      <c r="CN73" s="24">
        <f t="shared" si="66"/>
        <v>6.2679400593116359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-5.1431925385259088E-14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374.91250349988451</v>
      </c>
      <c r="CZ73" s="62">
        <f t="shared" si="96"/>
        <v>529.46825265662869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4.7934727640939636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4.7934727640939636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183</v>
      </c>
      <c r="DM73" s="13">
        <f>VLOOKUP(A73,'Données projet'!$A$165:$I$185,9,0)</f>
        <v>3.4</v>
      </c>
      <c r="DN73" s="13">
        <f t="array" ref="DN73">INDEX(DM:DM,MIN(IF(ISNUMBER(DM73:DM269),ROW(DM73:DM269),"")))</f>
        <v>3.4</v>
      </c>
      <c r="DO73" s="13">
        <f>IF('Données projet'!$A$166&gt;35,DO72+DN73-DW72,IF(A73&lt;'Données projet'!$A$166,$DL$205^A73,IF(A73='Données projet'!$A$166,'Données projet'!$B$166,DO72+DN73-DW72)))</f>
        <v>183.00000000000006</v>
      </c>
      <c r="DP73" s="18">
        <f>DO73*VLOOKUP('Données projet'!$B$14,Paramètres!$A$1:$I$89,3,0)*VLOOKUP('Données projet'!$B$14,Paramètres!$A$1:$I$89,5,0)</f>
        <v>159.86880000000008</v>
      </c>
      <c r="DQ73" s="14">
        <f t="shared" si="97"/>
        <v>40.812921467768035</v>
      </c>
      <c r="DR73" s="22">
        <f t="shared" si="70"/>
        <v>349.52066488969609</v>
      </c>
      <c r="DS73" s="62">
        <f t="shared" si="71"/>
        <v>620.77321108204387</v>
      </c>
      <c r="DT73" s="62">
        <f ca="1">AVERAGE(OFFSET($DS$3,0,0,'Données projet'!$E$14+1,1))-AVERAGE(OFFSET($H$3,0,0,'Données projet'!$E$14+1,1))</f>
        <v>289.18543665577761</v>
      </c>
      <c r="DU73" s="62">
        <f t="shared" si="98"/>
        <v>291.40065947222843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12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3.672789455965503</v>
      </c>
      <c r="EC73" s="23">
        <f>EXP(-LN(2)/2)*EC72+(1-EXP(-LN(2)/2))/(LN(2)/2)*DW73*DZ73*VLOOKUP('Données projet'!$B$14,Paramètres!$A$1:$I$89,3,0)*0.475*44/12</f>
        <v>9.9817260604184205E-6</v>
      </c>
      <c r="ED73" s="24">
        <f t="shared" si="72"/>
        <v>3.6727994376915634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302</v>
      </c>
      <c r="EH73" s="13">
        <f>VLOOKUP(A73,'Données projet'!$A$191:$I$211,9,0)</f>
        <v>8.1999999999999993</v>
      </c>
      <c r="EI73" s="13">
        <f t="array" ref="EI73">INDEX(EH:EH,MIN(IF(ISNUMBER(EH73:EH269),ROW(EH73:EH269),"")))</f>
        <v>8.1999999999999993</v>
      </c>
      <c r="EJ73" s="13">
        <f>IF('Données projet'!$A$192&gt;35,EJ72+EI73-ER72,IF(A73&lt;'Données projet'!$A$192,$EG$205^A73,IF(A73='Données projet'!$A$192,'Données projet'!$B$192,EJ72+EI73-ER72)))</f>
        <v>301.99999999999994</v>
      </c>
      <c r="EK73" s="18">
        <f>EJ73*VLOOKUP('Données projet'!$B$15,Paramètres!$A$1:$I$89,3,0)*VLOOKUP('Données projet'!$B$15,Paramètres!$A$1:$I$89,5,0)</f>
        <v>306.22800000000001</v>
      </c>
      <c r="EL73" s="14">
        <f t="shared" si="99"/>
        <v>72.480526049067294</v>
      </c>
      <c r="EM73" s="22">
        <f t="shared" si="73"/>
        <v>659.58401620212555</v>
      </c>
      <c r="EN73" s="62">
        <f t="shared" si="74"/>
        <v>930.83656239447328</v>
      </c>
      <c r="EO73" s="62">
        <f ca="1">AVERAGE(OFFSET($EN$3,0,0,'Données projet'!$E$15+1,1))-AVERAGE(OFFSET($H$3,0,0,'Données projet'!$E$15+1,1))</f>
        <v>514.72748286045442</v>
      </c>
      <c r="EP73" s="62">
        <f t="shared" si="100"/>
        <v>322.28702110656116</v>
      </c>
      <c r="EQ73" s="16">
        <f>IF(ISNA(VLOOKUP(A73,'Données projet'!$A$191:$I$211,3,0)),0,VLOOKUP(A73,'Données projet'!$A$191:$I$211,3,0))</f>
        <v>11</v>
      </c>
      <c r="ER73" s="16">
        <f>IF(ISNA(VLOOKUP(A73,'Données projet'!$A$191:$I$211,4,0)),0,VLOOKUP(A73,'Données projet'!$A$191:$I$211,4,0))</f>
        <v>28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3.375430014203646</v>
      </c>
      <c r="EX73" s="23">
        <f>EXP(-LN(2)/2)*EX72+(1-EXP(-LN(2)/2))/(LN(2)/2)*ER73*EU73*VLOOKUP('Données projet'!$B$15,Paramètres!$A$1:$I$89,3,0)*0.475*44/12</f>
        <v>1.5935163693530741E-5</v>
      </c>
      <c r="EY73" s="24">
        <f t="shared" si="75"/>
        <v>3.3754459493673394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63.977967143367579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4.0999999999999996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15.033333333333331</v>
      </c>
      <c r="H74" s="70">
        <f t="shared" si="56"/>
        <v>196.53333333333333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70.794576398719499</v>
      </c>
      <c r="T74" s="62">
        <f t="shared" si="88"/>
        <v>328.91236364911629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9.065014892500891E-8</v>
      </c>
      <c r="AC74" s="24">
        <f t="shared" si="57"/>
        <v>9.065014892500891E-8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254.79167999999996</v>
      </c>
      <c r="AK74" s="14">
        <f t="shared" si="89"/>
        <v>61.610870508448471</v>
      </c>
      <c r="AL74" s="22">
        <f t="shared" si="58"/>
        <v>551.067775468881</v>
      </c>
      <c r="AM74" s="62">
        <f t="shared" si="59"/>
        <v>822.70337395288027</v>
      </c>
      <c r="AN74" s="62">
        <f ca="1">AVERAGE(OFFSET($AM$3,0,0,'Données projet'!$E$10+1,1))-AVERAGE(OFFSET($H$3,0,0,'Données projet'!$E$10+1,1))</f>
        <v>466.75323833427217</v>
      </c>
      <c r="AO74" s="62">
        <f t="shared" si="90"/>
        <v>293.88550076209378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2.929560996486579</v>
      </c>
      <c r="AW74" s="23">
        <f>EXP(-LN(2)/2)*AW73+(1-EXP(-LN(2)/2))/(LN(2)/2)*AQ74*AT74*VLOOKUP('Données projet'!$B$10,Paramètres!$A$1:$I$89,3,0)*0.475*44/12</f>
        <v>1.0054400212411848E-5</v>
      </c>
      <c r="AX74" s="23">
        <f t="shared" si="60"/>
        <v>2.9295710508867914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68.47741055388687</v>
      </c>
      <c r="BJ74" s="62">
        <f t="shared" si="92"/>
        <v>335.34467252166542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22.832299286615591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4.189665326124482E-7</v>
      </c>
      <c r="BS74" s="24">
        <f t="shared" si="63"/>
        <v>22.832299705582123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projet'!$B$12,Paramètres!$A$1:$I$89,3,0)*VLOOKUP('Données projet'!$B$12,Paramètres!$A$1:$I$89,5,0)</f>
        <v>3.3992364478763198E-14</v>
      </c>
      <c r="CA74" s="14">
        <f t="shared" si="93"/>
        <v>5.790027782444094E-13</v>
      </c>
      <c r="CB74" s="22">
        <f t="shared" si="64"/>
        <v>1.0676332069095257E-12</v>
      </c>
      <c r="CC74" s="62">
        <f t="shared" si="65"/>
        <v>271.63559848400035</v>
      </c>
      <c r="CD74" s="62">
        <f ca="1">AVERAGE(OFFSET($CC$3,0,0,'Données projet'!$E$12+1,1))-AVERAGE(OFFSET($H$3,0,0,'Données projet'!$E$12+1,1))</f>
        <v>211.76609132110815</v>
      </c>
      <c r="CE74" s="62">
        <f t="shared" si="94"/>
        <v>363.07965692095752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4.3857126298877693</v>
      </c>
      <c r="CL74" s="23">
        <f>EXP(-LN(2)/25)*CL73+(1-EXP(-LN(2)/25))/(LN(2)/25)*Calculateur!CG74*Calculateur!CI74*VLOOKUP('Données projet'!$B$12,Paramètres!$A$1:$I$89,3,0)*0.475*44/12</f>
        <v>1.7454330669998146</v>
      </c>
      <c r="CM74" s="23">
        <f>EXP(-LN(2)/2)*CM73+(1-EXP(-LN(2)/2))/(LN(2)/2)*CG74*CJ74*VLOOKUP('Données projet'!$B$12,Paramètres!$A$1:$I$89,3,0)*0.475*44/12</f>
        <v>1.5900583033848165E-6</v>
      </c>
      <c r="CN74" s="24">
        <f t="shared" si="66"/>
        <v>6.1311472869458878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-5.1431925385259088E-14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374.91250349988451</v>
      </c>
      <c r="CZ74" s="62">
        <f t="shared" si="96"/>
        <v>529.46825265662869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4.6994756869197731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4.6994756869197731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</v>
      </c>
      <c r="DO74" s="13">
        <f>IF('Données projet'!$A$166&gt;35,DO73+DN74-DW73,IF(A74&lt;'Données projet'!$A$166,$DL$205^A74,IF(A74='Données projet'!$A$166,'Données projet'!$B$166,DO73+DN74-DW73)))</f>
        <v>174.00000000000006</v>
      </c>
      <c r="DP74" s="18">
        <f>DO74*VLOOKUP('Données projet'!$B$14,Paramètres!$A$1:$I$89,3,0)*VLOOKUP('Données projet'!$B$14,Paramètres!$A$1:$I$89,5,0)</f>
        <v>152.00640000000007</v>
      </c>
      <c r="DQ74" s="14">
        <f t="shared" si="97"/>
        <v>39.034194016561486</v>
      </c>
      <c r="DR74" s="22">
        <f t="shared" si="70"/>
        <v>332.72903457884468</v>
      </c>
      <c r="DS74" s="62">
        <f t="shared" si="71"/>
        <v>604.36463306284395</v>
      </c>
      <c r="DT74" s="62">
        <f ca="1">AVERAGE(OFFSET($DS$3,0,0,'Données projet'!$E$14+1,1))-AVERAGE(OFFSET($H$3,0,0,'Données projet'!$E$14+1,1))</f>
        <v>289.18543665577761</v>
      </c>
      <c r="DU74" s="62">
        <f t="shared" si="98"/>
        <v>291.40065947222843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3.5723568351485233</v>
      </c>
      <c r="EC74" s="23">
        <f>EXP(-LN(2)/2)*EC73+(1-EXP(-LN(2)/2))/(LN(2)/2)*DW74*DZ74*VLOOKUP('Données projet'!$B$14,Paramètres!$A$1:$I$89,3,0)*0.475*44/12</f>
        <v>7.0581461852683472E-6</v>
      </c>
      <c r="ED74" s="24">
        <f t="shared" si="72"/>
        <v>3.5723638932947086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7.6</v>
      </c>
      <c r="EJ74" s="13">
        <f>IF('Données projet'!$A$192&gt;35,EJ73+EI74-ER73,IF(A74&lt;'Données projet'!$A$192,$EG$205^A74,IF(A74='Données projet'!$A$192,'Données projet'!$B$192,EJ73+EI74-ER73)))</f>
        <v>281.59999999999997</v>
      </c>
      <c r="EK74" s="18">
        <f>EJ74*VLOOKUP('Données projet'!$B$15,Paramètres!$A$1:$I$89,3,0)*VLOOKUP('Données projet'!$B$15,Paramètres!$A$1:$I$89,5,0)</f>
        <v>285.54239999999999</v>
      </c>
      <c r="EL74" s="14">
        <f t="shared" si="99"/>
        <v>68.136937829389524</v>
      </c>
      <c r="EM74" s="22">
        <f t="shared" si="73"/>
        <v>615.99151338618674</v>
      </c>
      <c r="EN74" s="62">
        <f t="shared" si="74"/>
        <v>887.62711187018601</v>
      </c>
      <c r="EO74" s="62">
        <f ca="1">AVERAGE(OFFSET($EN$3,0,0,'Données projet'!$E$15+1,1))-AVERAGE(OFFSET($H$3,0,0,'Données projet'!$E$15+1,1))</f>
        <v>514.72748286045442</v>
      </c>
      <c r="EP74" s="62">
        <f t="shared" si="100"/>
        <v>322.28702110656116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3.2831287029590976</v>
      </c>
      <c r="EX74" s="23">
        <f>EXP(-LN(2)/2)*EX73+(1-EXP(-LN(2)/2))/(LN(2)/2)*ER74*EU74*VLOOKUP('Données projet'!$B$15,Paramètres!$A$1:$I$89,3,0)*0.475*44/12</f>
        <v>1.1267862307013259E-5</v>
      </c>
      <c r="EY74" s="24">
        <f t="shared" si="75"/>
        <v>3.2831399708214049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64.082435950181619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4.0999999999999996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15.033333333333331</v>
      </c>
      <c r="H75" s="70">
        <f t="shared" si="56"/>
        <v>196.53333333333333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70.794576398719499</v>
      </c>
      <c r="T75" s="62">
        <f t="shared" si="88"/>
        <v>328.91236364911629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6.409933502044422E-8</v>
      </c>
      <c r="AC75" s="24">
        <f t="shared" si="57"/>
        <v>6.409933502044422E-8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261.66816</v>
      </c>
      <c r="AK75" s="14">
        <f t="shared" si="89"/>
        <v>63.077829793082856</v>
      </c>
      <c r="AL75" s="22">
        <f t="shared" si="58"/>
        <v>565.5992655562859</v>
      </c>
      <c r="AM75" s="62">
        <f t="shared" si="59"/>
        <v>837.61127123105314</v>
      </c>
      <c r="AN75" s="62">
        <f ca="1">AVERAGE(OFFSET($AM$3,0,0,'Données projet'!$E$10+1,1))-AVERAGE(OFFSET($H$3,0,0,'Données projet'!$E$10+1,1))</f>
        <v>466.75323833427217</v>
      </c>
      <c r="AO75" s="62">
        <f t="shared" si="90"/>
        <v>293.88550076209378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2.8494519969787362</v>
      </c>
      <c r="AW75" s="23">
        <f>EXP(-LN(2)/2)*AW74+(1-EXP(-LN(2)/2))/(LN(2)/2)*AQ75*AT75*VLOOKUP('Données projet'!$B$10,Paramètres!$A$1:$I$89,3,0)*0.475*44/12</f>
        <v>7.1095345709598816E-6</v>
      </c>
      <c r="AX75" s="23">
        <f t="shared" si="60"/>
        <v>2.849459106513307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68.47741055388687</v>
      </c>
      <c r="BJ75" s="62">
        <f t="shared" si="92"/>
        <v>335.34467252166542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22.384571823932514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2.9625407630047693E-7</v>
      </c>
      <c r="BS75" s="24">
        <f t="shared" si="63"/>
        <v>22.38457212018659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projet'!$B$12,Paramètres!$A$1:$I$89,3,0)*VLOOKUP('Données projet'!$B$12,Paramètres!$A$1:$I$89,5,0)</f>
        <v>3.3992364478763198E-14</v>
      </c>
      <c r="CA75" s="14">
        <f t="shared" si="93"/>
        <v>5.790027782444094E-13</v>
      </c>
      <c r="CB75" s="22">
        <f t="shared" si="64"/>
        <v>1.0676332069095257E-12</v>
      </c>
      <c r="CC75" s="62">
        <f t="shared" si="65"/>
        <v>272.01200567476832</v>
      </c>
      <c r="CD75" s="62">
        <f ca="1">AVERAGE(OFFSET($CC$3,0,0,'Données projet'!$E$12+1,1))-AVERAGE(OFFSET($H$3,0,0,'Données projet'!$E$12+1,1))</f>
        <v>211.76609132110815</v>
      </c>
      <c r="CE75" s="62">
        <f t="shared" si="94"/>
        <v>363.07965692095752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4.2997114802362377</v>
      </c>
      <c r="CL75" s="23">
        <f>EXP(-LN(2)/25)*CL74+(1-EXP(-LN(2)/25))/(LN(2)/25)*Calculateur!CG75*Calculateur!CI75*VLOOKUP('Données projet'!$B$12,Paramètres!$A$1:$I$89,3,0)*0.475*44/12</f>
        <v>1.6977041079943689</v>
      </c>
      <c r="CM75" s="23">
        <f>EXP(-LN(2)/2)*CM74+(1-EXP(-LN(2)/2))/(LN(2)/2)*CG75*CJ75*VLOOKUP('Données projet'!$B$12,Paramètres!$A$1:$I$89,3,0)*0.475*44/12</f>
        <v>1.1243410088053804E-6</v>
      </c>
      <c r="CN75" s="24">
        <f t="shared" si="66"/>
        <v>5.9974167125716153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-5.1431925385259088E-14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374.91250349988451</v>
      </c>
      <c r="CZ75" s="62">
        <f t="shared" si="96"/>
        <v>529.46825265662869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4.6073218350964122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4.6073218350964122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</v>
      </c>
      <c r="DO75" s="13">
        <f>IF('Données projet'!$A$166&gt;35,DO74+DN75-DW74,IF(A75&lt;'Données projet'!$A$166,$DL$205^A75,IF(A75='Données projet'!$A$166,'Données projet'!$B$166,DO74+DN75-DW74)))</f>
        <v>177.00000000000006</v>
      </c>
      <c r="DP75" s="18">
        <f>DO75*VLOOKUP('Données projet'!$B$14,Paramètres!$A$1:$I$89,3,0)*VLOOKUP('Données projet'!$B$14,Paramètres!$A$1:$I$89,5,0)</f>
        <v>154.62720000000007</v>
      </c>
      <c r="DQ75" s="14">
        <f t="shared" si="97"/>
        <v>39.62826685000794</v>
      </c>
      <c r="DR75" s="22">
        <f t="shared" si="70"/>
        <v>338.32827143043062</v>
      </c>
      <c r="DS75" s="62">
        <f t="shared" si="71"/>
        <v>610.34027710519786</v>
      </c>
      <c r="DT75" s="62">
        <f ca="1">AVERAGE(OFFSET($DS$3,0,0,'Données projet'!$E$14+1,1))-AVERAGE(OFFSET($H$3,0,0,'Données projet'!$E$14+1,1))</f>
        <v>289.18543665577761</v>
      </c>
      <c r="DU75" s="62">
        <f t="shared" si="98"/>
        <v>291.40065947222843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3.4746705496293058</v>
      </c>
      <c r="EC75" s="23">
        <f>EXP(-LN(2)/2)*EC74+(1-EXP(-LN(2)/2))/(LN(2)/2)*DW75*DZ75*VLOOKUP('Données projet'!$B$14,Paramètres!$A$1:$I$89,3,0)*0.475*44/12</f>
        <v>4.9908630302092102E-6</v>
      </c>
      <c r="ED75" s="24">
        <f t="shared" si="72"/>
        <v>3.4746755404923362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7.6</v>
      </c>
      <c r="EJ75" s="13">
        <f>IF('Données projet'!$A$192&gt;35,EJ74+EI75-ER74,IF(A75&lt;'Données projet'!$A$192,$EG$205^A75,IF(A75='Données projet'!$A$192,'Données projet'!$B$192,EJ74+EI75-ER74)))</f>
        <v>289.2</v>
      </c>
      <c r="EK75" s="18">
        <f>EJ75*VLOOKUP('Données projet'!$B$15,Paramètres!$A$1:$I$89,3,0)*VLOOKUP('Données projet'!$B$15,Paramètres!$A$1:$I$89,5,0)</f>
        <v>293.24880000000002</v>
      </c>
      <c r="EL75" s="14">
        <f t="shared" si="99"/>
        <v>69.759283249126327</v>
      </c>
      <c r="EM75" s="22">
        <f t="shared" si="73"/>
        <v>632.23907832556176</v>
      </c>
      <c r="EN75" s="62">
        <f t="shared" si="74"/>
        <v>904.251084000329</v>
      </c>
      <c r="EO75" s="62">
        <f ca="1">AVERAGE(OFFSET($EN$3,0,0,'Données projet'!$E$15+1,1))-AVERAGE(OFFSET($H$3,0,0,'Données projet'!$E$15+1,1))</f>
        <v>514.72748286045442</v>
      </c>
      <c r="EP75" s="62">
        <f t="shared" si="100"/>
        <v>322.28702110656116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3.1933513759244465</v>
      </c>
      <c r="EX75" s="23">
        <f>EXP(-LN(2)/2)*EX74+(1-EXP(-LN(2)/2))/(LN(2)/2)*ER75*EU75*VLOOKUP('Données projet'!$B$15,Paramètres!$A$1:$I$89,3,0)*0.475*44/12</f>
        <v>7.9675818467653707E-6</v>
      </c>
      <c r="EY75" s="24">
        <f t="shared" si="75"/>
        <v>3.1933593435062932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64.185092456754703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4.0999999999999996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15.033333333333331</v>
      </c>
      <c r="H76" s="70">
        <f t="shared" si="56"/>
        <v>196.53333333333333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70.794576398719499</v>
      </c>
      <c r="T76" s="62">
        <f t="shared" si="88"/>
        <v>328.91236364911629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4.5325074462504455E-8</v>
      </c>
      <c r="AC76" s="24">
        <f t="shared" si="57"/>
        <v>4.5325074462504455E-8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268.54464000000002</v>
      </c>
      <c r="AK76" s="14">
        <f t="shared" si="89"/>
        <v>64.54030807605065</v>
      </c>
      <c r="AL76" s="22">
        <f t="shared" si="58"/>
        <v>580.12295123245474</v>
      </c>
      <c r="AM76" s="62">
        <f t="shared" si="59"/>
        <v>852.50483427475058</v>
      </c>
      <c r="AN76" s="62">
        <f ca="1">AVERAGE(OFFSET($AM$3,0,0,'Données projet'!$E$10+1,1))-AVERAGE(OFFSET($H$3,0,0,'Données projet'!$E$10+1,1))</f>
        <v>466.75323833427217</v>
      </c>
      <c r="AO76" s="62">
        <f t="shared" si="90"/>
        <v>293.88550076209378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2.7715335822751848</v>
      </c>
      <c r="AW76" s="23">
        <f>EXP(-LN(2)/2)*AW75+(1-EXP(-LN(2)/2))/(LN(2)/2)*AQ76*AT76*VLOOKUP('Données projet'!$B$10,Paramètres!$A$1:$I$89,3,0)*0.475*44/12</f>
        <v>5.027200106205924E-6</v>
      </c>
      <c r="AX76" s="23">
        <f t="shared" si="60"/>
        <v>2.7715386094752912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68.47741055388687</v>
      </c>
      <c r="BJ76" s="62">
        <f t="shared" si="92"/>
        <v>335.34467252166542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21.945624023705864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2.094832663062241E-7</v>
      </c>
      <c r="BS76" s="24">
        <f t="shared" si="63"/>
        <v>21.945624233189132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projet'!$B$12,Paramètres!$A$1:$I$89,3,0)*VLOOKUP('Données projet'!$B$12,Paramètres!$A$1:$I$89,5,0)</f>
        <v>3.3992364478763198E-14</v>
      </c>
      <c r="CA76" s="14">
        <f t="shared" si="93"/>
        <v>5.790027782444094E-13</v>
      </c>
      <c r="CB76" s="22">
        <f t="shared" si="64"/>
        <v>1.0676332069095257E-12</v>
      </c>
      <c r="CC76" s="62">
        <f t="shared" si="65"/>
        <v>272.38188304229692</v>
      </c>
      <c r="CD76" s="62">
        <f ca="1">AVERAGE(OFFSET($CC$3,0,0,'Données projet'!$E$12+1,1))-AVERAGE(OFFSET($H$3,0,0,'Données projet'!$E$12+1,1))</f>
        <v>211.76609132110815</v>
      </c>
      <c r="CE76" s="62">
        <f t="shared" si="94"/>
        <v>363.07965692095752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4.2153967606738512</v>
      </c>
      <c r="CL76" s="23">
        <f>EXP(-LN(2)/25)*CL75+(1-EXP(-LN(2)/25))/(LN(2)/25)*Calculateur!CG76*Calculateur!CI76*VLOOKUP('Données projet'!$B$12,Paramètres!$A$1:$I$89,3,0)*0.475*44/12</f>
        <v>1.6512802998828839</v>
      </c>
      <c r="CM76" s="23">
        <f>EXP(-LN(2)/2)*CM75+(1-EXP(-LN(2)/2))/(LN(2)/2)*CG76*CJ76*VLOOKUP('Données projet'!$B$12,Paramètres!$A$1:$I$89,3,0)*0.475*44/12</f>
        <v>7.9502915169240823E-7</v>
      </c>
      <c r="CN76" s="24">
        <f t="shared" si="66"/>
        <v>5.8666778555858867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-5.1431925385259088E-14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374.91250349988451</v>
      </c>
      <c r="CZ76" s="62">
        <f t="shared" si="96"/>
        <v>529.46825265662869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4.5169750640990083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4.5169750640990083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</v>
      </c>
      <c r="DO76" s="13">
        <f>IF('Données projet'!$A$166&gt;35,DO75+DN76-DW75,IF(A76&lt;'Données projet'!$A$166,$DL$205^A76,IF(A76='Données projet'!$A$166,'Données projet'!$B$166,DO75+DN76-DW75)))</f>
        <v>180.00000000000006</v>
      </c>
      <c r="DP76" s="18">
        <f>DO76*VLOOKUP('Données projet'!$B$14,Paramètres!$A$1:$I$89,3,0)*VLOOKUP('Données projet'!$B$14,Paramètres!$A$1:$I$89,5,0)</f>
        <v>157.24800000000008</v>
      </c>
      <c r="DQ76" s="14">
        <f t="shared" si="97"/>
        <v>40.221168744348645</v>
      </c>
      <c r="DR76" s="22">
        <f t="shared" si="70"/>
        <v>343.92546889640738</v>
      </c>
      <c r="DS76" s="62">
        <f t="shared" si="71"/>
        <v>616.30735193870328</v>
      </c>
      <c r="DT76" s="62">
        <f ca="1">AVERAGE(OFFSET($DS$3,0,0,'Données projet'!$E$14+1,1))-AVERAGE(OFFSET($H$3,0,0,'Données projet'!$E$14+1,1))</f>
        <v>289.18543665577761</v>
      </c>
      <c r="DU76" s="62">
        <f t="shared" si="98"/>
        <v>291.40065947222843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3.3796555007247098</v>
      </c>
      <c r="EC76" s="23">
        <f>EXP(-LN(2)/2)*EC75+(1-EXP(-LN(2)/2))/(LN(2)/2)*DW76*DZ76*VLOOKUP('Données projet'!$B$14,Paramètres!$A$1:$I$89,3,0)*0.475*44/12</f>
        <v>3.5290730926341736E-6</v>
      </c>
      <c r="ED76" s="24">
        <f t="shared" si="72"/>
        <v>3.3796590297978022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7.6</v>
      </c>
      <c r="EJ76" s="13">
        <f>IF('Données projet'!$A$192&gt;35,EJ75+EI76-ER75,IF(A76&lt;'Données projet'!$A$192,$EG$205^A76,IF(A76='Données projet'!$A$192,'Données projet'!$B$192,EJ75+EI76-ER75)))</f>
        <v>296.8</v>
      </c>
      <c r="EK76" s="18">
        <f>EJ76*VLOOKUP('Données projet'!$B$15,Paramètres!$A$1:$I$89,3,0)*VLOOKUP('Données projet'!$B$15,Paramètres!$A$1:$I$89,5,0)</f>
        <v>300.95520000000005</v>
      </c>
      <c r="EL76" s="14">
        <f t="shared" si="99"/>
        <v>71.376673021759785</v>
      </c>
      <c r="EM76" s="22">
        <f t="shared" si="73"/>
        <v>648.4780121795651</v>
      </c>
      <c r="EN76" s="62">
        <f t="shared" si="74"/>
        <v>920.85989522186094</v>
      </c>
      <c r="EO76" s="62">
        <f ca="1">AVERAGE(OFFSET($EN$3,0,0,'Données projet'!$E$15+1,1))-AVERAGE(OFFSET($H$3,0,0,'Données projet'!$E$15+1,1))</f>
        <v>514.72748286045442</v>
      </c>
      <c r="EP76" s="62">
        <f t="shared" si="100"/>
        <v>322.28702110656116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3.1060290146187421</v>
      </c>
      <c r="EX76" s="23">
        <f>EXP(-LN(2)/2)*EX75+(1-EXP(-LN(2)/2))/(LN(2)/2)*ER76*EU76*VLOOKUP('Données projet'!$B$15,Paramètres!$A$1:$I$89,3,0)*0.475*44/12</f>
        <v>5.6339311535066293E-6</v>
      </c>
      <c r="EY76" s="24">
        <f t="shared" si="75"/>
        <v>3.1060346485498957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64.285968102444315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4.0999999999999996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15.033333333333331</v>
      </c>
      <c r="H77" s="70">
        <f t="shared" si="56"/>
        <v>196.53333333333333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70.794576398719499</v>
      </c>
      <c r="T77" s="62">
        <f t="shared" si="88"/>
        <v>328.91236364911629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3.204966751022211E-8</v>
      </c>
      <c r="AC77" s="24">
        <f t="shared" si="57"/>
        <v>3.204966751022211E-8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275.42112000000003</v>
      </c>
      <c r="AK77" s="14">
        <f t="shared" si="89"/>
        <v>65.998433293601067</v>
      </c>
      <c r="AL77" s="22">
        <f t="shared" si="58"/>
        <v>594.63905531968851</v>
      </c>
      <c r="AM77" s="62">
        <f t="shared" si="59"/>
        <v>867.38439918410813</v>
      </c>
      <c r="AN77" s="62">
        <f ca="1">AVERAGE(OFFSET($AM$3,0,0,'Données projet'!$E$10+1,1))-AVERAGE(OFFSET($H$3,0,0,'Données projet'!$E$10+1,1))</f>
        <v>466.75323833427217</v>
      </c>
      <c r="AO77" s="62">
        <f t="shared" si="90"/>
        <v>293.88550076209378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2.6957458507192533</v>
      </c>
      <c r="AW77" s="23">
        <f>EXP(-LN(2)/2)*AW76+(1-EXP(-LN(2)/2))/(LN(2)/2)*AQ77*AT77*VLOOKUP('Données projet'!$B$10,Paramètres!$A$1:$I$89,3,0)*0.475*44/12</f>
        <v>3.5547672854799408E-6</v>
      </c>
      <c r="AX77" s="23">
        <f t="shared" si="60"/>
        <v>2.6957494054865387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68.47741055388687</v>
      </c>
      <c r="BJ77" s="62">
        <f t="shared" si="92"/>
        <v>335.34467252166542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21.515283722109938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1.4812703815023846E-7</v>
      </c>
      <c r="BS77" s="24">
        <f t="shared" si="63"/>
        <v>21.515283870236978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projet'!$B$12,Paramètres!$A$1:$I$89,3,0)*VLOOKUP('Données projet'!$B$12,Paramètres!$A$1:$I$89,5,0)</f>
        <v>3.3992364478763198E-14</v>
      </c>
      <c r="CA77" s="14">
        <f t="shared" si="93"/>
        <v>5.790027782444094E-13</v>
      </c>
      <c r="CB77" s="22">
        <f t="shared" si="64"/>
        <v>1.0676332069095257E-12</v>
      </c>
      <c r="CC77" s="62">
        <f t="shared" si="65"/>
        <v>272.7453438644207</v>
      </c>
      <c r="CD77" s="62">
        <f ca="1">AVERAGE(OFFSET($CC$3,0,0,'Données projet'!$E$12+1,1))-AVERAGE(OFFSET($H$3,0,0,'Données projet'!$E$12+1,1))</f>
        <v>211.76609132110815</v>
      </c>
      <c r="CE77" s="62">
        <f t="shared" si="94"/>
        <v>363.07965692095752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4.1327354013351822</v>
      </c>
      <c r="CL77" s="23">
        <f>EXP(-LN(2)/25)*CL76+(1-EXP(-LN(2)/25))/(LN(2)/25)*Calculateur!CG77*Calculateur!CI77*VLOOKUP('Données projet'!$B$12,Paramètres!$A$1:$I$89,3,0)*0.475*44/12</f>
        <v>1.6061259532455296</v>
      </c>
      <c r="CM77" s="23">
        <f>EXP(-LN(2)/2)*CM76+(1-EXP(-LN(2)/2))/(LN(2)/2)*CG77*CJ77*VLOOKUP('Données projet'!$B$12,Paramètres!$A$1:$I$89,3,0)*0.475*44/12</f>
        <v>5.621705044026902E-7</v>
      </c>
      <c r="CN77" s="24">
        <f t="shared" si="66"/>
        <v>5.7388619167512163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-5.1431925385259088E-14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374.91250349988451</v>
      </c>
      <c r="CZ77" s="62">
        <f t="shared" si="96"/>
        <v>529.46825265662869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4.4283999381747741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4.4283999381747741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</v>
      </c>
      <c r="DO77" s="13">
        <f>IF('Données projet'!$A$166&gt;35,DO76+DN77-DW76,IF(A77&lt;'Données projet'!$A$166,$DL$205^A77,IF(A77='Données projet'!$A$166,'Données projet'!$B$166,DO76+DN77-DW76)))</f>
        <v>183.00000000000006</v>
      </c>
      <c r="DP77" s="18">
        <f>DO77*VLOOKUP('Données projet'!$B$14,Paramètres!$A$1:$I$89,3,0)*VLOOKUP('Données projet'!$B$14,Paramètres!$A$1:$I$89,5,0)</f>
        <v>159.86880000000008</v>
      </c>
      <c r="DQ77" s="14">
        <f t="shared" si="97"/>
        <v>40.812921467768035</v>
      </c>
      <c r="DR77" s="22">
        <f t="shared" si="70"/>
        <v>349.52066488969609</v>
      </c>
      <c r="DS77" s="62">
        <f t="shared" si="71"/>
        <v>622.26600875411577</v>
      </c>
      <c r="DT77" s="62">
        <f ca="1">AVERAGE(OFFSET($DS$3,0,0,'Données projet'!$E$14+1,1))-AVERAGE(OFFSET($H$3,0,0,'Données projet'!$E$14+1,1))</f>
        <v>289.18543665577761</v>
      </c>
      <c r="DU77" s="62">
        <f t="shared" si="98"/>
        <v>291.40065947222843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3.2872386433290339</v>
      </c>
      <c r="EC77" s="23">
        <f>EXP(-LN(2)/2)*EC76+(1-EXP(-LN(2)/2))/(LN(2)/2)*DW77*DZ77*VLOOKUP('Données projet'!$B$14,Paramètres!$A$1:$I$89,3,0)*0.475*44/12</f>
        <v>2.4954315151046051E-6</v>
      </c>
      <c r="ED77" s="24">
        <f t="shared" si="72"/>
        <v>3.2872411387605491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7.6</v>
      </c>
      <c r="EJ77" s="13">
        <f>IF('Données projet'!$A$192&gt;35,EJ76+EI77-ER76,IF(A77&lt;'Données projet'!$A$192,$EG$205^A77,IF(A77='Données projet'!$A$192,'Données projet'!$B$192,EJ76+EI77-ER76)))</f>
        <v>304.40000000000003</v>
      </c>
      <c r="EK77" s="18">
        <f>EJ77*VLOOKUP('Données projet'!$B$15,Paramètres!$A$1:$I$89,3,0)*VLOOKUP('Données projet'!$B$15,Paramètres!$A$1:$I$89,5,0)</f>
        <v>308.66160000000008</v>
      </c>
      <c r="EL77" s="14">
        <f t="shared" si="99"/>
        <v>72.98924863505313</v>
      </c>
      <c r="EM77" s="22">
        <f t="shared" si="73"/>
        <v>664.70856137271755</v>
      </c>
      <c r="EN77" s="62">
        <f t="shared" si="74"/>
        <v>937.45390523713718</v>
      </c>
      <c r="EO77" s="62">
        <f ca="1">AVERAGE(OFFSET($EN$3,0,0,'Données projet'!$E$15+1,1))-AVERAGE(OFFSET($H$3,0,0,'Données projet'!$E$15+1,1))</f>
        <v>514.72748286045442</v>
      </c>
      <c r="EP77" s="62">
        <f t="shared" si="100"/>
        <v>322.28702110656116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3.0210944878750259</v>
      </c>
      <c r="EX77" s="23">
        <f>EXP(-LN(2)/2)*EX76+(1-EXP(-LN(2)/2))/(LN(2)/2)*ER77*EU77*VLOOKUP('Données projet'!$B$15,Paramètres!$A$1:$I$89,3,0)*0.475*44/12</f>
        <v>3.9837909233826853E-6</v>
      </c>
      <c r="EY77" s="24">
        <f t="shared" si="75"/>
        <v>3.0210984716659492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64.385093781205356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4.0999999999999996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15.033333333333331</v>
      </c>
      <c r="H78" s="70">
        <f t="shared" si="56"/>
        <v>196.53333333333333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70.794576398719499</v>
      </c>
      <c r="T78" s="62">
        <f t="shared" si="88"/>
        <v>328.91236364911629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2.2662537231252227E-8</v>
      </c>
      <c r="AC78" s="24">
        <f t="shared" si="57"/>
        <v>2.2662537231252227E-8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282.29760000000005</v>
      </c>
      <c r="AK78" s="14">
        <f t="shared" si="89"/>
        <v>67.452326629470178</v>
      </c>
      <c r="AL78" s="22">
        <f t="shared" si="58"/>
        <v>609.14778887966054</v>
      </c>
      <c r="AM78" s="62">
        <f t="shared" si="59"/>
        <v>882.25028833351689</v>
      </c>
      <c r="AN78" s="62">
        <f ca="1">AVERAGE(OFFSET($AM$3,0,0,'Données projet'!$E$10+1,1))-AVERAGE(OFFSET($H$3,0,0,'Données projet'!$E$10+1,1))</f>
        <v>466.75323833427217</v>
      </c>
      <c r="AO78" s="62">
        <f t="shared" si="90"/>
        <v>293.88550076209378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2.6220305386682221</v>
      </c>
      <c r="AW78" s="23">
        <f>EXP(-LN(2)/2)*AW77+(1-EXP(-LN(2)/2))/(LN(2)/2)*AQ78*AT78*VLOOKUP('Données projet'!$B$10,Paramètres!$A$1:$I$89,3,0)*0.475*44/12</f>
        <v>2.513600053102962E-6</v>
      </c>
      <c r="AX78" s="23">
        <f t="shared" si="60"/>
        <v>2.6220330522682751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68.47741055388687</v>
      </c>
      <c r="BJ78" s="62">
        <f t="shared" si="92"/>
        <v>335.34467252166542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21.09338213134664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1.0474163315311205E-7</v>
      </c>
      <c r="BS78" s="24">
        <f t="shared" si="63"/>
        <v>21.093382236088274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projet'!$B$12,Paramètres!$A$1:$I$89,3,0)*VLOOKUP('Données projet'!$B$12,Paramètres!$A$1:$I$89,5,0)</f>
        <v>3.3992364478763198E-14</v>
      </c>
      <c r="CA78" s="14">
        <f t="shared" si="93"/>
        <v>5.790027782444094E-13</v>
      </c>
      <c r="CB78" s="22">
        <f t="shared" si="64"/>
        <v>1.0676332069095257E-12</v>
      </c>
      <c r="CC78" s="62">
        <f t="shared" si="65"/>
        <v>273.10249945385743</v>
      </c>
      <c r="CD78" s="62">
        <f ca="1">AVERAGE(OFFSET($CC$3,0,0,'Données projet'!$E$12+1,1))-AVERAGE(OFFSET($H$3,0,0,'Données projet'!$E$12+1,1))</f>
        <v>211.76609132110815</v>
      </c>
      <c r="CE78" s="62">
        <f t="shared" si="94"/>
        <v>363.07965692095752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4.0516949808346938</v>
      </c>
      <c r="CL78" s="23">
        <f>EXP(-LN(2)/25)*CL77+(1-EXP(-LN(2)/25))/(LN(2)/25)*Calculateur!CG78*Calculateur!CI78*VLOOKUP('Données projet'!$B$12,Paramètres!$A$1:$I$89,3,0)*0.475*44/12</f>
        <v>1.5622063545915377</v>
      </c>
      <c r="CM78" s="23">
        <f>EXP(-LN(2)/2)*CM77+(1-EXP(-LN(2)/2))/(LN(2)/2)*CG78*CJ78*VLOOKUP('Données projet'!$B$12,Paramètres!$A$1:$I$89,3,0)*0.475*44/12</f>
        <v>3.9751457584620412E-7</v>
      </c>
      <c r="CN78" s="24">
        <f t="shared" si="66"/>
        <v>5.613901732940807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-5.1431925385259088E-14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374.91250349988451</v>
      </c>
      <c r="CZ78" s="62">
        <f t="shared" si="96"/>
        <v>529.46825265662869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4.3415617164444216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4.3415617164444216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186</v>
      </c>
      <c r="DM78" s="13">
        <f>VLOOKUP(A78,'Données projet'!$A$165:$I$185,9,0)</f>
        <v>3</v>
      </c>
      <c r="DN78" s="13">
        <f t="array" ref="DN78">INDEX(DM:DM,MIN(IF(ISNUMBER(DM78:DM274),ROW(DM78:DM274),"")))</f>
        <v>3</v>
      </c>
      <c r="DO78" s="13">
        <f>IF('Données projet'!$A$166&gt;35,DO77+DN78-DW77,IF(A78&lt;'Données projet'!$A$166,$DL$205^A78,IF(A78='Données projet'!$A$166,'Données projet'!$B$166,DO77+DN78-DW77)))</f>
        <v>186.00000000000006</v>
      </c>
      <c r="DP78" s="18">
        <f>DO78*VLOOKUP('Données projet'!$B$14,Paramètres!$A$1:$I$89,3,0)*VLOOKUP('Données projet'!$B$14,Paramètres!$A$1:$I$89,5,0)</f>
        <v>162.48960000000005</v>
      </c>
      <c r="DQ78" s="14">
        <f t="shared" si="97"/>
        <v>41.403546033820696</v>
      </c>
      <c r="DR78" s="22">
        <f t="shared" si="70"/>
        <v>355.11389600890448</v>
      </c>
      <c r="DS78" s="62">
        <f t="shared" si="71"/>
        <v>628.21639546276083</v>
      </c>
      <c r="DT78" s="62">
        <f ca="1">AVERAGE(OFFSET($DS$3,0,0,'Données projet'!$E$14+1,1))-AVERAGE(OFFSET($H$3,0,0,'Données projet'!$E$14+1,1))</f>
        <v>289.18543665577761</v>
      </c>
      <c r="DU78" s="62">
        <f t="shared" si="98"/>
        <v>291.40065947222843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11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3.1973489297588342</v>
      </c>
      <c r="EC78" s="23">
        <f>EXP(-LN(2)/2)*EC77+(1-EXP(-LN(2)/2))/(LN(2)/2)*DW78*DZ78*VLOOKUP('Données projet'!$B$14,Paramètres!$A$1:$I$89,3,0)*0.475*44/12</f>
        <v>1.7645365463170868E-6</v>
      </c>
      <c r="ED78" s="24">
        <f t="shared" si="72"/>
        <v>3.1973506942953804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312</v>
      </c>
      <c r="EH78" s="13">
        <f>VLOOKUP(A78,'Données projet'!$A$191:$I$211,9,0)</f>
        <v>7.6</v>
      </c>
      <c r="EI78" s="13">
        <f t="array" ref="EI78">INDEX(EH:EH,MIN(IF(ISNUMBER(EH78:EH274),ROW(EH78:EH274),"")))</f>
        <v>7.6</v>
      </c>
      <c r="EJ78" s="13">
        <f>IF('Données projet'!$A$192&gt;35,EJ77+EI78-ER77,IF(A78&lt;'Données projet'!$A$192,$EG$205^A78,IF(A78='Données projet'!$A$192,'Données projet'!$B$192,EJ77+EI78-ER77)))</f>
        <v>312.00000000000006</v>
      </c>
      <c r="EK78" s="18">
        <f>EJ78*VLOOKUP('Données projet'!$B$15,Paramètres!$A$1:$I$89,3,0)*VLOOKUP('Données projet'!$B$15,Paramètres!$A$1:$I$89,5,0)</f>
        <v>316.36800000000005</v>
      </c>
      <c r="EL78" s="14">
        <f t="shared" si="99"/>
        <v>74.597144109003438</v>
      </c>
      <c r="EM78" s="22">
        <f t="shared" si="73"/>
        <v>680.93095932318113</v>
      </c>
      <c r="EN78" s="62">
        <f t="shared" si="74"/>
        <v>954.03345877703748</v>
      </c>
      <c r="EO78" s="62">
        <f ca="1">AVERAGE(OFFSET($EN$3,0,0,'Données projet'!$E$15+1,1))-AVERAGE(OFFSET($H$3,0,0,'Données projet'!$E$15+1,1))</f>
        <v>514.72748286045442</v>
      </c>
      <c r="EP78" s="62">
        <f t="shared" si="100"/>
        <v>322.28702110656116</v>
      </c>
      <c r="EQ78" s="16">
        <f>IF(ISNA(VLOOKUP(A78,'Données projet'!$A$191:$I$211,3,0)),0,VLOOKUP(A78,'Données projet'!$A$191:$I$211,3,0))</f>
        <v>12</v>
      </c>
      <c r="ER78" s="16">
        <f>IF(ISNA(VLOOKUP(A78,'Données projet'!$A$191:$I$211,4,0)),0,VLOOKUP(A78,'Données projet'!$A$191:$I$211,4,0))</f>
        <v>28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2.938482500231629</v>
      </c>
      <c r="EX78" s="23">
        <f>EXP(-LN(2)/2)*EX77+(1-EXP(-LN(2)/2))/(LN(2)/2)*ER78*EU78*VLOOKUP('Données projet'!$B$15,Paramètres!$A$1:$I$89,3,0)*0.475*44/12</f>
        <v>2.8169655767533146E-6</v>
      </c>
      <c r="EY78" s="24">
        <f t="shared" si="75"/>
        <v>2.9384853171972058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64.482499851051728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4.0999999999999996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15.033333333333331</v>
      </c>
      <c r="H79" s="70">
        <f t="shared" si="56"/>
        <v>196.53333333333333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70.794576398719499</v>
      </c>
      <c r="T79" s="62">
        <f t="shared" si="88"/>
        <v>328.91236364911629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1.6024833755111055E-8</v>
      </c>
      <c r="AC79" s="24">
        <f t="shared" si="57"/>
        <v>1.6024833755111055E-8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263.47776000000005</v>
      </c>
      <c r="AK79" s="14">
        <f t="shared" si="89"/>
        <v>63.46312159763346</v>
      </c>
      <c r="AL79" s="22">
        <f t="shared" si="58"/>
        <v>569.42203544921165</v>
      </c>
      <c r="AM79" s="62">
        <f t="shared" si="59"/>
        <v>842.87549464150811</v>
      </c>
      <c r="AN79" s="62">
        <f ca="1">AVERAGE(OFFSET($AM$3,0,0,'Données projet'!$E$10+1,1))-AVERAGE(OFFSET($H$3,0,0,'Données projet'!$E$10+1,1))</f>
        <v>466.75323833427217</v>
      </c>
      <c r="AO79" s="62">
        <f t="shared" si="90"/>
        <v>293.88550076209378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2.5503309757017463</v>
      </c>
      <c r="AW79" s="23">
        <f>EXP(-LN(2)/2)*AW78+(1-EXP(-LN(2)/2))/(LN(2)/2)*AQ79*AT79*VLOOKUP('Données projet'!$B$10,Paramètres!$A$1:$I$89,3,0)*0.475*44/12</f>
        <v>1.7773836427399704E-6</v>
      </c>
      <c r="AX79" s="23">
        <f t="shared" si="60"/>
        <v>2.5503327530853892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68.47741055388687</v>
      </c>
      <c r="BJ79" s="62">
        <f t="shared" si="92"/>
        <v>335.34467252166542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20.67975377344365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7.4063519075119232E-8</v>
      </c>
      <c r="BS79" s="24">
        <f t="shared" si="63"/>
        <v>20.679753847507168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projet'!$B$12,Paramètres!$A$1:$I$89,3,0)*VLOOKUP('Données projet'!$B$12,Paramètres!$A$1:$I$89,5,0)</f>
        <v>3.3992364478763198E-14</v>
      </c>
      <c r="CA79" s="14">
        <f t="shared" si="93"/>
        <v>5.790027782444094E-13</v>
      </c>
      <c r="CB79" s="22">
        <f t="shared" si="64"/>
        <v>1.0676332069095257E-12</v>
      </c>
      <c r="CC79" s="62">
        <f t="shared" si="65"/>
        <v>273.4534591922976</v>
      </c>
      <c r="CD79" s="62">
        <f ca="1">AVERAGE(OFFSET($CC$3,0,0,'Données projet'!$E$12+1,1))-AVERAGE(OFFSET($H$3,0,0,'Données projet'!$E$12+1,1))</f>
        <v>211.76609132110815</v>
      </c>
      <c r="CE79" s="62">
        <f t="shared" si="94"/>
        <v>363.07965692095752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3.9722437135504443</v>
      </c>
      <c r="CL79" s="23">
        <f>EXP(-LN(2)/25)*CL78+(1-EXP(-LN(2)/25))/(LN(2)/25)*Calculateur!CG79*Calculateur!CI79*VLOOKUP('Données projet'!$B$12,Paramètres!$A$1:$I$89,3,0)*0.475*44/12</f>
        <v>1.5194877396723703</v>
      </c>
      <c r="CM79" s="23">
        <f>EXP(-LN(2)/2)*CM78+(1-EXP(-LN(2)/2))/(LN(2)/2)*CG79*CJ79*VLOOKUP('Données projet'!$B$12,Paramètres!$A$1:$I$89,3,0)*0.475*44/12</f>
        <v>2.810852522013451E-7</v>
      </c>
      <c r="CN79" s="24">
        <f t="shared" si="66"/>
        <v>5.4917317343080665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-5.1431925385259088E-14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374.91250349988451</v>
      </c>
      <c r="CZ79" s="62">
        <f t="shared" si="96"/>
        <v>529.46825265662869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4.2564263392761159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4.2564263392761159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2.6</v>
      </c>
      <c r="DO79" s="13">
        <f>IF('Données projet'!$A$166&gt;35,DO78+DN79-DW78,IF(A79&lt;'Données projet'!$A$166,$DL$205^A79,IF(A79='Données projet'!$A$166,'Données projet'!$B$166,DO78+DN79-DW78)))</f>
        <v>177.60000000000005</v>
      </c>
      <c r="DP79" s="18">
        <f>DO79*VLOOKUP('Données projet'!$B$14,Paramètres!$A$1:$I$89,3,0)*VLOOKUP('Données projet'!$B$14,Paramètres!$A$1:$I$89,5,0)</f>
        <v>155.15136000000007</v>
      </c>
      <c r="DQ79" s="14">
        <f t="shared" si="97"/>
        <v>39.746940196236942</v>
      </c>
      <c r="DR79" s="22">
        <f t="shared" si="70"/>
        <v>339.44787284177949</v>
      </c>
      <c r="DS79" s="62">
        <f t="shared" si="71"/>
        <v>612.90133203407595</v>
      </c>
      <c r="DT79" s="62">
        <f ca="1">AVERAGE(OFFSET($DS$3,0,0,'Données projet'!$E$14+1,1))-AVERAGE(OFFSET($H$3,0,0,'Données projet'!$E$14+1,1))</f>
        <v>289.18543665577761</v>
      </c>
      <c r="DU79" s="62">
        <f t="shared" si="98"/>
        <v>291.40065947222843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3.1099172551333063</v>
      </c>
      <c r="EC79" s="23">
        <f>EXP(-LN(2)/2)*EC78+(1-EXP(-LN(2)/2))/(LN(2)/2)*DW79*DZ79*VLOOKUP('Données projet'!$B$14,Paramètres!$A$1:$I$89,3,0)*0.475*44/12</f>
        <v>1.2477157575523026E-6</v>
      </c>
      <c r="ED79" s="24">
        <f t="shared" si="72"/>
        <v>3.1099185028490637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7.2</v>
      </c>
      <c r="EJ79" s="13">
        <f>IF('Données projet'!$A$192&gt;35,EJ78+EI79-ER78,IF(A79&lt;'Données projet'!$A$192,$EG$205^A79,IF(A79='Données projet'!$A$192,'Données projet'!$B$192,EJ78+EI79-ER78)))</f>
        <v>291.20000000000005</v>
      </c>
      <c r="EK79" s="18">
        <f>EJ79*VLOOKUP('Données projet'!$B$15,Paramètres!$A$1:$I$89,3,0)*VLOOKUP('Données projet'!$B$15,Paramètres!$A$1:$I$89,5,0)</f>
        <v>295.27680000000004</v>
      </c>
      <c r="EL79" s="14">
        <f t="shared" si="99"/>
        <v>70.185386686980493</v>
      </c>
      <c r="EM79" s="22">
        <f t="shared" si="73"/>
        <v>636.51330847982445</v>
      </c>
      <c r="EN79" s="62">
        <f t="shared" si="74"/>
        <v>909.96676767212102</v>
      </c>
      <c r="EO79" s="62">
        <f ca="1">AVERAGE(OFFSET($EN$3,0,0,'Données projet'!$E$15+1,1))-AVERAGE(OFFSET($H$3,0,0,'Données projet'!$E$15+1,1))</f>
        <v>514.72748286045442</v>
      </c>
      <c r="EP79" s="62">
        <f t="shared" si="100"/>
        <v>322.28702110656116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2.8581295417347166</v>
      </c>
      <c r="EX79" s="23">
        <f>EXP(-LN(2)/2)*EX78+(1-EXP(-LN(2)/2))/(LN(2)/2)*ER79*EU79*VLOOKUP('Données projet'!$B$15,Paramètres!$A$1:$I$89,3,0)*0.475*44/12</f>
        <v>1.9918954616913427E-6</v>
      </c>
      <c r="EY79" s="24">
        <f t="shared" si="75"/>
        <v>2.8581315336301785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64.5782161433536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4.0999999999999996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15.033333333333331</v>
      </c>
      <c r="H80" s="70">
        <f t="shared" si="56"/>
        <v>196.53333333333333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70.794576398719499</v>
      </c>
      <c r="T80" s="62">
        <f t="shared" si="88"/>
        <v>328.91236364911629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1.1331268615626114E-8</v>
      </c>
      <c r="AC80" s="24">
        <f t="shared" si="57"/>
        <v>1.1331268615626114E-8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269.99232000000001</v>
      </c>
      <c r="AK80" s="14">
        <f t="shared" si="89"/>
        <v>64.847639395310296</v>
      </c>
      <c r="AL80" s="22">
        <f t="shared" si="58"/>
        <v>583.17959594683214</v>
      </c>
      <c r="AM80" s="62">
        <f t="shared" si="59"/>
        <v>856.97792651073541</v>
      </c>
      <c r="AN80" s="62">
        <f ca="1">AVERAGE(OFFSET($AM$3,0,0,'Données projet'!$E$10+1,1))-AVERAGE(OFFSET($H$3,0,0,'Données projet'!$E$10+1,1))</f>
        <v>466.75323833427217</v>
      </c>
      <c r="AO80" s="62">
        <f t="shared" si="90"/>
        <v>293.88550076209378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2.4805920410551048</v>
      </c>
      <c r="AW80" s="23">
        <f>EXP(-LN(2)/2)*AW79+(1-EXP(-LN(2)/2))/(LN(2)/2)*AQ80*AT80*VLOOKUP('Données projet'!$B$10,Paramètres!$A$1:$I$89,3,0)*0.475*44/12</f>
        <v>1.256800026551481E-6</v>
      </c>
      <c r="AX80" s="23">
        <f t="shared" si="60"/>
        <v>2.4805932978551315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68.47741055388687</v>
      </c>
      <c r="BJ80" s="62">
        <f t="shared" si="92"/>
        <v>335.34467252166542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20.274236415350753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5.2370816576556025E-8</v>
      </c>
      <c r="BS80" s="24">
        <f t="shared" si="63"/>
        <v>20.274236467721568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projet'!$B$12,Paramètres!$A$1:$I$89,3,0)*VLOOKUP('Données projet'!$B$12,Paramètres!$A$1:$I$89,5,0)</f>
        <v>3.3992364478763198E-14</v>
      </c>
      <c r="CA80" s="14">
        <f t="shared" si="93"/>
        <v>5.790027782444094E-13</v>
      </c>
      <c r="CB80" s="22">
        <f t="shared" si="64"/>
        <v>1.0676332069095257E-12</v>
      </c>
      <c r="CC80" s="62">
        <f t="shared" si="65"/>
        <v>273.7983305639043</v>
      </c>
      <c r="CD80" s="62">
        <f ca="1">AVERAGE(OFFSET($CC$3,0,0,'Données projet'!$E$12+1,1))-AVERAGE(OFFSET($H$3,0,0,'Données projet'!$E$12+1,1))</f>
        <v>211.76609132110815</v>
      </c>
      <c r="CE80" s="62">
        <f t="shared" si="94"/>
        <v>363.07965692095752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3.8943504371571507</v>
      </c>
      <c r="CL80" s="23">
        <f>EXP(-LN(2)/25)*CL79+(1-EXP(-LN(2)/25))/(LN(2)/25)*Calculateur!CG80*Calculateur!CI80*VLOOKUP('Données projet'!$B$12,Paramètres!$A$1:$I$89,3,0)*0.475*44/12</f>
        <v>1.4779372675246418</v>
      </c>
      <c r="CM80" s="23">
        <f>EXP(-LN(2)/2)*CM79+(1-EXP(-LN(2)/2))/(LN(2)/2)*CG80*CJ80*VLOOKUP('Données projet'!$B$12,Paramètres!$A$1:$I$89,3,0)*0.475*44/12</f>
        <v>1.9875728792310206E-7</v>
      </c>
      <c r="CN80" s="24">
        <f t="shared" si="66"/>
        <v>5.37228790343908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-5.1431925385259088E-14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374.91250349988451</v>
      </c>
      <c r="CZ80" s="62">
        <f t="shared" si="96"/>
        <v>529.46825265662869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4.1729604149266279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4.1729604149266279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2.6</v>
      </c>
      <c r="DO80" s="13">
        <f>IF('Données projet'!$A$166&gt;35,DO79+DN80-DW79,IF(A80&lt;'Données projet'!$A$166,$DL$205^A80,IF(A80='Données projet'!$A$166,'Données projet'!$B$166,DO79+DN80-DW79)))</f>
        <v>180.20000000000005</v>
      </c>
      <c r="DP80" s="18">
        <f>DO80*VLOOKUP('Données projet'!$B$14,Paramètres!$A$1:$I$89,3,0)*VLOOKUP('Données projet'!$B$14,Paramètres!$A$1:$I$89,5,0)</f>
        <v>157.42272000000006</v>
      </c>
      <c r="DQ80" s="14">
        <f t="shared" si="97"/>
        <v>40.260654441499831</v>
      </c>
      <c r="DR80" s="22">
        <f t="shared" si="70"/>
        <v>344.29854381894557</v>
      </c>
      <c r="DS80" s="62">
        <f t="shared" si="71"/>
        <v>618.0968743828488</v>
      </c>
      <c r="DT80" s="62">
        <f ca="1">AVERAGE(OFFSET($DS$3,0,0,'Données projet'!$E$14+1,1))-AVERAGE(OFFSET($H$3,0,0,'Données projet'!$E$14+1,1))</f>
        <v>289.18543665577761</v>
      </c>
      <c r="DU80" s="62">
        <f t="shared" si="98"/>
        <v>291.40065947222843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3.0248764042482454</v>
      </c>
      <c r="EC80" s="23">
        <f>EXP(-LN(2)/2)*EC79+(1-EXP(-LN(2)/2))/(LN(2)/2)*DW80*DZ80*VLOOKUP('Données projet'!$B$14,Paramètres!$A$1:$I$89,3,0)*0.475*44/12</f>
        <v>8.822682731585434E-7</v>
      </c>
      <c r="ED80" s="24">
        <f t="shared" si="72"/>
        <v>3.0248772865165185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7.2</v>
      </c>
      <c r="EJ80" s="13">
        <f>IF('Données projet'!$A$192&gt;35,EJ79+EI80-ER79,IF(A80&lt;'Données projet'!$A$192,$EG$205^A80,IF(A80='Données projet'!$A$192,'Données projet'!$B$192,EJ79+EI80-ER79)))</f>
        <v>298.40000000000003</v>
      </c>
      <c r="EK80" s="18">
        <f>EJ80*VLOOKUP('Données projet'!$B$15,Paramètres!$A$1:$I$89,3,0)*VLOOKUP('Données projet'!$B$15,Paramètres!$A$1:$I$89,5,0)</f>
        <v>302.57760000000007</v>
      </c>
      <c r="EL80" s="14">
        <f t="shared" si="99"/>
        <v>71.716558091076294</v>
      </c>
      <c r="EM80" s="22">
        <f t="shared" si="73"/>
        <v>651.89565867529132</v>
      </c>
      <c r="EN80" s="62">
        <f t="shared" si="74"/>
        <v>925.69398923919448</v>
      </c>
      <c r="EO80" s="62">
        <f ca="1">AVERAGE(OFFSET($EN$3,0,0,'Données projet'!$E$15+1,1))-AVERAGE(OFFSET($H$3,0,0,'Données projet'!$E$15+1,1))</f>
        <v>514.72748286045442</v>
      </c>
      <c r="EP80" s="62">
        <f t="shared" si="100"/>
        <v>322.28702110656116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2.7799738391134805</v>
      </c>
      <c r="EX80" s="23">
        <f>EXP(-LN(2)/2)*EX79+(1-EXP(-LN(2)/2))/(LN(2)/2)*ER80*EU80*VLOOKUP('Données projet'!$B$15,Paramètres!$A$1:$I$89,3,0)*0.475*44/12</f>
        <v>1.4084827883766573E-6</v>
      </c>
      <c r="EY80" s="24">
        <f t="shared" si="75"/>
        <v>2.7799752475962687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64.672271971973615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4.0999999999999996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15.033333333333331</v>
      </c>
      <c r="H81" s="70">
        <f t="shared" si="56"/>
        <v>196.53333333333333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70.794576398719499</v>
      </c>
      <c r="T81" s="62">
        <f t="shared" si="88"/>
        <v>328.91236364911629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8.0124168775555275E-9</v>
      </c>
      <c r="AC81" s="24">
        <f t="shared" si="57"/>
        <v>8.0124168775555275E-9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276.50687999999997</v>
      </c>
      <c r="AK81" s="14">
        <f t="shared" si="89"/>
        <v>66.228273722513677</v>
      </c>
      <c r="AL81" s="22">
        <f t="shared" si="58"/>
        <v>596.93039273337797</v>
      </c>
      <c r="AM81" s="62">
        <f t="shared" si="59"/>
        <v>871.06761192160752</v>
      </c>
      <c r="AN81" s="62">
        <f ca="1">AVERAGE(OFFSET($AM$3,0,0,'Données projet'!$E$10+1,1))-AVERAGE(OFFSET($H$3,0,0,'Données projet'!$E$10+1,1))</f>
        <v>466.75323833427217</v>
      </c>
      <c r="AO81" s="62">
        <f t="shared" si="90"/>
        <v>293.88550076209378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2.412760121243787</v>
      </c>
      <c r="AW81" s="23">
        <f>EXP(-LN(2)/2)*AW80+(1-EXP(-LN(2)/2))/(LN(2)/2)*AQ81*AT81*VLOOKUP('Données projet'!$B$10,Paramètres!$A$1:$I$89,3,0)*0.475*44/12</f>
        <v>8.886918213699852E-7</v>
      </c>
      <c r="AX81" s="23">
        <f t="shared" si="60"/>
        <v>2.4127610099356085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68.47741055388687</v>
      </c>
      <c r="BJ81" s="62">
        <f t="shared" si="92"/>
        <v>335.34467252166542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19.876671005308889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3.7031759537559616E-8</v>
      </c>
      <c r="BS81" s="24">
        <f t="shared" si="63"/>
        <v>19.87667104234065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projet'!$B$12,Paramètres!$A$1:$I$89,3,0)*VLOOKUP('Données projet'!$B$12,Paramètres!$A$1:$I$89,5,0)</f>
        <v>3.3992364478763198E-14</v>
      </c>
      <c r="CA81" s="14">
        <f t="shared" si="93"/>
        <v>5.790027782444094E-13</v>
      </c>
      <c r="CB81" s="22">
        <f t="shared" si="64"/>
        <v>1.0676332069095257E-12</v>
      </c>
      <c r="CC81" s="62">
        <f t="shared" si="65"/>
        <v>274.13721918823057</v>
      </c>
      <c r="CD81" s="62">
        <f ca="1">AVERAGE(OFFSET($CC$3,0,0,'Données projet'!$E$12+1,1))-AVERAGE(OFFSET($H$3,0,0,'Données projet'!$E$12+1,1))</f>
        <v>211.76609132110815</v>
      </c>
      <c r="CE81" s="62">
        <f t="shared" si="94"/>
        <v>363.07965692095752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3.8179846004037223</v>
      </c>
      <c r="CL81" s="23">
        <f>EXP(-LN(2)/25)*CL80+(1-EXP(-LN(2)/25))/(LN(2)/25)*Calculateur!CG81*Calculateur!CI81*VLOOKUP('Données projet'!$B$12,Paramètres!$A$1:$I$89,3,0)*0.475*44/12</f>
        <v>1.4375229952228374</v>
      </c>
      <c r="CM81" s="23">
        <f>EXP(-LN(2)/2)*CM80+(1-EXP(-LN(2)/2))/(LN(2)/2)*CG81*CJ81*VLOOKUP('Données projet'!$B$12,Paramètres!$A$1:$I$89,3,0)*0.475*44/12</f>
        <v>1.4054262610067255E-7</v>
      </c>
      <c r="CN81" s="24">
        <f t="shared" si="66"/>
        <v>5.2555077361691858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-5.1431925385259088E-14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374.91250349988451</v>
      </c>
      <c r="CZ81" s="62">
        <f t="shared" si="96"/>
        <v>529.46825265662869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4.0911312064444472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4.0911312064444472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2.6</v>
      </c>
      <c r="DO81" s="13">
        <f>IF('Données projet'!$A$166&gt;35,DO80+DN81-DW80,IF(A81&lt;'Données projet'!$A$166,$DL$205^A81,IF(A81='Données projet'!$A$166,'Données projet'!$B$166,DO80+DN81-DW80)))</f>
        <v>182.80000000000004</v>
      </c>
      <c r="DP81" s="18">
        <f>DO81*VLOOKUP('Données projet'!$B$14,Paramètres!$A$1:$I$89,3,0)*VLOOKUP('Données projet'!$B$14,Paramètres!$A$1:$I$89,5,0)</f>
        <v>159.69408000000007</v>
      </c>
      <c r="DQ81" s="14">
        <f t="shared" si="97"/>
        <v>40.773506612969186</v>
      </c>
      <c r="DR81" s="22">
        <f t="shared" si="70"/>
        <v>349.14771335092138</v>
      </c>
      <c r="DS81" s="62">
        <f t="shared" si="71"/>
        <v>623.28493253915087</v>
      </c>
      <c r="DT81" s="62">
        <f ca="1">AVERAGE(OFFSET($DS$3,0,0,'Données projet'!$E$14+1,1))-AVERAGE(OFFSET($H$3,0,0,'Données projet'!$E$14+1,1))</f>
        <v>289.18543665577761</v>
      </c>
      <c r="DU81" s="62">
        <f t="shared" si="98"/>
        <v>291.40065947222843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2.9421609999027405</v>
      </c>
      <c r="EC81" s="23">
        <f>EXP(-LN(2)/2)*EC80+(1-EXP(-LN(2)/2))/(LN(2)/2)*DW81*DZ81*VLOOKUP('Données projet'!$B$14,Paramètres!$A$1:$I$89,3,0)*0.475*44/12</f>
        <v>6.2385787877615128E-7</v>
      </c>
      <c r="ED81" s="24">
        <f t="shared" si="72"/>
        <v>2.9421616237606192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7.2</v>
      </c>
      <c r="EJ81" s="13">
        <f>IF('Données projet'!$A$192&gt;35,EJ80+EI81-ER80,IF(A81&lt;'Données projet'!$A$192,$EG$205^A81,IF(A81='Données projet'!$A$192,'Données projet'!$B$192,EJ80+EI81-ER80)))</f>
        <v>305.60000000000002</v>
      </c>
      <c r="EK81" s="18">
        <f>EJ81*VLOOKUP('Données projet'!$B$15,Paramètres!$A$1:$I$89,3,0)*VLOOKUP('Données projet'!$B$15,Paramètres!$A$1:$I$89,5,0)</f>
        <v>309.87840000000006</v>
      </c>
      <c r="EL81" s="14">
        <f t="shared" si="99"/>
        <v>73.243434672131556</v>
      </c>
      <c r="EM81" s="22">
        <f t="shared" si="73"/>
        <v>667.27052872062916</v>
      </c>
      <c r="EN81" s="62">
        <f t="shared" si="74"/>
        <v>941.40774790885871</v>
      </c>
      <c r="EO81" s="62">
        <f ca="1">AVERAGE(OFFSET($EN$3,0,0,'Données projet'!$E$15+1,1))-AVERAGE(OFFSET($H$3,0,0,'Données projet'!$E$15+1,1))</f>
        <v>514.72748286045442</v>
      </c>
      <c r="EP81" s="62">
        <f t="shared" si="100"/>
        <v>322.28702110656116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2.7039553082904519</v>
      </c>
      <c r="EX81" s="23">
        <f>EXP(-LN(2)/2)*EX80+(1-EXP(-LN(2)/2))/(LN(2)/2)*ER81*EU81*VLOOKUP('Données projet'!$B$15,Paramètres!$A$1:$I$89,3,0)*0.475*44/12</f>
        <v>9.9594773084567133E-7</v>
      </c>
      <c r="EY81" s="24">
        <f t="shared" si="75"/>
        <v>2.7039563042381829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64.764696142244404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4.0999999999999996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15.033333333333331</v>
      </c>
      <c r="H82" s="70">
        <f t="shared" si="56"/>
        <v>196.53333333333333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70.794576398719499</v>
      </c>
      <c r="T82" s="62">
        <f t="shared" si="88"/>
        <v>328.91236364911629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5.6656343078130569E-9</v>
      </c>
      <c r="AC82" s="24">
        <f t="shared" si="57"/>
        <v>5.6656343078130569E-9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283.02144000000004</v>
      </c>
      <c r="AK82" s="14">
        <f t="shared" si="89"/>
        <v>67.605126603830598</v>
      </c>
      <c r="AL82" s="22">
        <f t="shared" si="58"/>
        <v>610.67460350167164</v>
      </c>
      <c r="AM82" s="62">
        <f t="shared" si="59"/>
        <v>885.14483235423677</v>
      </c>
      <c r="AN82" s="62">
        <f ca="1">AVERAGE(OFFSET($AM$3,0,0,'Données projet'!$E$10+1,1))-AVERAGE(OFFSET($H$3,0,0,'Données projet'!$E$10+1,1))</f>
        <v>466.75323833427217</v>
      </c>
      <c r="AO82" s="62">
        <f t="shared" si="90"/>
        <v>293.88550076209378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2.3467830688468352</v>
      </c>
      <c r="AW82" s="23">
        <f>EXP(-LN(2)/2)*AW81+(1-EXP(-LN(2)/2))/(LN(2)/2)*AQ82*AT82*VLOOKUP('Données projet'!$B$10,Paramètres!$A$1:$I$89,3,0)*0.475*44/12</f>
        <v>6.2840001327574049E-7</v>
      </c>
      <c r="AX82" s="23">
        <f t="shared" si="60"/>
        <v>2.3467836972468485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68.47741055388687</v>
      </c>
      <c r="BJ82" s="62">
        <f t="shared" si="92"/>
        <v>335.34467252166542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19.48690161046699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2.6185408288278012E-8</v>
      </c>
      <c r="BS82" s="24">
        <f t="shared" si="63"/>
        <v>19.486901636652398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projet'!$B$12,Paramètres!$A$1:$I$89,3,0)*VLOOKUP('Données projet'!$B$12,Paramètres!$A$1:$I$89,5,0)</f>
        <v>3.3992364478763198E-14</v>
      </c>
      <c r="CA82" s="14">
        <f t="shared" si="93"/>
        <v>5.790027782444094E-13</v>
      </c>
      <c r="CB82" s="22">
        <f t="shared" si="64"/>
        <v>1.0676332069095257E-12</v>
      </c>
      <c r="CC82" s="62">
        <f t="shared" si="65"/>
        <v>274.47022885256615</v>
      </c>
      <c r="CD82" s="62">
        <f ca="1">AVERAGE(OFFSET($CC$3,0,0,'Données projet'!$E$12+1,1))-AVERAGE(OFFSET($H$3,0,0,'Données projet'!$E$12+1,1))</f>
        <v>211.76609132110815</v>
      </c>
      <c r="CE82" s="62">
        <f t="shared" si="94"/>
        <v>363.07965692095752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3.7431162511304676</v>
      </c>
      <c r="CL82" s="23">
        <f>EXP(-LN(2)/25)*CL81+(1-EXP(-LN(2)/25))/(LN(2)/25)*Calculateur!CG82*Calculateur!CI82*VLOOKUP('Données projet'!$B$12,Paramètres!$A$1:$I$89,3,0)*0.475*44/12</f>
        <v>1.3982138533224202</v>
      </c>
      <c r="CM82" s="23">
        <f>EXP(-LN(2)/2)*CM81+(1-EXP(-LN(2)/2))/(LN(2)/2)*CG82*CJ82*VLOOKUP('Données projet'!$B$12,Paramètres!$A$1:$I$89,3,0)*0.475*44/12</f>
        <v>9.9378643961551029E-8</v>
      </c>
      <c r="CN82" s="24">
        <f t="shared" si="66"/>
        <v>5.1413302038315321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-5.1431925385259088E-14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374.91250349988451</v>
      </c>
      <c r="CZ82" s="62">
        <f t="shared" si="96"/>
        <v>529.46825265662869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4.0109066188297131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4.0109066188297131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2.6</v>
      </c>
      <c r="DO82" s="13">
        <f>IF('Données projet'!$A$166&gt;35,DO81+DN82-DW81,IF(A82&lt;'Données projet'!$A$166,$DL$205^A82,IF(A82='Données projet'!$A$166,'Données projet'!$B$166,DO81+DN82-DW81)))</f>
        <v>185.40000000000003</v>
      </c>
      <c r="DP82" s="18">
        <f>DO82*VLOOKUP('Données projet'!$B$14,Paramètres!$A$1:$I$89,3,0)*VLOOKUP('Données projet'!$B$14,Paramètres!$A$1:$I$89,5,0)</f>
        <v>161.96544000000006</v>
      </c>
      <c r="DQ82" s="14">
        <f t="shared" si="97"/>
        <v>41.285510388923619</v>
      </c>
      <c r="DR82" s="22">
        <f t="shared" si="70"/>
        <v>353.99540526070876</v>
      </c>
      <c r="DS82" s="62">
        <f t="shared" si="71"/>
        <v>628.46563411327384</v>
      </c>
      <c r="DT82" s="62">
        <f ca="1">AVERAGE(OFFSET($DS$3,0,0,'Données projet'!$E$14+1,1))-AVERAGE(OFFSET($H$3,0,0,'Données projet'!$E$14+1,1))</f>
        <v>289.18543665577761</v>
      </c>
      <c r="DU82" s="62">
        <f t="shared" si="98"/>
        <v>291.40065947222843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2.8617074526388775</v>
      </c>
      <c r="EC82" s="23">
        <f>EXP(-LN(2)/2)*EC81+(1-EXP(-LN(2)/2))/(LN(2)/2)*DW82*DZ82*VLOOKUP('Données projet'!$B$14,Paramètres!$A$1:$I$89,3,0)*0.475*44/12</f>
        <v>4.411341365792717E-7</v>
      </c>
      <c r="ED82" s="24">
        <f t="shared" si="72"/>
        <v>2.8617078937730143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7.2</v>
      </c>
      <c r="EJ82" s="13">
        <f>IF('Données projet'!$A$192&gt;35,EJ81+EI82-ER81,IF(A82&lt;'Données projet'!$A$192,$EG$205^A82,IF(A82='Données projet'!$A$192,'Données projet'!$B$192,EJ81+EI82-ER81)))</f>
        <v>312.8</v>
      </c>
      <c r="EK82" s="18">
        <f>EJ82*VLOOKUP('Données projet'!$B$15,Paramètres!$A$1:$I$89,3,0)*VLOOKUP('Données projet'!$B$15,Paramètres!$A$1:$I$89,5,0)</f>
        <v>317.17920000000004</v>
      </c>
      <c r="EL82" s="14">
        <f t="shared" si="99"/>
        <v>74.766129261581426</v>
      </c>
      <c r="EM82" s="22">
        <f t="shared" si="73"/>
        <v>682.63811513058772</v>
      </c>
      <c r="EN82" s="62">
        <f t="shared" si="74"/>
        <v>957.10834398315274</v>
      </c>
      <c r="EO82" s="62">
        <f ca="1">AVERAGE(OFFSET($EN$3,0,0,'Données projet'!$E$15+1,1))-AVERAGE(OFFSET($H$3,0,0,'Données projet'!$E$15+1,1))</f>
        <v>514.72748286045442</v>
      </c>
      <c r="EP82" s="62">
        <f t="shared" si="100"/>
        <v>322.28702110656116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2.6300155081904197</v>
      </c>
      <c r="EX82" s="23">
        <f>EXP(-LN(2)/2)*EX81+(1-EXP(-LN(2)/2))/(LN(2)/2)*ER82*EU82*VLOOKUP('Données projet'!$B$15,Paramètres!$A$1:$I$89,3,0)*0.475*44/12</f>
        <v>7.0424139418832866E-7</v>
      </c>
      <c r="EY82" s="24">
        <f t="shared" si="75"/>
        <v>2.6300162124318138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64.855516959790478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4.0999999999999996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15.033333333333331</v>
      </c>
      <c r="H83" s="70">
        <f t="shared" si="56"/>
        <v>196.53333333333333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70.794576398719499</v>
      </c>
      <c r="T83" s="62">
        <f t="shared" si="88"/>
        <v>328.91236364911629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4.0062084387777638E-9</v>
      </c>
      <c r="AC83" s="24">
        <f t="shared" si="57"/>
        <v>4.0062084387777638E-9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289.536</v>
      </c>
      <c r="AK83" s="14">
        <f t="shared" si="89"/>
        <v>68.97829509904436</v>
      </c>
      <c r="AL83" s="22">
        <f t="shared" si="58"/>
        <v>624.41239729750225</v>
      </c>
      <c r="AM83" s="62">
        <f t="shared" si="59"/>
        <v>899.20985884122479</v>
      </c>
      <c r="AN83" s="62">
        <f ca="1">AVERAGE(OFFSET($AM$3,0,0,'Données projet'!$E$10+1,1))-AVERAGE(OFFSET($H$3,0,0,'Données projet'!$E$10+1,1))</f>
        <v>466.75323833427217</v>
      </c>
      <c r="AO83" s="62">
        <f t="shared" si="90"/>
        <v>293.88550076209378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2.2826101624172606</v>
      </c>
      <c r="AW83" s="23">
        <f>EXP(-LN(2)/2)*AW82+(1-EXP(-LN(2)/2))/(LN(2)/2)*AQ83*AT83*VLOOKUP('Données projet'!$B$10,Paramètres!$A$1:$I$89,3,0)*0.475*44/12</f>
        <v>4.443459106849926E-7</v>
      </c>
      <c r="AX83" s="23">
        <f t="shared" si="60"/>
        <v>2.2826106067631713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68.47741055388687</v>
      </c>
      <c r="BJ83" s="62">
        <f t="shared" si="92"/>
        <v>335.34467252166542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19.104775355722087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1.8515879768779808E-8</v>
      </c>
      <c r="BS83" s="24">
        <f t="shared" si="63"/>
        <v>19.104775374237967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projet'!$B$12,Paramètres!$A$1:$I$89,3,0)*VLOOKUP('Données projet'!$B$12,Paramètres!$A$1:$I$89,5,0)</f>
        <v>3.3992364478763198E-14</v>
      </c>
      <c r="CA83" s="14">
        <f t="shared" si="93"/>
        <v>5.790027782444094E-13</v>
      </c>
      <c r="CB83" s="22">
        <f t="shared" si="64"/>
        <v>1.0676332069095257E-12</v>
      </c>
      <c r="CC83" s="62">
        <f t="shared" si="65"/>
        <v>274.79746154372367</v>
      </c>
      <c r="CD83" s="62">
        <f ca="1">AVERAGE(OFFSET($CC$3,0,0,'Données projet'!$E$12+1,1))-AVERAGE(OFFSET($H$3,0,0,'Données projet'!$E$12+1,1))</f>
        <v>211.76609132110815</v>
      </c>
      <c r="CE83" s="62">
        <f t="shared" si="94"/>
        <v>363.07965692095752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3.6697160245212772</v>
      </c>
      <c r="CL83" s="23">
        <f>EXP(-LN(2)/25)*CL82+(1-EXP(-LN(2)/25))/(LN(2)/25)*Calculateur!CG83*Calculateur!CI83*VLOOKUP('Données projet'!$B$12,Paramètres!$A$1:$I$89,3,0)*0.475*44/12</f>
        <v>1.3599796219744478</v>
      </c>
      <c r="CM83" s="23">
        <f>EXP(-LN(2)/2)*CM82+(1-EXP(-LN(2)/2))/(LN(2)/2)*CG83*CJ83*VLOOKUP('Données projet'!$B$12,Paramètres!$A$1:$I$89,3,0)*0.475*44/12</f>
        <v>7.0271313050336274E-8</v>
      </c>
      <c r="CN83" s="24">
        <f t="shared" si="66"/>
        <v>5.029695716767038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-5.1431925385259088E-14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374.91250349988451</v>
      </c>
      <c r="CZ83" s="62">
        <f t="shared" si="96"/>
        <v>529.46825265662869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3.932255186445937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3.932255186445937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188</v>
      </c>
      <c r="DM83" s="13">
        <f>VLOOKUP(A83,'Données projet'!$A$165:$I$185,9,0)</f>
        <v>2.6</v>
      </c>
      <c r="DN83" s="13">
        <f t="array" ref="DN83">INDEX(DM:DM,MIN(IF(ISNUMBER(DM83:DM279),ROW(DM83:DM279),"")))</f>
        <v>2.6</v>
      </c>
      <c r="DO83" s="13">
        <f>IF('Données projet'!$A$166&gt;35,DO82+DN83-DW82,IF(A83&lt;'Données projet'!$A$166,$DL$205^A83,IF(A83='Données projet'!$A$166,'Données projet'!$B$166,DO82+DN83-DW82)))</f>
        <v>188.00000000000003</v>
      </c>
      <c r="DP83" s="18">
        <f>DO83*VLOOKUP('Données projet'!$B$14,Paramètres!$A$1:$I$89,3,0)*VLOOKUP('Données projet'!$B$14,Paramètres!$A$1:$I$89,5,0)</f>
        <v>164.23680000000004</v>
      </c>
      <c r="DQ83" s="14">
        <f t="shared" si="97"/>
        <v>41.796679041964353</v>
      </c>
      <c r="DR83" s="22">
        <f t="shared" si="70"/>
        <v>358.8416426647546</v>
      </c>
      <c r="DS83" s="62">
        <f t="shared" si="71"/>
        <v>633.63910420847719</v>
      </c>
      <c r="DT83" s="62">
        <f ca="1">AVERAGE(OFFSET($DS$3,0,0,'Données projet'!$E$14+1,1))-AVERAGE(OFFSET($H$3,0,0,'Données projet'!$E$14+1,1))</f>
        <v>289.18543665577761</v>
      </c>
      <c r="DU83" s="62">
        <f t="shared" si="98"/>
        <v>291.40065947222843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9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2.7834539118558128</v>
      </c>
      <c r="EC83" s="23">
        <f>EXP(-LN(2)/2)*EC82+(1-EXP(-LN(2)/2))/(LN(2)/2)*DW83*DZ83*VLOOKUP('Données projet'!$B$14,Paramètres!$A$1:$I$89,3,0)*0.475*44/12</f>
        <v>3.1192893938807564E-7</v>
      </c>
      <c r="ED83" s="24">
        <f t="shared" si="72"/>
        <v>2.7834542237847524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320</v>
      </c>
      <c r="EH83" s="13">
        <f>VLOOKUP(A83,'Données projet'!$A$191:$I$211,9,0)</f>
        <v>7.2</v>
      </c>
      <c r="EI83" s="13">
        <f t="array" ref="EI83">INDEX(EH:EH,MIN(IF(ISNUMBER(EH83:EH279),ROW(EH83:EH279),"")))</f>
        <v>7.2</v>
      </c>
      <c r="EJ83" s="13">
        <f>IF('Données projet'!$A$192&gt;35,EJ82+EI83-ER82,IF(A83&lt;'Données projet'!$A$192,$EG$205^A83,IF(A83='Données projet'!$A$192,'Données projet'!$B$192,EJ82+EI83-ER82)))</f>
        <v>320</v>
      </c>
      <c r="EK83" s="18">
        <f>EJ83*VLOOKUP('Données projet'!$B$15,Paramètres!$A$1:$I$89,3,0)*VLOOKUP('Données projet'!$B$15,Paramètres!$A$1:$I$89,5,0)</f>
        <v>324.48</v>
      </c>
      <c r="EL83" s="14">
        <f t="shared" si="99"/>
        <v>76.284749200165578</v>
      </c>
      <c r="EM83" s="22">
        <f t="shared" si="73"/>
        <v>697.99860485695501</v>
      </c>
      <c r="EN83" s="62">
        <f t="shared" si="74"/>
        <v>972.79606640067755</v>
      </c>
      <c r="EO83" s="62">
        <f ca="1">AVERAGE(OFFSET($EN$3,0,0,'Données projet'!$E$15+1,1))-AVERAGE(OFFSET($H$3,0,0,'Données projet'!$E$15+1,1))</f>
        <v>514.72748286045442</v>
      </c>
      <c r="EP83" s="62">
        <f t="shared" si="100"/>
        <v>322.28702110656116</v>
      </c>
      <c r="EQ83" s="16">
        <f>IF(ISNA(VLOOKUP(A83,'Données projet'!$A$191:$I$211,3,0)),0,VLOOKUP(A83,'Données projet'!$A$191:$I$211,3,0))</f>
        <v>13</v>
      </c>
      <c r="ER83" s="16">
        <f>IF(ISNA(VLOOKUP(A83,'Données projet'!$A$191:$I$211,4,0)),0,VLOOKUP(A83,'Données projet'!$A$191:$I$211,4,0))</f>
        <v>28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2.5580975958124483</v>
      </c>
      <c r="EX83" s="23">
        <f>EXP(-LN(2)/2)*EX82+(1-EXP(-LN(2)/2))/(LN(2)/2)*ER83*EU83*VLOOKUP('Données projet'!$B$15,Paramètres!$A$1:$I$89,3,0)*0.475*44/12</f>
        <v>4.9797386542283567E-7</v>
      </c>
      <c r="EY83" s="24">
        <f t="shared" si="75"/>
        <v>2.5580980937863136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64.944762239197061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4.0999999999999996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15.033333333333331</v>
      </c>
      <c r="H84" s="70">
        <f t="shared" si="56"/>
        <v>196.53333333333333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70.794576398719499</v>
      </c>
      <c r="T84" s="62">
        <f t="shared" si="88"/>
        <v>328.91236364911629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2.8328171539065284E-9</v>
      </c>
      <c r="AC84" s="24">
        <f t="shared" si="57"/>
        <v>2.8328171539065284E-9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270.35424</v>
      </c>
      <c r="AK84" s="14">
        <f t="shared" si="89"/>
        <v>64.924442218534367</v>
      </c>
      <c r="AL84" s="22">
        <f t="shared" si="58"/>
        <v>583.94370486394735</v>
      </c>
      <c r="AM84" s="62">
        <f t="shared" si="59"/>
        <v>859.06272234321852</v>
      </c>
      <c r="AN84" s="62">
        <f ca="1">AVERAGE(OFFSET($AM$3,0,0,'Données projet'!$E$10+1,1))-AVERAGE(OFFSET($H$3,0,0,'Données projet'!$E$10+1,1))</f>
        <v>466.75323833427217</v>
      </c>
      <c r="AO84" s="62">
        <f t="shared" si="90"/>
        <v>293.88550076209378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2.2201920674887092</v>
      </c>
      <c r="AW84" s="23">
        <f>EXP(-LN(2)/2)*AW83+(1-EXP(-LN(2)/2))/(LN(2)/2)*AQ84*AT84*VLOOKUP('Données projet'!$B$10,Paramètres!$A$1:$I$89,3,0)*0.475*44/12</f>
        <v>3.1420000663787025E-7</v>
      </c>
      <c r="AX84" s="23">
        <f t="shared" si="60"/>
        <v>2.2201923816887157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68.47741055388687</v>
      </c>
      <c r="BJ84" s="62">
        <f t="shared" si="92"/>
        <v>335.34467252166542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18.730142363758727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1.3092704144139006E-8</v>
      </c>
      <c r="BS84" s="24">
        <f t="shared" si="63"/>
        <v>18.730142376851433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3.3992364478763198E-14</v>
      </c>
      <c r="CA84" s="14">
        <f t="shared" si="93"/>
        <v>5.790027782444094E-13</v>
      </c>
      <c r="CB84" s="22">
        <f t="shared" si="64"/>
        <v>1.0676332069095257E-12</v>
      </c>
      <c r="CC84" s="62">
        <f t="shared" si="65"/>
        <v>275.11901747927226</v>
      </c>
      <c r="CD84" s="62">
        <f ca="1">AVERAGE(OFFSET($CC$3,0,0,'Données projet'!$E$12+1,1))-AVERAGE(OFFSET($H$3,0,0,'Données projet'!$E$12+1,1))</f>
        <v>211.76609132110815</v>
      </c>
      <c r="CE84" s="62">
        <f t="shared" si="94"/>
        <v>363.07965692095752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3.5977551315861755</v>
      </c>
      <c r="CL84" s="23">
        <f>EXP(-LN(2)/25)*CL83+(1-EXP(-LN(2)/25))/(LN(2)/25)*Calculateur!CG84*Calculateur!CI84*VLOOKUP('Données projet'!$B$12,Paramètres!$A$1:$I$89,3,0)*0.475*44/12</f>
        <v>1.3227909076933364</v>
      </c>
      <c r="CM84" s="23">
        <f>EXP(-LN(2)/2)*CM83+(1-EXP(-LN(2)/2))/(LN(2)/2)*CG84*CJ84*VLOOKUP('Données projet'!$B$12,Paramètres!$A$1:$I$89,3,0)*0.475*44/12</f>
        <v>4.9689321980775514E-8</v>
      </c>
      <c r="CN84" s="24">
        <f t="shared" si="66"/>
        <v>4.9205460889688339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-5.1431925385259088E-14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374.91250349988451</v>
      </c>
      <c r="CZ84" s="62">
        <f t="shared" si="96"/>
        <v>529.46825265662869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3.8551460606785697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3.8551460606785697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2.4</v>
      </c>
      <c r="DO84" s="13">
        <f>IF('Données projet'!$A$166&gt;35,DO83+DN84-DW83,IF(A84&lt;'Données projet'!$A$166,$DL$205^A84,IF(A84='Données projet'!$A$166,'Données projet'!$B$166,DO83+DN84-DW83)))</f>
        <v>181.40000000000003</v>
      </c>
      <c r="DP84" s="18">
        <f>DO84*VLOOKUP('Données projet'!$B$14,Paramètres!$A$1:$I$89,3,0)*VLOOKUP('Données projet'!$B$14,Paramètres!$A$1:$I$89,5,0)</f>
        <v>158.47104000000004</v>
      </c>
      <c r="DQ84" s="14">
        <f t="shared" si="97"/>
        <v>40.497461727609561</v>
      </c>
      <c r="DR84" s="22">
        <f t="shared" si="70"/>
        <v>346.53680717558672</v>
      </c>
      <c r="DS84" s="62">
        <f t="shared" si="71"/>
        <v>621.65582465485795</v>
      </c>
      <c r="DT84" s="62">
        <f ca="1">AVERAGE(OFFSET($DS$3,0,0,'Données projet'!$E$14+1,1))-AVERAGE(OFFSET($H$3,0,0,'Données projet'!$E$14+1,1))</f>
        <v>289.18543665577761</v>
      </c>
      <c r="DU84" s="62">
        <f t="shared" si="98"/>
        <v>291.40065947222843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2.7073402182606361</v>
      </c>
      <c r="EC84" s="23">
        <f>EXP(-LN(2)/2)*EC83+(1-EXP(-LN(2)/2))/(LN(2)/2)*DW84*DZ84*VLOOKUP('Données projet'!$B$14,Paramètres!$A$1:$I$89,3,0)*0.475*44/12</f>
        <v>2.2056706828963585E-7</v>
      </c>
      <c r="ED84" s="24">
        <f t="shared" si="72"/>
        <v>2.7073404388277043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6.8</v>
      </c>
      <c r="EJ84" s="13">
        <f>IF('Données projet'!$A$192&gt;35,EJ83+EI84-ER83,IF(A84&lt;'Données projet'!$A$192,$EG$205^A84,IF(A84='Données projet'!$A$192,'Données projet'!$B$192,EJ83+EI84-ER83)))</f>
        <v>298.8</v>
      </c>
      <c r="EK84" s="18">
        <f>EJ84*VLOOKUP('Données projet'!$B$15,Paramètres!$A$1:$I$89,3,0)*VLOOKUP('Données projet'!$B$15,Paramètres!$A$1:$I$89,5,0)</f>
        <v>302.98320000000007</v>
      </c>
      <c r="EL84" s="14">
        <f t="shared" si="99"/>
        <v>71.801496173397709</v>
      </c>
      <c r="EM84" s="22">
        <f t="shared" si="73"/>
        <v>652.75001250200114</v>
      </c>
      <c r="EN84" s="62">
        <f t="shared" si="74"/>
        <v>927.86902998127232</v>
      </c>
      <c r="EO84" s="62">
        <f ca="1">AVERAGE(OFFSET($EN$3,0,0,'Données projet'!$E$15+1,1))-AVERAGE(OFFSET($H$3,0,0,'Données projet'!$E$15+1,1))</f>
        <v>514.72748286045442</v>
      </c>
      <c r="EP84" s="62">
        <f t="shared" si="100"/>
        <v>322.28702110656116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2.488146282530451</v>
      </c>
      <c r="EX84" s="23">
        <f>EXP(-LN(2)/2)*EX83+(1-EXP(-LN(2)/2))/(LN(2)/2)*ER84*EU84*VLOOKUP('Données projet'!$B$15,Paramètres!$A$1:$I$89,3,0)*0.475*44/12</f>
        <v>3.5212069709416433E-7</v>
      </c>
      <c r="EY84" s="24">
        <f t="shared" si="75"/>
        <v>2.488146634651148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65.032459312528502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4.0999999999999996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15.033333333333331</v>
      </c>
      <c r="H85" s="70">
        <f t="shared" si="56"/>
        <v>196.53333333333333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70.794576398719499</v>
      </c>
      <c r="T85" s="62">
        <f t="shared" si="88"/>
        <v>328.91236364911629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2.0031042193888819E-9</v>
      </c>
      <c r="AC85" s="24">
        <f t="shared" si="57"/>
        <v>2.0031042193888819E-9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276.50687999999997</v>
      </c>
      <c r="AK85" s="14">
        <f t="shared" si="89"/>
        <v>66.228273722513677</v>
      </c>
      <c r="AL85" s="22">
        <f t="shared" si="58"/>
        <v>596.93039273337797</v>
      </c>
      <c r="AM85" s="62">
        <f t="shared" si="59"/>
        <v>872.36538787160725</v>
      </c>
      <c r="AN85" s="62">
        <f ca="1">AVERAGE(OFFSET($AM$3,0,0,'Données projet'!$E$10+1,1))-AVERAGE(OFFSET($H$3,0,0,'Données projet'!$E$10+1,1))</f>
        <v>466.75323833427217</v>
      </c>
      <c r="AO85" s="62">
        <f t="shared" si="90"/>
        <v>293.88550076209378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2.1594807986484041</v>
      </c>
      <c r="AW85" s="23">
        <f>EXP(-LN(2)/2)*AW84+(1-EXP(-LN(2)/2))/(LN(2)/2)*AQ85*AT85*VLOOKUP('Données projet'!$B$10,Paramètres!$A$1:$I$89,3,0)*0.475*44/12</f>
        <v>2.221729553424963E-7</v>
      </c>
      <c r="AX85" s="23">
        <f t="shared" si="60"/>
        <v>2.1594810208213593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68.47741055388687</v>
      </c>
      <c r="BJ85" s="62">
        <f t="shared" si="92"/>
        <v>335.34467252166542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18.362855696264209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9.257939884389904E-9</v>
      </c>
      <c r="BS85" s="24">
        <f t="shared" si="63"/>
        <v>18.362855705522147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3.3992364478763198E-14</v>
      </c>
      <c r="CA85" s="14">
        <f t="shared" si="93"/>
        <v>5.790027782444094E-13</v>
      </c>
      <c r="CB85" s="22">
        <f t="shared" si="64"/>
        <v>1.0676332069095257E-12</v>
      </c>
      <c r="CC85" s="62">
        <f t="shared" si="65"/>
        <v>275.43499513823042</v>
      </c>
      <c r="CD85" s="62">
        <f ca="1">AVERAGE(OFFSET($CC$3,0,0,'Données projet'!$E$12+1,1))-AVERAGE(OFFSET($H$3,0,0,'Données projet'!$E$12+1,1))</f>
        <v>211.76609132110815</v>
      </c>
      <c r="CE85" s="62">
        <f t="shared" si="94"/>
        <v>363.07965692095752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3.5272053478697205</v>
      </c>
      <c r="CL85" s="23">
        <f>EXP(-LN(2)/25)*CL84+(1-EXP(-LN(2)/25))/(LN(2)/25)*Calculateur!CG85*Calculateur!CI85*VLOOKUP('Données projet'!$B$12,Paramètres!$A$1:$I$89,3,0)*0.475*44/12</f>
        <v>1.2866191207599116</v>
      </c>
      <c r="CM85" s="23">
        <f>EXP(-LN(2)/2)*CM84+(1-EXP(-LN(2)/2))/(LN(2)/2)*CG85*CJ85*VLOOKUP('Données projet'!$B$12,Paramètres!$A$1:$I$89,3,0)*0.475*44/12</f>
        <v>3.5135656525168137E-8</v>
      </c>
      <c r="CN85" s="24">
        <f t="shared" si="66"/>
        <v>4.8138245037652885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-5.1431925385259088E-14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374.91250349988451</v>
      </c>
      <c r="CZ85" s="62">
        <f t="shared" si="96"/>
        <v>529.46825265662869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3.7795489978355779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3.7795489978355779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2.4</v>
      </c>
      <c r="DO85" s="13">
        <f>IF('Données projet'!$A$166&gt;35,DO84+DN85-DW84,IF(A85&lt;'Données projet'!$A$166,$DL$205^A85,IF(A85='Données projet'!$A$166,'Données projet'!$B$166,DO84+DN85-DW84)))</f>
        <v>183.80000000000004</v>
      </c>
      <c r="DP85" s="18">
        <f>DO85*VLOOKUP('Données projet'!$B$14,Paramètres!$A$1:$I$89,3,0)*VLOOKUP('Données projet'!$B$14,Paramètres!$A$1:$I$89,5,0)</f>
        <v>160.56768000000005</v>
      </c>
      <c r="DQ85" s="14">
        <f t="shared" si="97"/>
        <v>40.970530810309882</v>
      </c>
      <c r="DR85" s="22">
        <f t="shared" si="70"/>
        <v>351.0123838279564</v>
      </c>
      <c r="DS85" s="62">
        <f t="shared" si="71"/>
        <v>626.44737896618574</v>
      </c>
      <c r="DT85" s="62">
        <f ca="1">AVERAGE(OFFSET($DS$3,0,0,'Données projet'!$E$14+1,1))-AVERAGE(OFFSET($H$3,0,0,'Données projet'!$E$14+1,1))</f>
        <v>289.18543665577761</v>
      </c>
      <c r="DU85" s="62">
        <f t="shared" si="98"/>
        <v>291.40065947222843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2.6333078576194646</v>
      </c>
      <c r="EC85" s="23">
        <f>EXP(-LN(2)/2)*EC84+(1-EXP(-LN(2)/2))/(LN(2)/2)*DW85*DZ85*VLOOKUP('Données projet'!$B$14,Paramètres!$A$1:$I$89,3,0)*0.475*44/12</f>
        <v>1.5596446969403782E-7</v>
      </c>
      <c r="ED85" s="24">
        <f t="shared" si="72"/>
        <v>2.6333080135839344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6.8</v>
      </c>
      <c r="EJ85" s="13">
        <f>IF('Données projet'!$A$192&gt;35,EJ84+EI85-ER84,IF(A85&lt;'Données projet'!$A$192,$EG$205^A85,IF(A85='Données projet'!$A$192,'Données projet'!$B$192,EJ84+EI85-ER84)))</f>
        <v>305.60000000000002</v>
      </c>
      <c r="EK85" s="18">
        <f>EJ85*VLOOKUP('Données projet'!$B$15,Paramètres!$A$1:$I$89,3,0)*VLOOKUP('Données projet'!$B$15,Paramètres!$A$1:$I$89,5,0)</f>
        <v>309.87840000000006</v>
      </c>
      <c r="EL85" s="14">
        <f t="shared" si="99"/>
        <v>73.243434672131556</v>
      </c>
      <c r="EM85" s="22">
        <f t="shared" si="73"/>
        <v>667.27052872062916</v>
      </c>
      <c r="EN85" s="62">
        <f t="shared" si="74"/>
        <v>942.70552385885844</v>
      </c>
      <c r="EO85" s="62">
        <f ca="1">AVERAGE(OFFSET($EN$3,0,0,'Données projet'!$E$15+1,1))-AVERAGE(OFFSET($H$3,0,0,'Données projet'!$E$15+1,1))</f>
        <v>514.72748286045442</v>
      </c>
      <c r="EP85" s="62">
        <f t="shared" si="100"/>
        <v>322.28702110656116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2.4201077915887295</v>
      </c>
      <c r="EX85" s="23">
        <f>EXP(-LN(2)/2)*EX84+(1-EXP(-LN(2)/2))/(LN(2)/2)*ER85*EU85*VLOOKUP('Données projet'!$B$15,Paramètres!$A$1:$I$89,3,0)*0.475*44/12</f>
        <v>2.4898693271141783E-7</v>
      </c>
      <c r="EY85" s="24">
        <f t="shared" si="75"/>
        <v>2.4201080405756623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65.118635037698908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4.0999999999999996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15.033333333333331</v>
      </c>
      <c r="H86" s="70">
        <f t="shared" si="56"/>
        <v>196.53333333333333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70.794576398719499</v>
      </c>
      <c r="T86" s="62">
        <f t="shared" si="88"/>
        <v>328.91236364911629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1.4164085769532642E-9</v>
      </c>
      <c r="AC86" s="24">
        <f t="shared" si="57"/>
        <v>1.4164085769532642E-9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282.65952000000004</v>
      </c>
      <c r="AK86" s="14">
        <f t="shared" si="89"/>
        <v>67.528732309967324</v>
      </c>
      <c r="AL86" s="22">
        <f t="shared" si="58"/>
        <v>609.91120610652649</v>
      </c>
      <c r="AM86" s="62">
        <f t="shared" si="59"/>
        <v>885.65669739775126</v>
      </c>
      <c r="AN86" s="62">
        <f ca="1">AVERAGE(OFFSET($AM$3,0,0,'Données projet'!$E$10+1,1))-AVERAGE(OFFSET($H$3,0,0,'Données projet'!$E$10+1,1))</f>
        <v>466.75323833427217</v>
      </c>
      <c r="AO86" s="62">
        <f t="shared" si="90"/>
        <v>293.88550076209378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2.1004296826472038</v>
      </c>
      <c r="AW86" s="23">
        <f>EXP(-LN(2)/2)*AW85+(1-EXP(-LN(2)/2))/(LN(2)/2)*AQ86*AT86*VLOOKUP('Données projet'!$B$10,Paramètres!$A$1:$I$89,3,0)*0.475*44/12</f>
        <v>1.5710000331893512E-7</v>
      </c>
      <c r="AX86" s="23">
        <f t="shared" si="60"/>
        <v>2.100429839747207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68.47741055388687</v>
      </c>
      <c r="BJ86" s="62">
        <f t="shared" si="92"/>
        <v>335.34467252166542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18.002771296296512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6.5463520720695031E-9</v>
      </c>
      <c r="BS86" s="24">
        <f t="shared" si="63"/>
        <v>18.002771302842863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3.3992364478763198E-14</v>
      </c>
      <c r="CA86" s="14">
        <f t="shared" si="93"/>
        <v>5.790027782444094E-13</v>
      </c>
      <c r="CB86" s="22">
        <f t="shared" si="64"/>
        <v>1.0676332069095257E-12</v>
      </c>
      <c r="CC86" s="62">
        <f t="shared" si="65"/>
        <v>275.7454912912259</v>
      </c>
      <c r="CD86" s="62">
        <f ca="1">AVERAGE(OFFSET($CC$3,0,0,'Données projet'!$E$12+1,1))-AVERAGE(OFFSET($H$3,0,0,'Données projet'!$E$12+1,1))</f>
        <v>211.76609132110815</v>
      </c>
      <c r="CE86" s="62">
        <f t="shared" si="94"/>
        <v>363.07965692095752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3.4580390023808261</v>
      </c>
      <c r="CL86" s="23">
        <f>EXP(-LN(2)/25)*CL85+(1-EXP(-LN(2)/25))/(LN(2)/25)*Calculateur!CG86*Calculateur!CI86*VLOOKUP('Données projet'!$B$12,Paramètres!$A$1:$I$89,3,0)*0.475*44/12</f>
        <v>1.2514364532423727</v>
      </c>
      <c r="CM86" s="23">
        <f>EXP(-LN(2)/2)*CM85+(1-EXP(-LN(2)/2))/(LN(2)/2)*CG86*CJ86*VLOOKUP('Données projet'!$B$12,Paramètres!$A$1:$I$89,3,0)*0.475*44/12</f>
        <v>2.4844660990387757E-8</v>
      </c>
      <c r="CN86" s="24">
        <f t="shared" si="66"/>
        <v>4.7094754804678596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-5.1431925385259088E-14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374.91250349988451</v>
      </c>
      <c r="CZ86" s="62">
        <f t="shared" si="96"/>
        <v>529.46825265662869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3.7054343472852818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3.7054343472852818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2.4</v>
      </c>
      <c r="DO86" s="13">
        <f>IF('Données projet'!$A$166&gt;35,DO85+DN86-DW85,IF(A86&lt;'Données projet'!$A$166,$DL$205^A86,IF(A86='Données projet'!$A$166,'Données projet'!$B$166,DO85+DN86-DW85)))</f>
        <v>186.20000000000005</v>
      </c>
      <c r="DP86" s="18">
        <f>DO86*VLOOKUP('Données projet'!$B$14,Paramètres!$A$1:$I$89,3,0)*VLOOKUP('Données projet'!$B$14,Paramètres!$A$1:$I$89,5,0)</f>
        <v>162.66432000000006</v>
      </c>
      <c r="DQ86" s="14">
        <f t="shared" si="97"/>
        <v>41.442881393745317</v>
      </c>
      <c r="DR86" s="22">
        <f t="shared" si="70"/>
        <v>355.48670909410652</v>
      </c>
      <c r="DS86" s="62">
        <f t="shared" si="71"/>
        <v>631.23220038533134</v>
      </c>
      <c r="DT86" s="62">
        <f ca="1">AVERAGE(OFFSET($DS$3,0,0,'Données projet'!$E$14+1,1))-AVERAGE(OFFSET($H$3,0,0,'Données projet'!$E$14+1,1))</f>
        <v>289.18543665577761</v>
      </c>
      <c r="DU86" s="62">
        <f t="shared" si="98"/>
        <v>291.40065947222843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2.5612999157732186</v>
      </c>
      <c r="EC86" s="23">
        <f>EXP(-LN(2)/2)*EC85+(1-EXP(-LN(2)/2))/(LN(2)/2)*DW86*DZ86*VLOOKUP('Données projet'!$B$14,Paramètres!$A$1:$I$89,3,0)*0.475*44/12</f>
        <v>1.1028353414481792E-7</v>
      </c>
      <c r="ED86" s="24">
        <f t="shared" si="72"/>
        <v>2.5613000260567529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6.8</v>
      </c>
      <c r="EJ86" s="13">
        <f>IF('Données projet'!$A$192&gt;35,EJ85+EI86-ER85,IF(A86&lt;'Données projet'!$A$192,$EG$205^A86,IF(A86='Données projet'!$A$192,'Données projet'!$B$192,EJ85+EI86-ER85)))</f>
        <v>312.40000000000003</v>
      </c>
      <c r="EK86" s="18">
        <f>EJ86*VLOOKUP('Données projet'!$B$15,Paramètres!$A$1:$I$89,3,0)*VLOOKUP('Données projet'!$B$15,Paramètres!$A$1:$I$89,5,0)</f>
        <v>316.77360000000004</v>
      </c>
      <c r="EL86" s="14">
        <f t="shared" si="99"/>
        <v>74.681642981668006</v>
      </c>
      <c r="EM86" s="22">
        <f t="shared" si="73"/>
        <v>681.78454819307183</v>
      </c>
      <c r="EN86" s="62">
        <f t="shared" si="74"/>
        <v>957.53003948429659</v>
      </c>
      <c r="EO86" s="62">
        <f ca="1">AVERAGE(OFFSET($EN$3,0,0,'Données projet'!$E$15+1,1))-AVERAGE(OFFSET($H$3,0,0,'Données projet'!$E$15+1,1))</f>
        <v>514.72748286045442</v>
      </c>
      <c r="EP86" s="62">
        <f t="shared" si="100"/>
        <v>322.28702110656116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2.353929816759798</v>
      </c>
      <c r="EX86" s="23">
        <f>EXP(-LN(2)/2)*EX85+(1-EXP(-LN(2)/2))/(LN(2)/2)*ER86*EU86*VLOOKUP('Données projet'!$B$15,Paramètres!$A$1:$I$89,3,0)*0.475*44/12</f>
        <v>1.7606034854708216E-7</v>
      </c>
      <c r="EY86" s="24">
        <f t="shared" si="75"/>
        <v>2.3539299928201465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65.203315806697688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4.0999999999999996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15.033333333333331</v>
      </c>
      <c r="H87" s="70">
        <f t="shared" si="56"/>
        <v>196.53333333333333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70.794576398719499</v>
      </c>
      <c r="T87" s="62">
        <f t="shared" si="88"/>
        <v>328.91236364911629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1.0015521096944409E-9</v>
      </c>
      <c r="AC87" s="24">
        <f t="shared" si="57"/>
        <v>1.0015521096944409E-9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288.81216000000006</v>
      </c>
      <c r="AK87" s="14">
        <f t="shared" si="89"/>
        <v>68.825899854238159</v>
      </c>
      <c r="AL87" s="22">
        <f t="shared" si="58"/>
        <v>622.88628757946492</v>
      </c>
      <c r="AM87" s="62">
        <f t="shared" si="59"/>
        <v>898.93688860959617</v>
      </c>
      <c r="AN87" s="62">
        <f ca="1">AVERAGE(OFFSET($AM$3,0,0,'Données projet'!$E$10+1,1))-AVERAGE(OFFSET($H$3,0,0,'Données projet'!$E$10+1,1))</f>
        <v>466.75323833427217</v>
      </c>
      <c r="AO87" s="62">
        <f t="shared" si="90"/>
        <v>293.88550076209378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2.0429933225184196</v>
      </c>
      <c r="AW87" s="23">
        <f>EXP(-LN(2)/2)*AW86+(1-EXP(-LN(2)/2))/(LN(2)/2)*AQ87*AT87*VLOOKUP('Données projet'!$B$10,Paramètres!$A$1:$I$89,3,0)*0.475*44/12</f>
        <v>1.1108647767124815E-7</v>
      </c>
      <c r="AX87" s="23">
        <f t="shared" si="60"/>
        <v>2.0429934336048974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68.47741055388687</v>
      </c>
      <c r="BJ87" s="62">
        <f t="shared" si="92"/>
        <v>335.34467252166542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17.649747931782382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4.628969942194952E-9</v>
      </c>
      <c r="BS87" s="24">
        <f t="shared" si="63"/>
        <v>17.649747936411352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3.3992364478763198E-14</v>
      </c>
      <c r="CA87" s="14">
        <f t="shared" si="93"/>
        <v>5.790027782444094E-13</v>
      </c>
      <c r="CB87" s="22">
        <f t="shared" si="64"/>
        <v>1.0676332069095257E-12</v>
      </c>
      <c r="CC87" s="62">
        <f t="shared" si="65"/>
        <v>276.05060103013233</v>
      </c>
      <c r="CD87" s="62">
        <f ca="1">AVERAGE(OFFSET($CC$3,0,0,'Données projet'!$E$12+1,1))-AVERAGE(OFFSET($H$3,0,0,'Données projet'!$E$12+1,1))</f>
        <v>211.76609132110815</v>
      </c>
      <c r="CE87" s="62">
        <f t="shared" si="94"/>
        <v>363.07965692095752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3.3902289667396639</v>
      </c>
      <c r="CL87" s="23">
        <f>EXP(-LN(2)/25)*CL86+(1-EXP(-LN(2)/25))/(LN(2)/25)*Calculateur!CG87*Calculateur!CI87*VLOOKUP('Données projet'!$B$12,Paramètres!$A$1:$I$89,3,0)*0.475*44/12</f>
        <v>1.2172158576182772</v>
      </c>
      <c r="CM87" s="23">
        <f>EXP(-LN(2)/2)*CM86+(1-EXP(-LN(2)/2))/(LN(2)/2)*CG87*CJ87*VLOOKUP('Données projet'!$B$12,Paramètres!$A$1:$I$89,3,0)*0.475*44/12</f>
        <v>1.7567828262584069E-8</v>
      </c>
      <c r="CN87" s="24">
        <f t="shared" si="66"/>
        <v>4.6074448419257692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-5.1431925385259088E-14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374.91250349988451</v>
      </c>
      <c r="CZ87" s="62">
        <f t="shared" si="96"/>
        <v>529.46825265662869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3.6327730398268039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3.6327730398268039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2.4</v>
      </c>
      <c r="DO87" s="13">
        <f>IF('Données projet'!$A$166&gt;35,DO86+DN87-DW86,IF(A87&lt;'Données projet'!$A$166,$DL$205^A87,IF(A87='Données projet'!$A$166,'Données projet'!$B$166,DO86+DN87-DW86)))</f>
        <v>188.60000000000005</v>
      </c>
      <c r="DP87" s="18">
        <f>DO87*VLOOKUP('Données projet'!$B$14,Paramètres!$A$1:$I$89,3,0)*VLOOKUP('Données projet'!$B$14,Paramètres!$A$1:$I$89,5,0)</f>
        <v>164.76096000000007</v>
      </c>
      <c r="DQ87" s="14">
        <f t="shared" si="97"/>
        <v>41.914523809719945</v>
      </c>
      <c r="DR87" s="22">
        <f t="shared" si="70"/>
        <v>359.95980096859574</v>
      </c>
      <c r="DS87" s="62">
        <f t="shared" si="71"/>
        <v>636.01040199872705</v>
      </c>
      <c r="DT87" s="62">
        <f ca="1">AVERAGE(OFFSET($DS$3,0,0,'Données projet'!$E$14+1,1))-AVERAGE(OFFSET($H$3,0,0,'Données projet'!$E$14+1,1))</f>
        <v>289.18543665577761</v>
      </c>
      <c r="DU87" s="62">
        <f t="shared" si="98"/>
        <v>291.40065947222843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2.4912610348834914</v>
      </c>
      <c r="EC87" s="23">
        <f>EXP(-LN(2)/2)*EC86+(1-EXP(-LN(2)/2))/(LN(2)/2)*DW87*DZ87*VLOOKUP('Données projet'!$B$14,Paramètres!$A$1:$I$89,3,0)*0.475*44/12</f>
        <v>7.798223484701891E-8</v>
      </c>
      <c r="ED87" s="24">
        <f t="shared" si="72"/>
        <v>2.4912611128657263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6.8</v>
      </c>
      <c r="EJ87" s="13">
        <f>IF('Données projet'!$A$192&gt;35,EJ86+EI87-ER86,IF(A87&lt;'Données projet'!$A$192,$EG$205^A87,IF(A87='Données projet'!$A$192,'Données projet'!$B$192,EJ86+EI87-ER86)))</f>
        <v>319.20000000000005</v>
      </c>
      <c r="EK87" s="18">
        <f>EJ87*VLOOKUP('Données projet'!$B$15,Paramètres!$A$1:$I$89,3,0)*VLOOKUP('Données projet'!$B$15,Paramètres!$A$1:$I$89,5,0)</f>
        <v>323.66880000000009</v>
      </c>
      <c r="EL87" s="14">
        <f t="shared" si="99"/>
        <v>76.11621164769852</v>
      </c>
      <c r="EM87" s="22">
        <f t="shared" si="73"/>
        <v>696.29222861974176</v>
      </c>
      <c r="EN87" s="62">
        <f t="shared" si="74"/>
        <v>972.34282964987301</v>
      </c>
      <c r="EO87" s="62">
        <f ca="1">AVERAGE(OFFSET($EN$3,0,0,'Données projet'!$E$15+1,1))-AVERAGE(OFFSET($H$3,0,0,'Données projet'!$E$15+1,1))</f>
        <v>514.72748286045442</v>
      </c>
      <c r="EP87" s="62">
        <f t="shared" si="100"/>
        <v>322.28702110656116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2.2895614821327124</v>
      </c>
      <c r="EX87" s="23">
        <f>EXP(-LN(2)/2)*EX86+(1-EXP(-LN(2)/2))/(LN(2)/2)*ER87*EU87*VLOOKUP('Données projet'!$B$15,Paramètres!$A$1:$I$89,3,0)*0.475*44/12</f>
        <v>1.2449346635570892E-7</v>
      </c>
      <c r="EY87" s="24">
        <f t="shared" si="75"/>
        <v>2.2895616066261786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65.286527553672158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4.0999999999999996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15.033333333333331</v>
      </c>
      <c r="H88" s="70">
        <f t="shared" si="56"/>
        <v>196.53333333333333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70.794576398719499</v>
      </c>
      <c r="T88" s="62">
        <f t="shared" si="88"/>
        <v>328.91236364911629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7.0820428847663211E-10</v>
      </c>
      <c r="AC88" s="24">
        <f t="shared" si="57"/>
        <v>7.0820428847663211E-10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294.96480000000003</v>
      </c>
      <c r="AK88" s="14">
        <f t="shared" si="89"/>
        <v>70.119854541045001</v>
      </c>
      <c r="AL88" s="22">
        <f t="shared" si="58"/>
        <v>635.85577332565333</v>
      </c>
      <c r="AM88" s="62">
        <f t="shared" si="59"/>
        <v>912.20619112284407</v>
      </c>
      <c r="AN88" s="62">
        <f ca="1">AVERAGE(OFFSET($AM$3,0,0,'Données projet'!$E$10+1,1))-AVERAGE(OFFSET($H$3,0,0,'Données projet'!$E$10+1,1))</f>
        <v>466.75323833427217</v>
      </c>
      <c r="AO88" s="62">
        <f t="shared" si="90"/>
        <v>293.88550076209378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1.987127562677804</v>
      </c>
      <c r="AW88" s="23">
        <f>EXP(-LN(2)/2)*AW87+(1-EXP(-LN(2)/2))/(LN(2)/2)*AQ88*AT88*VLOOKUP('Données projet'!$B$10,Paramètres!$A$1:$I$89,3,0)*0.475*44/12</f>
        <v>7.8550001659467562E-8</v>
      </c>
      <c r="AX88" s="23">
        <f t="shared" si="60"/>
        <v>1.9871276412278056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68.47741055388687</v>
      </c>
      <c r="BJ88" s="62">
        <f t="shared" si="92"/>
        <v>335.34467252166542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17.303647140123385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3.2731760360347515E-9</v>
      </c>
      <c r="BS88" s="24">
        <f t="shared" si="63"/>
        <v>17.30364714339656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3.3992364478763198E-14</v>
      </c>
      <c r="CA88" s="14">
        <f t="shared" si="93"/>
        <v>5.790027782444094E-13</v>
      </c>
      <c r="CB88" s="22">
        <f t="shared" si="64"/>
        <v>1.0676332069095257E-12</v>
      </c>
      <c r="CC88" s="62">
        <f t="shared" si="65"/>
        <v>276.35041779719188</v>
      </c>
      <c r="CD88" s="62">
        <f ca="1">AVERAGE(OFFSET($CC$3,0,0,'Données projet'!$E$12+1,1))-AVERAGE(OFFSET($H$3,0,0,'Données projet'!$E$12+1,1))</f>
        <v>211.76609132110815</v>
      </c>
      <c r="CE88" s="62">
        <f t="shared" si="94"/>
        <v>363.07965692095752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3.3237486445373872</v>
      </c>
      <c r="CL88" s="23">
        <f>EXP(-LN(2)/25)*CL87+(1-EXP(-LN(2)/25))/(LN(2)/25)*Calculateur!CG88*Calculateur!CI88*VLOOKUP('Données projet'!$B$12,Paramètres!$A$1:$I$89,3,0)*0.475*44/12</f>
        <v>1.1839310259811056</v>
      </c>
      <c r="CM88" s="23">
        <f>EXP(-LN(2)/2)*CM87+(1-EXP(-LN(2)/2))/(LN(2)/2)*CG88*CJ88*VLOOKUP('Données projet'!$B$12,Paramètres!$A$1:$I$89,3,0)*0.475*44/12</f>
        <v>1.2422330495193879E-8</v>
      </c>
      <c r="CN88" s="24">
        <f t="shared" si="66"/>
        <v>4.5076796829408234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-5.1431925385259088E-14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374.91250349988451</v>
      </c>
      <c r="CZ88" s="62">
        <f t="shared" si="96"/>
        <v>529.46825265662869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3.5615365762885651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3.5615365762885651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191</v>
      </c>
      <c r="DM88" s="13">
        <f>VLOOKUP(A88,'Données projet'!$A$165:$I$185,9,0)</f>
        <v>2.4</v>
      </c>
      <c r="DN88" s="13">
        <f t="array" ref="DN88">INDEX(DM:DM,MIN(IF(ISNUMBER(DM88:DM284),ROW(DM88:DM284),"")))</f>
        <v>2.4</v>
      </c>
      <c r="DO88" s="13">
        <f>IF('Données projet'!$A$166&gt;35,DO87+DN88-DW87,IF(A88&lt;'Données projet'!$A$166,$DL$205^A88,IF(A88='Données projet'!$A$166,'Données projet'!$B$166,DO87+DN88-DW87)))</f>
        <v>191.00000000000006</v>
      </c>
      <c r="DP88" s="18">
        <f>DO88*VLOOKUP('Données projet'!$B$14,Paramètres!$A$1:$I$89,3,0)*VLOOKUP('Données projet'!$B$14,Paramètres!$A$1:$I$89,5,0)</f>
        <v>166.85760000000008</v>
      </c>
      <c r="DQ88" s="14">
        <f t="shared" si="97"/>
        <v>42.385468111966098</v>
      </c>
      <c r="DR88" s="22">
        <f t="shared" si="70"/>
        <v>364.43167696167438</v>
      </c>
      <c r="DS88" s="62">
        <f t="shared" si="71"/>
        <v>640.78209475886524</v>
      </c>
      <c r="DT88" s="62">
        <f ca="1">AVERAGE(OFFSET($DS$3,0,0,'Données projet'!$E$14+1,1))-AVERAGE(OFFSET($H$3,0,0,'Données projet'!$E$14+1,1))</f>
        <v>289.18543665577761</v>
      </c>
      <c r="DU88" s="62">
        <f t="shared" si="98"/>
        <v>291.40065947222843</v>
      </c>
      <c r="DV88" s="16">
        <f>IF(ISNA(VLOOKUP(A88,'Données projet'!$A$165:$I$185,3,0)),0,VLOOKUP(A88,'Données projet'!$A$165:$I$185,3,0))</f>
        <v>14</v>
      </c>
      <c r="DW88" s="16">
        <f>IF(ISNA(VLOOKUP(A88,'Données projet'!$A$165:$I$185,4,0)),0,VLOOKUP(A88,'Données projet'!$A$165:$I$185,4,0))</f>
        <v>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2.4231373708748785</v>
      </c>
      <c r="EC88" s="23">
        <f>EXP(-LN(2)/2)*EC87+(1-EXP(-LN(2)/2))/(LN(2)/2)*DW88*DZ88*VLOOKUP('Données projet'!$B$14,Paramètres!$A$1:$I$89,3,0)*0.475*44/12</f>
        <v>5.5141767072408962E-8</v>
      </c>
      <c r="ED88" s="24">
        <f t="shared" si="72"/>
        <v>2.4231374260166456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326</v>
      </c>
      <c r="EH88" s="13">
        <f>VLOOKUP(A88,'Données projet'!$A$191:$I$211,9,0)</f>
        <v>6.8</v>
      </c>
      <c r="EI88" s="13">
        <f t="array" ref="EI88">INDEX(EH:EH,MIN(IF(ISNUMBER(EH88:EH284),ROW(EH88:EH284),"")))</f>
        <v>6.8</v>
      </c>
      <c r="EJ88" s="13">
        <f>IF('Données projet'!$A$192&gt;35,EJ87+EI88-ER87,IF(A88&lt;'Données projet'!$A$192,$EG$205^A88,IF(A88='Données projet'!$A$192,'Données projet'!$B$192,EJ87+EI88-ER87)))</f>
        <v>326.00000000000006</v>
      </c>
      <c r="EK88" s="18">
        <f>EJ88*VLOOKUP('Données projet'!$B$15,Paramètres!$A$1:$I$89,3,0)*VLOOKUP('Données projet'!$B$15,Paramètres!$A$1:$I$89,5,0)</f>
        <v>330.56400000000008</v>
      </c>
      <c r="EL88" s="14">
        <f t="shared" si="99"/>
        <v>77.547227137682853</v>
      </c>
      <c r="EM88" s="22">
        <f t="shared" si="73"/>
        <v>710.79372059813113</v>
      </c>
      <c r="EN88" s="62">
        <f t="shared" si="74"/>
        <v>987.14413839532199</v>
      </c>
      <c r="EO88" s="62">
        <f ca="1">AVERAGE(OFFSET($EN$3,0,0,'Données projet'!$E$15+1,1))-AVERAGE(OFFSET($H$3,0,0,'Données projet'!$E$15+1,1))</f>
        <v>514.72748286045442</v>
      </c>
      <c r="EP88" s="62">
        <f t="shared" si="100"/>
        <v>322.28702110656116</v>
      </c>
      <c r="EQ88" s="16">
        <f>IF(ISNA(VLOOKUP(A88,'Données projet'!$A$191:$I$211,3,0)),0,VLOOKUP(A88,'Données projet'!$A$191:$I$211,3,0))</f>
        <v>14</v>
      </c>
      <c r="ER88" s="16">
        <f>IF(ISNA(VLOOKUP(A88,'Données projet'!$A$191:$I$211,4,0)),0,VLOOKUP(A88,'Données projet'!$A$191:$I$211,4,0))</f>
        <v>28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2.2269533030009878</v>
      </c>
      <c r="EX88" s="23">
        <f>EXP(-LN(2)/2)*EX87+(1-EXP(-LN(2)/2))/(LN(2)/2)*ER88*EU88*VLOOKUP('Données projet'!$B$15,Paramètres!$A$1:$I$89,3,0)*0.475*44/12</f>
        <v>8.8030174273541082E-8</v>
      </c>
      <c r="EY88" s="24">
        <f t="shared" si="75"/>
        <v>2.2269533910311621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65.368295762870218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4.0999999999999996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15.033333333333331</v>
      </c>
      <c r="H89" s="70">
        <f t="shared" si="56"/>
        <v>196.53333333333333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70.794576398719499</v>
      </c>
      <c r="T89" s="62">
        <f t="shared" si="88"/>
        <v>328.91236364911629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5.0077605484722047E-10</v>
      </c>
      <c r="AC89" s="24">
        <f t="shared" si="57"/>
        <v>5.0077605484722047E-10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275.42112000000003</v>
      </c>
      <c r="AK89" s="14">
        <f t="shared" si="89"/>
        <v>65.998433293601067</v>
      </c>
      <c r="AL89" s="22">
        <f t="shared" si="58"/>
        <v>594.63905531968851</v>
      </c>
      <c r="AM89" s="62">
        <f t="shared" si="59"/>
        <v>871.28408873332023</v>
      </c>
      <c r="AN89" s="62">
        <f ca="1">AVERAGE(OFFSET($AM$3,0,0,'Données projet'!$E$10+1,1))-AVERAGE(OFFSET($H$3,0,0,'Données projet'!$E$10+1,1))</f>
        <v>466.75323833427217</v>
      </c>
      <c r="AO89" s="62">
        <f t="shared" si="90"/>
        <v>293.88550076209378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1.9327894549778826</v>
      </c>
      <c r="AW89" s="23">
        <f>EXP(-LN(2)/2)*AW88+(1-EXP(-LN(2)/2))/(LN(2)/2)*AQ89*AT89*VLOOKUP('Données projet'!$B$10,Paramètres!$A$1:$I$89,3,0)*0.475*44/12</f>
        <v>5.5543238835624075E-8</v>
      </c>
      <c r="AX89" s="23">
        <f t="shared" si="60"/>
        <v>1.9327895105211215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68.47741055388687</v>
      </c>
      <c r="BJ89" s="62">
        <f t="shared" si="92"/>
        <v>335.34467252166542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16.964333173888182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2.314484971097476E-9</v>
      </c>
      <c r="BS89" s="24">
        <f t="shared" si="63"/>
        <v>16.964333176202668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3.3992364478763198E-14</v>
      </c>
      <c r="CA89" s="14">
        <f t="shared" si="93"/>
        <v>5.790027782444094E-13</v>
      </c>
      <c r="CB89" s="22">
        <f t="shared" si="64"/>
        <v>1.0676332069095257E-12</v>
      </c>
      <c r="CC89" s="62">
        <f t="shared" si="65"/>
        <v>276.64503341363286</v>
      </c>
      <c r="CD89" s="62">
        <f ca="1">AVERAGE(OFFSET($CC$3,0,0,'Données projet'!$E$12+1,1))-AVERAGE(OFFSET($H$3,0,0,'Données projet'!$E$12+1,1))</f>
        <v>211.76609132110815</v>
      </c>
      <c r="CE89" s="62">
        <f t="shared" si="94"/>
        <v>363.07965692095752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3.2585719609045043</v>
      </c>
      <c r="CL89" s="23">
        <f>EXP(-LN(2)/25)*CL88+(1-EXP(-LN(2)/25))/(LN(2)/25)*Calculateur!CG89*Calculateur!CI89*VLOOKUP('Données projet'!$B$12,Paramètres!$A$1:$I$89,3,0)*0.475*44/12</f>
        <v>1.1515563698154254</v>
      </c>
      <c r="CM89" s="23">
        <f>EXP(-LN(2)/2)*CM88+(1-EXP(-LN(2)/2))/(LN(2)/2)*CG89*CJ89*VLOOKUP('Données projet'!$B$12,Paramètres!$A$1:$I$89,3,0)*0.475*44/12</f>
        <v>8.7839141312920343E-9</v>
      </c>
      <c r="CN89" s="24">
        <f t="shared" si="66"/>
        <v>4.410128339503844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-5.1431925385259088E-14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374.91250349988451</v>
      </c>
      <c r="CZ89" s="62">
        <f t="shared" si="96"/>
        <v>529.46825265662869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3.4916970163503587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3.4916970163503587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2</v>
      </c>
      <c r="DO89" s="13">
        <f>IF('Données projet'!$A$166&gt;35,DO88+DN89-DW88,IF(A89&lt;'Données projet'!$A$166,$DL$205^A89,IF(A89='Données projet'!$A$166,'Données projet'!$B$166,DO88+DN89-DW88)))</f>
        <v>185.00000000000006</v>
      </c>
      <c r="DP89" s="18">
        <f>DO89*VLOOKUP('Données projet'!$B$14,Paramètres!$A$1:$I$89,3,0)*VLOOKUP('Données projet'!$B$14,Paramètres!$A$1:$I$89,5,0)</f>
        <v>161.61600000000007</v>
      </c>
      <c r="DQ89" s="14">
        <f t="shared" si="97"/>
        <v>41.20679526204917</v>
      </c>
      <c r="DR89" s="22">
        <f t="shared" si="70"/>
        <v>353.24970174806907</v>
      </c>
      <c r="DS89" s="62">
        <f t="shared" si="71"/>
        <v>629.89473516170085</v>
      </c>
      <c r="DT89" s="62">
        <f ca="1">AVERAGE(OFFSET($DS$3,0,0,'Données projet'!$E$14+1,1))-AVERAGE(OFFSET($H$3,0,0,'Données projet'!$E$14+1,1))</f>
        <v>289.18543665577761</v>
      </c>
      <c r="DU89" s="62">
        <f t="shared" si="98"/>
        <v>291.40065947222843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2.3568765520410486</v>
      </c>
      <c r="EC89" s="23">
        <f>EXP(-LN(2)/2)*EC88+(1-EXP(-LN(2)/2))/(LN(2)/2)*DW89*DZ89*VLOOKUP('Données projet'!$B$14,Paramètres!$A$1:$I$89,3,0)*0.475*44/12</f>
        <v>3.8991117423509455E-8</v>
      </c>
      <c r="ED89" s="24">
        <f t="shared" si="72"/>
        <v>2.3568765910321661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6.4</v>
      </c>
      <c r="EJ89" s="13">
        <f>IF('Données projet'!$A$192&gt;35,EJ88+EI89-ER88,IF(A89&lt;'Données projet'!$A$192,$EG$205^A89,IF(A89='Données projet'!$A$192,'Données projet'!$B$192,EJ88+EI89-ER88)))</f>
        <v>304.40000000000003</v>
      </c>
      <c r="EK89" s="18">
        <f>EJ89*VLOOKUP('Données projet'!$B$15,Paramètres!$A$1:$I$89,3,0)*VLOOKUP('Données projet'!$B$15,Paramètres!$A$1:$I$89,5,0)</f>
        <v>308.66160000000008</v>
      </c>
      <c r="EL89" s="14">
        <f t="shared" si="99"/>
        <v>72.98924863505313</v>
      </c>
      <c r="EM89" s="22">
        <f t="shared" si="73"/>
        <v>664.70856137271755</v>
      </c>
      <c r="EN89" s="62">
        <f t="shared" si="74"/>
        <v>941.35359478634928</v>
      </c>
      <c r="EO89" s="62">
        <f ca="1">AVERAGE(OFFSET($EN$3,0,0,'Données projet'!$E$15+1,1))-AVERAGE(OFFSET($H$3,0,0,'Données projet'!$E$15+1,1))</f>
        <v>514.72748286045442</v>
      </c>
      <c r="EP89" s="62">
        <f t="shared" si="100"/>
        <v>322.28702110656116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2.1660571478200414</v>
      </c>
      <c r="EX89" s="23">
        <f>EXP(-LN(2)/2)*EX88+(1-EXP(-LN(2)/2))/(LN(2)/2)*ER89*EU89*VLOOKUP('Données projet'!$B$15,Paramètres!$A$1:$I$89,3,0)*0.475*44/12</f>
        <v>6.2246733177854458E-8</v>
      </c>
      <c r="EY89" s="24">
        <f t="shared" si="75"/>
        <v>2.1660572100667745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65.448645476445037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4.0999999999999996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15.033333333333331</v>
      </c>
      <c r="H90" s="70">
        <f t="shared" si="56"/>
        <v>196.53333333333333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70.794576398719499</v>
      </c>
      <c r="T90" s="62">
        <f t="shared" si="88"/>
        <v>328.91236364911629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3.5410214423831605E-10</v>
      </c>
      <c r="AC90" s="24">
        <f t="shared" si="57"/>
        <v>3.5410214423831605E-10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281.21184</v>
      </c>
      <c r="AK90" s="14">
        <f t="shared" si="89"/>
        <v>67.22304110496664</v>
      </c>
      <c r="AL90" s="22">
        <f t="shared" si="58"/>
        <v>606.85741792448357</v>
      </c>
      <c r="AM90" s="62">
        <f t="shared" si="59"/>
        <v>883.79195603227299</v>
      </c>
      <c r="AN90" s="62">
        <f ca="1">AVERAGE(OFFSET($AM$3,0,0,'Données projet'!$E$10+1,1))-AVERAGE(OFFSET($H$3,0,0,'Données projet'!$E$10+1,1))</f>
        <v>466.75323833427217</v>
      </c>
      <c r="AO90" s="62">
        <f t="shared" si="90"/>
        <v>293.88550076209378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1.8799372256905325</v>
      </c>
      <c r="AW90" s="23">
        <f>EXP(-LN(2)/2)*AW89+(1-EXP(-LN(2)/2))/(LN(2)/2)*AQ90*AT90*VLOOKUP('Données projet'!$B$10,Paramètres!$A$1:$I$89,3,0)*0.475*44/12</f>
        <v>3.9275000829733781E-8</v>
      </c>
      <c r="AX90" s="23">
        <f t="shared" si="60"/>
        <v>1.8799372649655333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68.47741055388687</v>
      </c>
      <c r="BJ90" s="62">
        <f t="shared" si="92"/>
        <v>335.34467252166542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16.631672947569768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1.6365880180173758E-9</v>
      </c>
      <c r="BS90" s="24">
        <f t="shared" si="63"/>
        <v>16.631672949206358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3.3992364478763198E-14</v>
      </c>
      <c r="CA90" s="14">
        <f t="shared" si="93"/>
        <v>5.790027782444094E-13</v>
      </c>
      <c r="CB90" s="22">
        <f t="shared" si="64"/>
        <v>1.0676332069095257E-12</v>
      </c>
      <c r="CC90" s="62">
        <f t="shared" si="65"/>
        <v>276.93453810779044</v>
      </c>
      <c r="CD90" s="62">
        <f ca="1">AVERAGE(OFFSET($CC$3,0,0,'Données projet'!$E$12+1,1))-AVERAGE(OFFSET($H$3,0,0,'Données projet'!$E$12+1,1))</f>
        <v>211.76609132110815</v>
      </c>
      <c r="CE90" s="62">
        <f t="shared" si="94"/>
        <v>363.07965692095752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3.1946733522838104</v>
      </c>
      <c r="CL90" s="23">
        <f>EXP(-LN(2)/25)*CL89+(1-EXP(-LN(2)/25))/(LN(2)/25)*Calculateur!CG90*Calculateur!CI90*VLOOKUP('Données projet'!$B$12,Paramètres!$A$1:$I$89,3,0)*0.475*44/12</f>
        <v>1.120067000325105</v>
      </c>
      <c r="CM90" s="23">
        <f>EXP(-LN(2)/2)*CM89+(1-EXP(-LN(2)/2))/(LN(2)/2)*CG90*CJ90*VLOOKUP('Données projet'!$B$12,Paramètres!$A$1:$I$89,3,0)*0.475*44/12</f>
        <v>6.2111652475969393E-9</v>
      </c>
      <c r="CN90" s="24">
        <f t="shared" si="66"/>
        <v>4.3147403588200799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-5.1431925385259088E-14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374.91250349988451</v>
      </c>
      <c r="CZ90" s="62">
        <f t="shared" si="96"/>
        <v>529.46825265662869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3.4232269675846152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3.4232269675846152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2</v>
      </c>
      <c r="DO90" s="13">
        <f>IF('Données projet'!$A$166&gt;35,DO89+DN90-DW89,IF(A90&lt;'Données projet'!$A$166,$DL$205^A90,IF(A90='Données projet'!$A$166,'Données projet'!$B$166,DO89+DN90-DW89)))</f>
        <v>187.00000000000006</v>
      </c>
      <c r="DP90" s="18">
        <f>DO90*VLOOKUP('Données projet'!$B$14,Paramètres!$A$1:$I$89,3,0)*VLOOKUP('Données projet'!$B$14,Paramètres!$A$1:$I$89,5,0)</f>
        <v>163.36320000000006</v>
      </c>
      <c r="DQ90" s="14">
        <f t="shared" si="97"/>
        <v>41.600173715581661</v>
      </c>
      <c r="DR90" s="22">
        <f t="shared" si="70"/>
        <v>356.97787588797149</v>
      </c>
      <c r="DS90" s="62">
        <f t="shared" si="71"/>
        <v>633.91241399576086</v>
      </c>
      <c r="DT90" s="62">
        <f ca="1">AVERAGE(OFFSET($DS$3,0,0,'Données projet'!$E$14+1,1))-AVERAGE(OFFSET($H$3,0,0,'Données projet'!$E$14+1,1))</f>
        <v>289.18543665577761</v>
      </c>
      <c r="DU90" s="62">
        <f t="shared" si="98"/>
        <v>291.40065947222843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2.2924276387827351</v>
      </c>
      <c r="EC90" s="23">
        <f>EXP(-LN(2)/2)*EC89+(1-EXP(-LN(2)/2))/(LN(2)/2)*DW90*DZ90*VLOOKUP('Données projet'!$B$14,Paramètres!$A$1:$I$89,3,0)*0.475*44/12</f>
        <v>2.7570883536204481E-8</v>
      </c>
      <c r="ED90" s="24">
        <f t="shared" si="72"/>
        <v>2.2924276663536185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6.4</v>
      </c>
      <c r="EJ90" s="13">
        <f>IF('Données projet'!$A$192&gt;35,EJ89+EI90-ER89,IF(A90&lt;'Données projet'!$A$192,$EG$205^A90,IF(A90='Données projet'!$A$192,'Données projet'!$B$192,EJ89+EI90-ER89)))</f>
        <v>310.8</v>
      </c>
      <c r="EK90" s="18">
        <f>EJ90*VLOOKUP('Données projet'!$B$15,Paramètres!$A$1:$I$89,3,0)*VLOOKUP('Données projet'!$B$15,Paramètres!$A$1:$I$89,5,0)</f>
        <v>315.15120000000002</v>
      </c>
      <c r="EL90" s="14">
        <f t="shared" si="99"/>
        <v>74.343571754005879</v>
      </c>
      <c r="EM90" s="22">
        <f t="shared" si="73"/>
        <v>678.37006080489357</v>
      </c>
      <c r="EN90" s="62">
        <f t="shared" si="74"/>
        <v>955.30459891268288</v>
      </c>
      <c r="EO90" s="62">
        <f ca="1">AVERAGE(OFFSET($EN$3,0,0,'Données projet'!$E$15+1,1))-AVERAGE(OFFSET($H$3,0,0,'Données projet'!$E$15+1,1))</f>
        <v>514.72748286045442</v>
      </c>
      <c r="EP90" s="62">
        <f t="shared" si="100"/>
        <v>322.28702110656116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2.1068262012049077</v>
      </c>
      <c r="EX90" s="23">
        <f>EXP(-LN(2)/2)*EX89+(1-EXP(-LN(2)/2))/(LN(2)/2)*ER90*EU90*VLOOKUP('Données projet'!$B$15,Paramètres!$A$1:$I$89,3,0)*0.475*44/12</f>
        <v>4.4015087136770541E-8</v>
      </c>
      <c r="EY90" s="24">
        <f t="shared" si="75"/>
        <v>2.1068262452199948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65.527601302124367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4.0999999999999996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15.033333333333331</v>
      </c>
      <c r="H91" s="70">
        <f t="shared" si="56"/>
        <v>196.53333333333333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70.794576398719499</v>
      </c>
      <c r="T91" s="62">
        <f t="shared" si="88"/>
        <v>328.91236364911629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2.5038802742361024E-10</v>
      </c>
      <c r="AC91" s="24">
        <f t="shared" si="57"/>
        <v>2.5038802742361024E-10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287.00255999999996</v>
      </c>
      <c r="AK91" s="14">
        <f t="shared" si="89"/>
        <v>68.444716936118553</v>
      </c>
      <c r="AL91" s="22">
        <f t="shared" si="58"/>
        <v>619.07067399707296</v>
      </c>
      <c r="AM91" s="62">
        <f t="shared" si="59"/>
        <v>896.28969453981176</v>
      </c>
      <c r="AN91" s="62">
        <f ca="1">AVERAGE(OFFSET($AM$3,0,0,'Données projet'!$E$10+1,1))-AVERAGE(OFFSET($H$3,0,0,'Données projet'!$E$10+1,1))</f>
        <v>466.75323833427217</v>
      </c>
      <c r="AO91" s="62">
        <f t="shared" si="90"/>
        <v>293.88550076209378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1.8285302433924229</v>
      </c>
      <c r="AW91" s="23">
        <f>EXP(-LN(2)/2)*AW90+(1-EXP(-LN(2)/2))/(LN(2)/2)*AQ91*AT91*VLOOKUP('Données projet'!$B$10,Paramètres!$A$1:$I$89,3,0)*0.475*44/12</f>
        <v>2.7771619417812037E-8</v>
      </c>
      <c r="AX91" s="23">
        <f t="shared" si="60"/>
        <v>1.8285302711640423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68.47741055388687</v>
      </c>
      <c r="BJ91" s="62">
        <f t="shared" si="92"/>
        <v>335.34467252166542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16.305535985386754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1.157242485548738E-9</v>
      </c>
      <c r="BS91" s="24">
        <f t="shared" si="63"/>
        <v>16.305535986543997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3.3992364478763198E-14</v>
      </c>
      <c r="CA91" s="14">
        <f t="shared" si="93"/>
        <v>5.790027782444094E-13</v>
      </c>
      <c r="CB91" s="22">
        <f t="shared" si="64"/>
        <v>1.0676332069095257E-12</v>
      </c>
      <c r="CC91" s="62">
        <f t="shared" si="65"/>
        <v>277.21902054273988</v>
      </c>
      <c r="CD91" s="62">
        <f ca="1">AVERAGE(OFFSET($CC$3,0,0,'Données projet'!$E$12+1,1))-AVERAGE(OFFSET($H$3,0,0,'Données projet'!$E$12+1,1))</f>
        <v>211.76609132110815</v>
      </c>
      <c r="CE91" s="62">
        <f t="shared" si="94"/>
        <v>363.07965692095752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3.1320277564038657</v>
      </c>
      <c r="CL91" s="23">
        <f>EXP(-LN(2)/25)*CL90+(1-EXP(-LN(2)/25))/(LN(2)/25)*Calculateur!CG91*Calculateur!CI91*VLOOKUP('Données projet'!$B$12,Paramètres!$A$1:$I$89,3,0)*0.475*44/12</f>
        <v>1.0894387092994513</v>
      </c>
      <c r="CM91" s="23">
        <f>EXP(-LN(2)/2)*CM90+(1-EXP(-LN(2)/2))/(LN(2)/2)*CG91*CJ91*VLOOKUP('Données projet'!$B$12,Paramètres!$A$1:$I$89,3,0)*0.475*44/12</f>
        <v>4.3919570656460172E-9</v>
      </c>
      <c r="CN91" s="24">
        <f t="shared" si="66"/>
        <v>4.2214664700952742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-5.1431925385259088E-14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374.91250349988451</v>
      </c>
      <c r="CZ91" s="62">
        <f t="shared" si="96"/>
        <v>529.46825265662869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3.3560995747125619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3.3560995747125619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2</v>
      </c>
      <c r="DO91" s="13">
        <f>IF('Données projet'!$A$166&gt;35,DO90+DN91-DW90,IF(A91&lt;'Données projet'!$A$166,$DL$205^A91,IF(A91='Données projet'!$A$166,'Données projet'!$B$166,DO90+DN91-DW90)))</f>
        <v>189.00000000000006</v>
      </c>
      <c r="DP91" s="18">
        <f>DO91*VLOOKUP('Données projet'!$B$14,Paramètres!$A$1:$I$89,3,0)*VLOOKUP('Données projet'!$B$14,Paramètres!$A$1:$I$89,5,0)</f>
        <v>165.11040000000008</v>
      </c>
      <c r="DQ91" s="14">
        <f t="shared" si="97"/>
        <v>41.993062739333482</v>
      </c>
      <c r="DR91" s="22">
        <f t="shared" si="70"/>
        <v>360.70519760433928</v>
      </c>
      <c r="DS91" s="62">
        <f t="shared" si="71"/>
        <v>637.92421814707814</v>
      </c>
      <c r="DT91" s="62">
        <f ca="1">AVERAGE(OFFSET($DS$3,0,0,'Données projet'!$E$14+1,1))-AVERAGE(OFFSET($H$3,0,0,'Données projet'!$E$14+1,1))</f>
        <v>289.18543665577761</v>
      </c>
      <c r="DU91" s="62">
        <f t="shared" si="98"/>
        <v>291.40065947222843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2.2297410844466912</v>
      </c>
      <c r="EC91" s="23">
        <f>EXP(-LN(2)/2)*EC90+(1-EXP(-LN(2)/2))/(LN(2)/2)*DW91*DZ91*VLOOKUP('Données projet'!$B$14,Paramètres!$A$1:$I$89,3,0)*0.475*44/12</f>
        <v>1.9495558711754727E-8</v>
      </c>
      <c r="ED91" s="24">
        <f t="shared" si="72"/>
        <v>2.2297411039422497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6.4</v>
      </c>
      <c r="EJ91" s="13">
        <f>IF('Données projet'!$A$192&gt;35,EJ90+EI91-ER90,IF(A91&lt;'Données projet'!$A$192,$EG$205^A91,IF(A91='Données projet'!$A$192,'Données projet'!$B$192,EJ90+EI91-ER90)))</f>
        <v>317.2</v>
      </c>
      <c r="EK91" s="18">
        <f>EJ91*VLOOKUP('Données projet'!$B$15,Paramètres!$A$1:$I$89,3,0)*VLOOKUP('Données projet'!$B$15,Paramètres!$A$1:$I$89,5,0)</f>
        <v>321.64080000000001</v>
      </c>
      <c r="EL91" s="14">
        <f t="shared" si="99"/>
        <v>75.694652325793228</v>
      </c>
      <c r="EM91" s="22">
        <f t="shared" si="73"/>
        <v>692.0259128007566</v>
      </c>
      <c r="EN91" s="62">
        <f t="shared" si="74"/>
        <v>969.2449333434954</v>
      </c>
      <c r="EO91" s="62">
        <f ca="1">AVERAGE(OFFSET($EN$3,0,0,'Données projet'!$E$15+1,1))-AVERAGE(OFFSET($H$3,0,0,'Données projet'!$E$15+1,1))</f>
        <v>514.72748286045442</v>
      </c>
      <c r="EP91" s="62">
        <f t="shared" si="100"/>
        <v>322.28702110656116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2.0492149279397847</v>
      </c>
      <c r="EX91" s="23">
        <f>EXP(-LN(2)/2)*EX90+(1-EXP(-LN(2)/2))/(LN(2)/2)*ER91*EU91*VLOOKUP('Données projet'!$B$15,Paramètres!$A$1:$I$89,3,0)*0.475*44/12</f>
        <v>3.1123366588927229E-8</v>
      </c>
      <c r="EY91" s="24">
        <f t="shared" si="75"/>
        <v>2.0492149590631512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65.605187420746944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4.0999999999999996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15.033333333333331</v>
      </c>
      <c r="H92" s="70">
        <f t="shared" si="56"/>
        <v>196.53333333333333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70.794576398719499</v>
      </c>
      <c r="T92" s="62">
        <f t="shared" si="88"/>
        <v>328.91236364911629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1.7705107211915803E-10</v>
      </c>
      <c r="AC92" s="24">
        <f t="shared" si="57"/>
        <v>1.7705107211915803E-10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292.79327999999992</v>
      </c>
      <c r="AK92" s="14">
        <f t="shared" si="89"/>
        <v>69.663526761731433</v>
      </c>
      <c r="AL92" s="22">
        <f t="shared" si="58"/>
        <v>631.27893844334869</v>
      </c>
      <c r="AM92" s="62">
        <f t="shared" si="59"/>
        <v>908.77750628679803</v>
      </c>
      <c r="AN92" s="62">
        <f ca="1">AVERAGE(OFFSET($AM$3,0,0,'Données projet'!$E$10+1,1))-AVERAGE(OFFSET($H$3,0,0,'Données projet'!$E$10+1,1))</f>
        <v>466.75323833427217</v>
      </c>
      <c r="AO92" s="62">
        <f t="shared" si="90"/>
        <v>293.88550076209378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1.7785289877286308</v>
      </c>
      <c r="AW92" s="23">
        <f>EXP(-LN(2)/2)*AW91+(1-EXP(-LN(2)/2))/(LN(2)/2)*AQ92*AT92*VLOOKUP('Données projet'!$B$10,Paramètres!$A$1:$I$89,3,0)*0.475*44/12</f>
        <v>1.963750041486689E-8</v>
      </c>
      <c r="AX92" s="23">
        <f t="shared" si="60"/>
        <v>1.7785290073661313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68.47741055388687</v>
      </c>
      <c r="BJ92" s="62">
        <f t="shared" si="92"/>
        <v>335.34467252166542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15.985794370108245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8.1829400900868788E-10</v>
      </c>
      <c r="BS92" s="24">
        <f t="shared" si="63"/>
        <v>15.98579437092654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3.3992364478763198E-14</v>
      </c>
      <c r="CA92" s="14">
        <f t="shared" si="93"/>
        <v>5.790027782444094E-13</v>
      </c>
      <c r="CB92" s="22">
        <f t="shared" si="64"/>
        <v>1.0676332069095257E-12</v>
      </c>
      <c r="CC92" s="62">
        <f t="shared" si="65"/>
        <v>277.49856784345042</v>
      </c>
      <c r="CD92" s="62">
        <f ca="1">AVERAGE(OFFSET($CC$3,0,0,'Données projet'!$E$12+1,1))-AVERAGE(OFFSET($H$3,0,0,'Données projet'!$E$12+1,1))</f>
        <v>211.76609132110815</v>
      </c>
      <c r="CE92" s="62">
        <f t="shared" si="94"/>
        <v>363.07965692095752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3.070610602449086</v>
      </c>
      <c r="CL92" s="23">
        <f>EXP(-LN(2)/25)*CL91+(1-EXP(-LN(2)/25))/(LN(2)/25)*Calculateur!CG92*Calculateur!CI92*VLOOKUP('Données projet'!$B$12,Paramètres!$A$1:$I$89,3,0)*0.475*44/12</f>
        <v>1.059647950502566</v>
      </c>
      <c r="CM92" s="23">
        <f>EXP(-LN(2)/2)*CM91+(1-EXP(-LN(2)/2))/(LN(2)/2)*CG92*CJ92*VLOOKUP('Données projet'!$B$12,Paramètres!$A$1:$I$89,3,0)*0.475*44/12</f>
        <v>3.1055826237984697E-9</v>
      </c>
      <c r="CN92" s="24">
        <f t="shared" si="66"/>
        <v>4.1302585560572345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-5.1431925385259088E-14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374.91250349988451</v>
      </c>
      <c r="CZ92" s="62">
        <f t="shared" si="96"/>
        <v>529.46825265662869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3.290288509071063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3.290288509071063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2</v>
      </c>
      <c r="DO92" s="13">
        <f>IF('Données projet'!$A$166&gt;35,DO91+DN92-DW91,IF(A92&lt;'Données projet'!$A$166,$DL$205^A92,IF(A92='Données projet'!$A$166,'Données projet'!$B$166,DO91+DN92-DW91)))</f>
        <v>191.00000000000006</v>
      </c>
      <c r="DP92" s="18">
        <f>DO92*VLOOKUP('Données projet'!$B$14,Paramètres!$A$1:$I$89,3,0)*VLOOKUP('Données projet'!$B$14,Paramètres!$A$1:$I$89,5,0)</f>
        <v>166.85760000000008</v>
      </c>
      <c r="DQ92" s="14">
        <f t="shared" si="97"/>
        <v>42.385468111966098</v>
      </c>
      <c r="DR92" s="22">
        <f t="shared" si="70"/>
        <v>364.43167696167438</v>
      </c>
      <c r="DS92" s="62">
        <f t="shared" si="71"/>
        <v>641.93024480512372</v>
      </c>
      <c r="DT92" s="62">
        <f ca="1">AVERAGE(OFFSET($DS$3,0,0,'Données projet'!$E$14+1,1))-AVERAGE(OFFSET($H$3,0,0,'Données projet'!$E$14+1,1))</f>
        <v>289.18543665577761</v>
      </c>
      <c r="DU92" s="62">
        <f t="shared" si="98"/>
        <v>291.40065947222843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2.1687686972355089</v>
      </c>
      <c r="EC92" s="23">
        <f>EXP(-LN(2)/2)*EC91+(1-EXP(-LN(2)/2))/(LN(2)/2)*DW92*DZ92*VLOOKUP('Données projet'!$B$14,Paramètres!$A$1:$I$89,3,0)*0.475*44/12</f>
        <v>1.3785441768102241E-8</v>
      </c>
      <c r="ED92" s="24">
        <f t="shared" si="72"/>
        <v>2.1687687110209506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6.4</v>
      </c>
      <c r="EJ92" s="13">
        <f>IF('Données projet'!$A$192&gt;35,EJ91+EI92-ER91,IF(A92&lt;'Données projet'!$A$192,$EG$205^A92,IF(A92='Données projet'!$A$192,'Données projet'!$B$192,EJ91+EI92-ER91)))</f>
        <v>323.59999999999997</v>
      </c>
      <c r="EK92" s="18">
        <f>EJ92*VLOOKUP('Données projet'!$B$15,Paramètres!$A$1:$I$89,3,0)*VLOOKUP('Données projet'!$B$15,Paramètres!$A$1:$I$89,5,0)</f>
        <v>328.13039999999995</v>
      </c>
      <c r="EL92" s="14">
        <f t="shared" si="99"/>
        <v>77.042563313388285</v>
      </c>
      <c r="EM92" s="22">
        <f t="shared" si="73"/>
        <v>705.67624443748446</v>
      </c>
      <c r="EN92" s="62">
        <f t="shared" si="74"/>
        <v>983.17481228093379</v>
      </c>
      <c r="EO92" s="62">
        <f ca="1">AVERAGE(OFFSET($EN$3,0,0,'Données projet'!$E$15+1,1))-AVERAGE(OFFSET($H$3,0,0,'Données projet'!$E$15+1,1))</f>
        <v>514.72748286045442</v>
      </c>
      <c r="EP92" s="62">
        <f t="shared" si="100"/>
        <v>322.28702110656116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1.9931790379717418</v>
      </c>
      <c r="EX92" s="23">
        <f>EXP(-LN(2)/2)*EX91+(1-EXP(-LN(2)/2))/(LN(2)/2)*ER92*EU92*VLOOKUP('Données projet'!$B$15,Paramètres!$A$1:$I$89,3,0)*0.475*44/12</f>
        <v>2.2007543568385271E-8</v>
      </c>
      <c r="EY92" s="24">
        <f t="shared" si="75"/>
        <v>1.9931790599792854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65.681427593668005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4.0999999999999996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15.033333333333331</v>
      </c>
      <c r="H93" s="70">
        <f t="shared" si="56"/>
        <v>196.53333333333333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70.794576398719499</v>
      </c>
      <c r="T93" s="62">
        <f t="shared" si="88"/>
        <v>328.91236364911629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1.2519401371180512E-10</v>
      </c>
      <c r="AC93" s="24">
        <f t="shared" si="57"/>
        <v>1.2519401371180512E-10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298.58399999999995</v>
      </c>
      <c r="AK93" s="14">
        <f t="shared" si="89"/>
        <v>70.879533797607607</v>
      </c>
      <c r="AL93" s="22">
        <f t="shared" si="58"/>
        <v>643.48232136416652</v>
      </c>
      <c r="AM93" s="62">
        <f t="shared" si="59"/>
        <v>921.25558698763325</v>
      </c>
      <c r="AN93" s="62">
        <f ca="1">AVERAGE(OFFSET($AM$3,0,0,'Données projet'!$E$10+1,1))-AVERAGE(OFFSET($H$3,0,0,'Données projet'!$E$10+1,1))</f>
        <v>466.75323833427217</v>
      </c>
      <c r="AO93" s="62">
        <f t="shared" si="90"/>
        <v>293.88550076209378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1.7298950190304168</v>
      </c>
      <c r="AW93" s="23">
        <f>EXP(-LN(2)/2)*AW92+(1-EXP(-LN(2)/2))/(LN(2)/2)*AQ93*AT93*VLOOKUP('Données projet'!$B$10,Paramètres!$A$1:$I$89,3,0)*0.475*44/12</f>
        <v>1.3885809708906019E-8</v>
      </c>
      <c r="AX93" s="23">
        <f t="shared" si="60"/>
        <v>1.7298950329162264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68.47741055388687</v>
      </c>
      <c r="BJ93" s="62">
        <f t="shared" si="92"/>
        <v>335.34467252166542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15.672322692882219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5.78621242774369E-10</v>
      </c>
      <c r="BS93" s="24">
        <f t="shared" si="63"/>
        <v>15.67232269346084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3.3992364478763198E-14</v>
      </c>
      <c r="CA93" s="14">
        <f t="shared" si="93"/>
        <v>5.790027782444094E-13</v>
      </c>
      <c r="CB93" s="22">
        <f t="shared" si="64"/>
        <v>1.0676332069095257E-12</v>
      </c>
      <c r="CC93" s="62">
        <f t="shared" si="65"/>
        <v>277.77326562346775</v>
      </c>
      <c r="CD93" s="62">
        <f ca="1">AVERAGE(OFFSET($CC$3,0,0,'Données projet'!$E$12+1,1))-AVERAGE(OFFSET($H$3,0,0,'Données projet'!$E$12+1,1))</f>
        <v>211.76609132110815</v>
      </c>
      <c r="CE93" s="62">
        <f t="shared" si="94"/>
        <v>363.07965692095752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3.0103978014225947</v>
      </c>
      <c r="CL93" s="23">
        <f>EXP(-LN(2)/25)*CL92+(1-EXP(-LN(2)/25))/(LN(2)/25)*Calculateur!CG93*Calculateur!CI93*VLOOKUP('Données projet'!$B$12,Paramètres!$A$1:$I$89,3,0)*0.475*44/12</f>
        <v>1.0306718215716095</v>
      </c>
      <c r="CM93" s="23">
        <f>EXP(-LN(2)/2)*CM92+(1-EXP(-LN(2)/2))/(LN(2)/2)*CG93*CJ93*VLOOKUP('Données projet'!$B$12,Paramètres!$A$1:$I$89,3,0)*0.475*44/12</f>
        <v>2.1959785328230086E-9</v>
      </c>
      <c r="CN93" s="24">
        <f t="shared" si="66"/>
        <v>4.0410696251901825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-5.1431925385259088E-14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374.91250349988451</v>
      </c>
      <c r="CZ93" s="62">
        <f t="shared" si="96"/>
        <v>529.46825265662869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3.2257679582860073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3.2257679582860073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193</v>
      </c>
      <c r="DM93" s="13">
        <f>VLOOKUP(A93,'Données projet'!$A$165:$I$185,9,0)</f>
        <v>2</v>
      </c>
      <c r="DN93" s="13">
        <f t="array" ref="DN93">INDEX(DM:DM,MIN(IF(ISNUMBER(DM93:DM289),ROW(DM93:DM289),"")))</f>
        <v>2</v>
      </c>
      <c r="DO93" s="13">
        <f>IF('Données projet'!$A$166&gt;35,DO92+DN93-DW92,IF(A93&lt;'Données projet'!$A$166,$DL$205^A93,IF(A93='Données projet'!$A$166,'Données projet'!$B$166,DO92+DN93-DW92)))</f>
        <v>193.00000000000006</v>
      </c>
      <c r="DP93" s="18">
        <f>DO93*VLOOKUP('Données projet'!$B$14,Paramètres!$A$1:$I$89,3,0)*VLOOKUP('Données projet'!$B$14,Paramètres!$A$1:$I$89,5,0)</f>
        <v>168.60480000000007</v>
      </c>
      <c r="DQ93" s="14">
        <f t="shared" si="97"/>
        <v>42.7773954841498</v>
      </c>
      <c r="DR93" s="22">
        <f t="shared" si="70"/>
        <v>368.15732380156101</v>
      </c>
      <c r="DS93" s="62">
        <f t="shared" si="71"/>
        <v>645.93058942502762</v>
      </c>
      <c r="DT93" s="62">
        <f ca="1">AVERAGE(OFFSET($DS$3,0,0,'Données projet'!$E$14+1,1))-AVERAGE(OFFSET($H$3,0,0,'Données projet'!$E$14+1,1))</f>
        <v>289.18543665577761</v>
      </c>
      <c r="DU93" s="62">
        <f t="shared" si="98"/>
        <v>291.40065947222843</v>
      </c>
      <c r="DV93" s="16">
        <f>IF(ISNA(VLOOKUP(A93,'Données projet'!$A$165:$I$185,3,0)),0,VLOOKUP(A93,'Données projet'!$A$165:$I$185,3,0))</f>
        <v>15</v>
      </c>
      <c r="DW93" s="16">
        <f>IF(ISNA(VLOOKUP(A93,'Données projet'!$A$165:$I$185,4,0)),0,VLOOKUP(A93,'Données projet'!$A$165:$I$185,4,0))</f>
        <v>193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2.109463603159015</v>
      </c>
      <c r="EC93" s="23">
        <f>EXP(-LN(2)/2)*EC92+(1-EXP(-LN(2)/2))/(LN(2)/2)*DW93*DZ93*VLOOKUP('Données projet'!$B$14,Paramètres!$A$1:$I$89,3,0)*0.475*44/12</f>
        <v>9.7477793558773637E-9</v>
      </c>
      <c r="ED93" s="24">
        <f t="shared" si="72"/>
        <v>2.1094636129067945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330</v>
      </c>
      <c r="EH93" s="13">
        <f>VLOOKUP(A93,'Données projet'!$A$191:$I$211,9,0)</f>
        <v>6.4</v>
      </c>
      <c r="EI93" s="13">
        <f t="array" ref="EI93">INDEX(EH:EH,MIN(IF(ISNUMBER(EH93:EH289),ROW(EH93:EH289),"")))</f>
        <v>6.4</v>
      </c>
      <c r="EJ93" s="13">
        <f>IF('Données projet'!$A$192&gt;35,EJ92+EI93-ER92,IF(A93&lt;'Données projet'!$A$192,$EG$205^A93,IF(A93='Données projet'!$A$192,'Données projet'!$B$192,EJ92+EI93-ER92)))</f>
        <v>329.99999999999994</v>
      </c>
      <c r="EK93" s="18">
        <f>EJ93*VLOOKUP('Données projet'!$B$15,Paramètres!$A$1:$I$89,3,0)*VLOOKUP('Données projet'!$B$15,Paramètres!$A$1:$I$89,5,0)</f>
        <v>334.61999999999995</v>
      </c>
      <c r="EL93" s="14">
        <f t="shared" si="99"/>
        <v>78.387374628661505</v>
      </c>
      <c r="EM93" s="22">
        <f t="shared" si="73"/>
        <v>719.32117747825203</v>
      </c>
      <c r="EN93" s="62">
        <f t="shared" si="74"/>
        <v>997.09444310171875</v>
      </c>
      <c r="EO93" s="62">
        <f ca="1">AVERAGE(OFFSET($EN$3,0,0,'Données projet'!$E$15+1,1))-AVERAGE(OFFSET($H$3,0,0,'Données projet'!$E$15+1,1))</f>
        <v>514.72748286045442</v>
      </c>
      <c r="EP93" s="62">
        <f t="shared" si="100"/>
        <v>322.28702110656116</v>
      </c>
      <c r="EQ93" s="16">
        <f>IF(ISNA(VLOOKUP(A93,'Données projet'!$A$191:$I$211,3,0)),0,VLOOKUP(A93,'Données projet'!$A$191:$I$211,3,0))</f>
        <v>15</v>
      </c>
      <c r="ER93" s="16">
        <f>IF(ISNA(VLOOKUP(A93,'Données projet'!$A$191:$I$211,4,0)),0,VLOOKUP(A93,'Données projet'!$A$191:$I$211,4,0))</f>
        <v>28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1.9386754523616743</v>
      </c>
      <c r="EX93" s="23">
        <f>EXP(-LN(2)/2)*EX92+(1-EXP(-LN(2)/2))/(LN(2)/2)*ER93*EU93*VLOOKUP('Données projet'!$B$15,Paramètres!$A$1:$I$89,3,0)*0.475*44/12</f>
        <v>1.5561683294463615E-8</v>
      </c>
      <c r="EY93" s="24">
        <f t="shared" si="75"/>
        <v>1.9386754679233575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65.756345170036369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4.0999999999999996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15.033333333333331</v>
      </c>
      <c r="H94" s="70">
        <f t="shared" si="56"/>
        <v>196.53333333333333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70.794576398719499</v>
      </c>
      <c r="T94" s="62">
        <f t="shared" si="88"/>
        <v>328.91236364911629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8.8525536059579013E-11</v>
      </c>
      <c r="AC94" s="24">
        <f t="shared" si="57"/>
        <v>8.8525536059579013E-11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278.67839999999995</v>
      </c>
      <c r="AK94" s="14">
        <f t="shared" si="89"/>
        <v>66.687639951856809</v>
      </c>
      <c r="AL94" s="22">
        <f t="shared" si="58"/>
        <v>601.51251958281716</v>
      </c>
      <c r="AM94" s="62">
        <f t="shared" si="59"/>
        <v>879.55571759395013</v>
      </c>
      <c r="AN94" s="62">
        <f ca="1">AVERAGE(OFFSET($AM$3,0,0,'Données projet'!$E$10+1,1))-AVERAGE(OFFSET($H$3,0,0,'Données projet'!$E$10+1,1))</f>
        <v>466.75323833427217</v>
      </c>
      <c r="AO94" s="62">
        <f t="shared" si="90"/>
        <v>293.88550076209378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1.6825909487638047</v>
      </c>
      <c r="AW94" s="23">
        <f>EXP(-LN(2)/2)*AW93+(1-EXP(-LN(2)/2))/(LN(2)/2)*AQ94*AT94*VLOOKUP('Données projet'!$B$10,Paramètres!$A$1:$I$89,3,0)*0.475*44/12</f>
        <v>9.8187502074334452E-9</v>
      </c>
      <c r="AX94" s="23">
        <f t="shared" si="60"/>
        <v>1.6825909585825549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68.47741055388687</v>
      </c>
      <c r="BJ94" s="62">
        <f t="shared" si="92"/>
        <v>335.34467252166542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15.364998004047751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4.0914700450434394E-10</v>
      </c>
      <c r="BS94" s="24">
        <f t="shared" si="63"/>
        <v>15.364998004456897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3.3992364478763198E-14</v>
      </c>
      <c r="CA94" s="14">
        <f t="shared" si="93"/>
        <v>5.790027782444094E-13</v>
      </c>
      <c r="CB94" s="22">
        <f t="shared" si="64"/>
        <v>1.0676332069095257E-12</v>
      </c>
      <c r="CC94" s="62">
        <f t="shared" si="65"/>
        <v>278.04319801113405</v>
      </c>
      <c r="CD94" s="62">
        <f ca="1">AVERAGE(OFFSET($CC$3,0,0,'Données projet'!$E$12+1,1))-AVERAGE(OFFSET($H$3,0,0,'Données projet'!$E$12+1,1))</f>
        <v>211.76609132110815</v>
      </c>
      <c r="CE94" s="62">
        <f t="shared" si="94"/>
        <v>363.07965692095752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2.9513657366980506</v>
      </c>
      <c r="CL94" s="23">
        <f>EXP(-LN(2)/25)*CL93+(1-EXP(-LN(2)/25))/(LN(2)/25)*Calculateur!CG94*Calculateur!CI94*VLOOKUP('Données projet'!$B$12,Paramètres!$A$1:$I$89,3,0)*0.475*44/12</f>
        <v>1.0024880464100585</v>
      </c>
      <c r="CM94" s="23">
        <f>EXP(-LN(2)/2)*CM93+(1-EXP(-LN(2)/2))/(LN(2)/2)*CG94*CJ94*VLOOKUP('Données projet'!$B$12,Paramètres!$A$1:$I$89,3,0)*0.475*44/12</f>
        <v>1.5527913118992348E-9</v>
      </c>
      <c r="CN94" s="24">
        <f t="shared" si="66"/>
        <v>3.9538537846609003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-5.1431925385259088E-14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374.91250349988451</v>
      </c>
      <c r="CZ94" s="62">
        <f t="shared" si="96"/>
        <v>529.46825265662869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3.1625126161481965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3.1625126161481965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5.6843418860808015E-14</v>
      </c>
      <c r="DP94" s="18">
        <f>DO94*VLOOKUP('Données projet'!$B$14,Paramètres!$A$1:$I$89,3,0)*VLOOKUP('Données projet'!$B$14,Paramètres!$A$1:$I$89,5,0)</f>
        <v>4.9658410716801891E-14</v>
      </c>
      <c r="DQ94" s="14">
        <f t="shared" si="97"/>
        <v>8.0934058173791862E-13</v>
      </c>
      <c r="DR94" s="22">
        <f t="shared" si="70"/>
        <v>1.4960899118586383E-12</v>
      </c>
      <c r="DS94" s="62">
        <f t="shared" si="71"/>
        <v>278.04319801113445</v>
      </c>
      <c r="DT94" s="62">
        <f ca="1">AVERAGE(OFFSET($DS$3,0,0,'Données projet'!$E$14+1,1))-AVERAGE(OFFSET($H$3,0,0,'Données projet'!$E$14+1,1))</f>
        <v>289.18543665577761</v>
      </c>
      <c r="DU94" s="62">
        <f t="shared" si="98"/>
        <v>291.40065947222843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2.0517802099987623</v>
      </c>
      <c r="EC94" s="23">
        <f>EXP(-LN(2)/2)*EC93+(1-EXP(-LN(2)/2))/(LN(2)/2)*DW94*DZ94*VLOOKUP('Données projet'!$B$14,Paramètres!$A$1:$I$89,3,0)*0.475*44/12</f>
        <v>6.8927208840511203E-9</v>
      </c>
      <c r="ED94" s="24">
        <f t="shared" si="72"/>
        <v>2.0517802168914834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6</v>
      </c>
      <c r="EJ94" s="13">
        <f>IF('Données projet'!$A$192&gt;35,EJ93+EI94-ER93,IF(A94&lt;'Données projet'!$A$192,$EG$205^A94,IF(A94='Données projet'!$A$192,'Données projet'!$B$192,EJ93+EI94-ER93)))</f>
        <v>307.99999999999994</v>
      </c>
      <c r="EK94" s="18">
        <f>EJ94*VLOOKUP('Données projet'!$B$15,Paramètres!$A$1:$I$89,3,0)*VLOOKUP('Données projet'!$B$15,Paramètres!$A$1:$I$89,5,0)</f>
        <v>312.31199999999995</v>
      </c>
      <c r="EL94" s="14">
        <f t="shared" si="99"/>
        <v>73.751458791112015</v>
      </c>
      <c r="EM94" s="22">
        <f t="shared" si="73"/>
        <v>672.39385739452007</v>
      </c>
      <c r="EN94" s="62">
        <f t="shared" si="74"/>
        <v>950.43705540565304</v>
      </c>
      <c r="EO94" s="62">
        <f ca="1">AVERAGE(OFFSET($EN$3,0,0,'Données projet'!$E$15+1,1))-AVERAGE(OFFSET($H$3,0,0,'Données projet'!$E$15+1,1))</f>
        <v>514.72748286045442</v>
      </c>
      <c r="EP94" s="62">
        <f t="shared" si="100"/>
        <v>322.28702110656116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1.8856622701663333</v>
      </c>
      <c r="EX94" s="23">
        <f>EXP(-LN(2)/2)*EX93+(1-EXP(-LN(2)/2))/(LN(2)/2)*ER94*EU94*VLOOKUP('Données projet'!$B$15,Paramètres!$A$1:$I$89,3,0)*0.475*44/12</f>
        <v>1.1003771784192635E-8</v>
      </c>
      <c r="EY94" s="24">
        <f t="shared" si="75"/>
        <v>1.8856622811701051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65.829963093945352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4.0999999999999996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15.033333333333331</v>
      </c>
      <c r="H95" s="70">
        <f t="shared" si="56"/>
        <v>196.53333333333333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70.794576398719499</v>
      </c>
      <c r="T95" s="62">
        <f t="shared" si="88"/>
        <v>328.91236364911629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6.2597006855902559E-11</v>
      </c>
      <c r="AC95" s="24">
        <f t="shared" si="57"/>
        <v>6.2597006855902559E-11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284.10719999999992</v>
      </c>
      <c r="AK95" s="14">
        <f t="shared" si="89"/>
        <v>67.834241327943715</v>
      </c>
      <c r="AL95" s="22">
        <f t="shared" si="58"/>
        <v>612.96467697950186</v>
      </c>
      <c r="AM95" s="62">
        <f t="shared" si="59"/>
        <v>891.27312465485352</v>
      </c>
      <c r="AN95" s="62">
        <f ca="1">AVERAGE(OFFSET($AM$3,0,0,'Données projet'!$E$10+1,1))-AVERAGE(OFFSET($H$3,0,0,'Données projet'!$E$10+1,1))</f>
        <v>466.75323833427217</v>
      </c>
      <c r="AO95" s="62">
        <f t="shared" si="90"/>
        <v>293.88550076209378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1.6365804107862461</v>
      </c>
      <c r="AW95" s="23">
        <f>EXP(-LN(2)/2)*AW94+(1-EXP(-LN(2)/2))/(LN(2)/2)*AQ95*AT95*VLOOKUP('Données projet'!$B$10,Paramètres!$A$1:$I$89,3,0)*0.475*44/12</f>
        <v>6.9429048544530093E-9</v>
      </c>
      <c r="AX95" s="23">
        <f t="shared" si="60"/>
        <v>1.636580417729151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68.47741055388687</v>
      </c>
      <c r="BJ95" s="62">
        <f t="shared" si="92"/>
        <v>335.34467252166542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15.063699764911776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2.893106213871845E-10</v>
      </c>
      <c r="BS95" s="24">
        <f t="shared" si="63"/>
        <v>15.063699765201086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3.3992364478763198E-14</v>
      </c>
      <c r="CA95" s="14">
        <f t="shared" si="93"/>
        <v>5.790027782444094E-13</v>
      </c>
      <c r="CB95" s="22">
        <f t="shared" si="64"/>
        <v>1.0676332069095257E-12</v>
      </c>
      <c r="CC95" s="62">
        <f t="shared" si="65"/>
        <v>278.30844767535268</v>
      </c>
      <c r="CD95" s="62">
        <f ca="1">AVERAGE(OFFSET($CC$3,0,0,'Données projet'!$E$12+1,1))-AVERAGE(OFFSET($H$3,0,0,'Données projet'!$E$12+1,1))</f>
        <v>211.76609132110815</v>
      </c>
      <c r="CE95" s="62">
        <f t="shared" si="94"/>
        <v>363.07965692095752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2.8934912547567504</v>
      </c>
      <c r="CL95" s="23">
        <f>EXP(-LN(2)/25)*CL94+(1-EXP(-LN(2)/25))/(LN(2)/25)*Calculateur!CG95*Calculateur!CI95*VLOOKUP('Données projet'!$B$12,Paramètres!$A$1:$I$89,3,0)*0.475*44/12</f>
        <v>0.97507495806242028</v>
      </c>
      <c r="CM95" s="23">
        <f>EXP(-LN(2)/2)*CM94+(1-EXP(-LN(2)/2))/(LN(2)/2)*CG95*CJ95*VLOOKUP('Données projet'!$B$12,Paramètres!$A$1:$I$89,3,0)*0.475*44/12</f>
        <v>1.0979892664115043E-9</v>
      </c>
      <c r="CN95" s="24">
        <f t="shared" si="66"/>
        <v>3.8685662139171599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-5.1431925385259088E-14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374.91250349988451</v>
      </c>
      <c r="CZ95" s="62">
        <f t="shared" si="96"/>
        <v>529.46825265662869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3.1004976726877591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3.1004976726877591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5.6843418860808015E-14</v>
      </c>
      <c r="DP95" s="18">
        <f>DO95*VLOOKUP('Données projet'!$B$14,Paramètres!$A$1:$I$89,3,0)*VLOOKUP('Données projet'!$B$14,Paramètres!$A$1:$I$89,5,0)</f>
        <v>4.9658410716801891E-14</v>
      </c>
      <c r="DQ95" s="14">
        <f t="shared" si="97"/>
        <v>8.0934058173791862E-13</v>
      </c>
      <c r="DR95" s="22">
        <f t="shared" si="70"/>
        <v>1.4960899118586383E-12</v>
      </c>
      <c r="DS95" s="62">
        <f t="shared" si="71"/>
        <v>278.30844767535308</v>
      </c>
      <c r="DT95" s="62">
        <f ca="1">AVERAGE(OFFSET($DS$3,0,0,'Données projet'!$E$14+1,1))-AVERAGE(OFFSET($H$3,0,0,'Données projet'!$E$14+1,1))</f>
        <v>289.18543665577761</v>
      </c>
      <c r="DU95" s="62">
        <f t="shared" si="98"/>
        <v>291.40065947222843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1.9956741722579143</v>
      </c>
      <c r="EC95" s="23">
        <f>EXP(-LN(2)/2)*EC94+(1-EXP(-LN(2)/2))/(LN(2)/2)*DW95*DZ95*VLOOKUP('Données projet'!$B$14,Paramètres!$A$1:$I$89,3,0)*0.475*44/12</f>
        <v>4.8738896779386819E-9</v>
      </c>
      <c r="ED95" s="24">
        <f t="shared" si="72"/>
        <v>1.9956741771318041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6</v>
      </c>
      <c r="EJ95" s="13">
        <f>IF('Données projet'!$A$192&gt;35,EJ94+EI95-ER94,IF(A95&lt;'Données projet'!$A$192,$EG$205^A95,IF(A95='Données projet'!$A$192,'Données projet'!$B$192,EJ94+EI95-ER94)))</f>
        <v>313.99999999999994</v>
      </c>
      <c r="EK95" s="18">
        <f>EJ95*VLOOKUP('Données projet'!$B$15,Paramètres!$A$1:$I$89,3,0)*VLOOKUP('Données projet'!$B$15,Paramètres!$A$1:$I$89,5,0)</f>
        <v>318.39599999999996</v>
      </c>
      <c r="EL95" s="14">
        <f t="shared" si="99"/>
        <v>75.019512724334945</v>
      </c>
      <c r="EM95" s="22">
        <f t="shared" si="73"/>
        <v>685.19868466154992</v>
      </c>
      <c r="EN95" s="62">
        <f t="shared" si="74"/>
        <v>963.50713233690158</v>
      </c>
      <c r="EO95" s="62">
        <f ca="1">AVERAGE(OFFSET($EN$3,0,0,'Données projet'!$E$15+1,1))-AVERAGE(OFFSET($H$3,0,0,'Données projet'!$E$15+1,1))</f>
        <v>514.72748286045442</v>
      </c>
      <c r="EP95" s="62">
        <f t="shared" si="100"/>
        <v>322.28702110656116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1.8340987362259658</v>
      </c>
      <c r="EX95" s="23">
        <f>EXP(-LN(2)/2)*EX94+(1-EXP(-LN(2)/2))/(LN(2)/2)*ER95*EU95*VLOOKUP('Données projet'!$B$15,Paramètres!$A$1:$I$89,3,0)*0.475*44/12</f>
        <v>7.7808416472318073E-9</v>
      </c>
      <c r="EY95" s="24">
        <f t="shared" si="75"/>
        <v>1.8340987440068075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65.902303911459526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4.0999999999999996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15.033333333333331</v>
      </c>
      <c r="H96" s="70">
        <f t="shared" si="56"/>
        <v>196.53333333333333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70.794576398719499</v>
      </c>
      <c r="T96" s="62">
        <f t="shared" si="88"/>
        <v>328.91236364911629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4.4262768029789507E-11</v>
      </c>
      <c r="AC96" s="24">
        <f t="shared" si="57"/>
        <v>4.4262768029789507E-11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289.53599999999994</v>
      </c>
      <c r="AK96" s="14">
        <f t="shared" si="89"/>
        <v>68.97829509904436</v>
      </c>
      <c r="AL96" s="22">
        <f t="shared" si="58"/>
        <v>624.41239729750214</v>
      </c>
      <c r="AM96" s="62">
        <f t="shared" si="59"/>
        <v>902.98149314840759</v>
      </c>
      <c r="AN96" s="62">
        <f ca="1">AVERAGE(OFFSET($AM$3,0,0,'Données projet'!$E$10+1,1))-AVERAGE(OFFSET($H$3,0,0,'Données projet'!$E$10+1,1))</f>
        <v>466.75323833427217</v>
      </c>
      <c r="AO96" s="62">
        <f t="shared" si="90"/>
        <v>293.88550076209378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1.5918280333892727</v>
      </c>
      <c r="AW96" s="23">
        <f>EXP(-LN(2)/2)*AW95+(1-EXP(-LN(2)/2))/(LN(2)/2)*AQ96*AT96*VLOOKUP('Données projet'!$B$10,Paramètres!$A$1:$I$89,3,0)*0.475*44/12</f>
        <v>4.9093751037167226E-9</v>
      </c>
      <c r="AX96" s="23">
        <f t="shared" si="60"/>
        <v>1.5918280382986478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68.47741055388687</v>
      </c>
      <c r="BJ96" s="62">
        <f t="shared" si="92"/>
        <v>335.34467252166542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14.768309800471478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2.0457350225217197E-10</v>
      </c>
      <c r="BS96" s="24">
        <f t="shared" si="63"/>
        <v>14.768309800676052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3.3992364478763198E-14</v>
      </c>
      <c r="CA96" s="14">
        <f t="shared" si="93"/>
        <v>5.790027782444094E-13</v>
      </c>
      <c r="CB96" s="22">
        <f t="shared" si="64"/>
        <v>1.0676332069095257E-12</v>
      </c>
      <c r="CC96" s="62">
        <f t="shared" si="65"/>
        <v>278.56909585090654</v>
      </c>
      <c r="CD96" s="62">
        <f ca="1">AVERAGE(OFFSET($CC$3,0,0,'Données projet'!$E$12+1,1))-AVERAGE(OFFSET($H$3,0,0,'Données projet'!$E$12+1,1))</f>
        <v>211.76609132110815</v>
      </c>
      <c r="CE96" s="62">
        <f t="shared" si="94"/>
        <v>363.07965692095752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2.836751656106371</v>
      </c>
      <c r="CL96" s="23">
        <f>EXP(-LN(2)/25)*CL95+(1-EXP(-LN(2)/25))/(LN(2)/25)*Calculateur!CG96*Calculateur!CI96*VLOOKUP('Données projet'!$B$12,Paramètres!$A$1:$I$89,3,0)*0.475*44/12</f>
        <v>0.94841148205723991</v>
      </c>
      <c r="CM96" s="23">
        <f>EXP(-LN(2)/2)*CM95+(1-EXP(-LN(2)/2))/(LN(2)/2)*CG96*CJ96*VLOOKUP('Données projet'!$B$12,Paramètres!$A$1:$I$89,3,0)*0.475*44/12</f>
        <v>7.7639565594961741E-10</v>
      </c>
      <c r="CN96" s="24">
        <f t="shared" si="66"/>
        <v>3.7851631389400069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-5.1431925385259088E-14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374.91250349988451</v>
      </c>
      <c r="CZ96" s="62">
        <f t="shared" si="96"/>
        <v>529.46825265662869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3.0396988044432001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3.0396988044432001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5.6843418860808015E-14</v>
      </c>
      <c r="DP96" s="18">
        <f>DO96*VLOOKUP('Données projet'!$B$14,Paramètres!$A$1:$I$89,3,0)*VLOOKUP('Données projet'!$B$14,Paramètres!$A$1:$I$89,5,0)</f>
        <v>4.9658410716801891E-14</v>
      </c>
      <c r="DQ96" s="14">
        <f t="shared" si="97"/>
        <v>8.0934058173791862E-13</v>
      </c>
      <c r="DR96" s="22">
        <f t="shared" si="70"/>
        <v>1.4960899118586383E-12</v>
      </c>
      <c r="DS96" s="62">
        <f t="shared" si="71"/>
        <v>278.56909585090693</v>
      </c>
      <c r="DT96" s="62">
        <f ca="1">AVERAGE(OFFSET($DS$3,0,0,'Données projet'!$E$14+1,1))-AVERAGE(OFFSET($H$3,0,0,'Données projet'!$E$14+1,1))</f>
        <v>289.18543665577761</v>
      </c>
      <c r="DU96" s="62">
        <f t="shared" si="98"/>
        <v>291.40065947222843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1.941102357069578</v>
      </c>
      <c r="EC96" s="23">
        <f>EXP(-LN(2)/2)*EC95+(1-EXP(-LN(2)/2))/(LN(2)/2)*DW96*DZ96*VLOOKUP('Données projet'!$B$14,Paramètres!$A$1:$I$89,3,0)*0.475*44/12</f>
        <v>3.4463604420255602E-9</v>
      </c>
      <c r="ED96" s="24">
        <f t="shared" si="72"/>
        <v>1.9411023605159385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6</v>
      </c>
      <c r="EJ96" s="13">
        <f>IF('Données projet'!$A$192&gt;35,EJ95+EI96-ER95,IF(A96&lt;'Données projet'!$A$192,$EG$205^A96,IF(A96='Données projet'!$A$192,'Données projet'!$B$192,EJ95+EI96-ER95)))</f>
        <v>319.99999999999994</v>
      </c>
      <c r="EK96" s="18">
        <f>EJ96*VLOOKUP('Données projet'!$B$15,Paramètres!$A$1:$I$89,3,0)*VLOOKUP('Données projet'!$B$15,Paramètres!$A$1:$I$89,5,0)</f>
        <v>324.47999999999996</v>
      </c>
      <c r="EL96" s="14">
        <f t="shared" si="99"/>
        <v>76.284749200165507</v>
      </c>
      <c r="EM96" s="22">
        <f t="shared" si="73"/>
        <v>697.99860485695478</v>
      </c>
      <c r="EN96" s="62">
        <f t="shared" si="74"/>
        <v>976.56770070786024</v>
      </c>
      <c r="EO96" s="62">
        <f ca="1">AVERAGE(OFFSET($EN$3,0,0,'Données projet'!$E$15+1,1))-AVERAGE(OFFSET($H$3,0,0,'Données projet'!$E$15+1,1))</f>
        <v>514.72748286045442</v>
      </c>
      <c r="EP96" s="62">
        <f t="shared" si="100"/>
        <v>322.28702110656116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1.7839452098328061</v>
      </c>
      <c r="EX96" s="23">
        <f>EXP(-LN(2)/2)*EX95+(1-EXP(-LN(2)/2))/(LN(2)/2)*ER96*EU96*VLOOKUP('Données projet'!$B$15,Paramètres!$A$1:$I$89,3,0)*0.475*44/12</f>
        <v>5.5018858920963176E-9</v>
      </c>
      <c r="EY96" s="24">
        <f t="shared" si="75"/>
        <v>1.783945215334692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65.973389777519671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4.0999999999999996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15.033333333333331</v>
      </c>
      <c r="H97" s="70">
        <f t="shared" si="56"/>
        <v>196.53333333333333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70.794576398719499</v>
      </c>
      <c r="T97" s="62">
        <f t="shared" si="88"/>
        <v>328.91236364911629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3.1298503427951279E-11</v>
      </c>
      <c r="AC97" s="24">
        <f t="shared" si="57"/>
        <v>3.1298503427951279E-11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294.96479999999997</v>
      </c>
      <c r="AK97" s="14">
        <f t="shared" si="89"/>
        <v>70.119854541045001</v>
      </c>
      <c r="AL97" s="22">
        <f t="shared" si="58"/>
        <v>635.85577332565333</v>
      </c>
      <c r="AM97" s="62">
        <f t="shared" si="59"/>
        <v>914.68099568898879</v>
      </c>
      <c r="AN97" s="62">
        <f ca="1">AVERAGE(OFFSET($AM$3,0,0,'Données projet'!$E$10+1,1))-AVERAGE(OFFSET($H$3,0,0,'Données projet'!$E$10+1,1))</f>
        <v>466.75323833427217</v>
      </c>
      <c r="AO97" s="62">
        <f t="shared" si="90"/>
        <v>293.88550076209378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1.548299412105645</v>
      </c>
      <c r="AW97" s="23">
        <f>EXP(-LN(2)/2)*AW96+(1-EXP(-LN(2)/2))/(LN(2)/2)*AQ97*AT97*VLOOKUP('Données projet'!$B$10,Paramètres!$A$1:$I$89,3,0)*0.475*44/12</f>
        <v>3.4714524272265047E-9</v>
      </c>
      <c r="AX97" s="23">
        <f t="shared" si="60"/>
        <v>1.5482994155770975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68.47741055388687</v>
      </c>
      <c r="BJ97" s="62">
        <f t="shared" si="92"/>
        <v>335.34467252166542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14.478712253063765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1.4465531069359225E-10</v>
      </c>
      <c r="BS97" s="24">
        <f t="shared" si="63"/>
        <v>14.478712253208421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3.3992364478763198E-14</v>
      </c>
      <c r="CA97" s="14">
        <f t="shared" si="93"/>
        <v>5.790027782444094E-13</v>
      </c>
      <c r="CB97" s="22">
        <f t="shared" si="64"/>
        <v>1.0676332069095257E-12</v>
      </c>
      <c r="CC97" s="62">
        <f t="shared" si="65"/>
        <v>278.82522236333659</v>
      </c>
      <c r="CD97" s="62">
        <f ca="1">AVERAGE(OFFSET($CC$3,0,0,'Données projet'!$E$12+1,1))-AVERAGE(OFFSET($H$3,0,0,'Données projet'!$E$12+1,1))</f>
        <v>211.76609132110815</v>
      </c>
      <c r="CE97" s="62">
        <f t="shared" si="94"/>
        <v>363.07965692095752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2.7811246863777876</v>
      </c>
      <c r="CL97" s="23">
        <f>EXP(-LN(2)/25)*CL96+(1-EXP(-LN(2)/25))/(LN(2)/25)*Calculateur!CG97*Calculateur!CI97*VLOOKUP('Données projet'!$B$12,Paramètres!$A$1:$I$89,3,0)*0.475*44/12</f>
        <v>0.92247712020559247</v>
      </c>
      <c r="CM97" s="23">
        <f>EXP(-LN(2)/2)*CM96+(1-EXP(-LN(2)/2))/(LN(2)/2)*CG97*CJ97*VLOOKUP('Données projet'!$B$12,Paramètres!$A$1:$I$89,3,0)*0.475*44/12</f>
        <v>5.4899463320575214E-10</v>
      </c>
      <c r="CN97" s="24">
        <f t="shared" si="66"/>
        <v>3.7036018071323746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-5.1431925385259088E-14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374.91250349988451</v>
      </c>
      <c r="CZ97" s="62">
        <f t="shared" si="96"/>
        <v>529.46825265662869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2.980092164921269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2.980092164921269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5.6843418860808015E-14</v>
      </c>
      <c r="DP97" s="18">
        <f>DO97*VLOOKUP('Données projet'!$B$14,Paramètres!$A$1:$I$89,3,0)*VLOOKUP('Données projet'!$B$14,Paramètres!$A$1:$I$89,5,0)</f>
        <v>4.9658410716801891E-14</v>
      </c>
      <c r="DQ97" s="14">
        <f t="shared" si="97"/>
        <v>8.0934058173791862E-13</v>
      </c>
      <c r="DR97" s="22">
        <f t="shared" si="70"/>
        <v>1.4960899118586383E-12</v>
      </c>
      <c r="DS97" s="62">
        <f t="shared" si="71"/>
        <v>278.82522236333699</v>
      </c>
      <c r="DT97" s="62">
        <f ca="1">AVERAGE(OFFSET($DS$3,0,0,'Données projet'!$E$14+1,1))-AVERAGE(OFFSET($H$3,0,0,'Données projet'!$E$14+1,1))</f>
        <v>289.18543665577761</v>
      </c>
      <c r="DU97" s="62">
        <f t="shared" si="98"/>
        <v>291.40065947222843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1.8880228110373738</v>
      </c>
      <c r="EC97" s="23">
        <f>EXP(-LN(2)/2)*EC96+(1-EXP(-LN(2)/2))/(LN(2)/2)*DW97*DZ97*VLOOKUP('Données projet'!$B$14,Paramètres!$A$1:$I$89,3,0)*0.475*44/12</f>
        <v>2.4369448389693409E-9</v>
      </c>
      <c r="ED97" s="24">
        <f t="shared" si="72"/>
        <v>1.8880228134743187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6</v>
      </c>
      <c r="EJ97" s="13">
        <f>IF('Données projet'!$A$192&gt;35,EJ96+EI97-ER96,IF(A97&lt;'Données projet'!$A$192,$EG$205^A97,IF(A97='Données projet'!$A$192,'Données projet'!$B$192,EJ96+EI97-ER96)))</f>
        <v>325.99999999999994</v>
      </c>
      <c r="EK97" s="18">
        <f>EJ97*VLOOKUP('Données projet'!$B$15,Paramètres!$A$1:$I$89,3,0)*VLOOKUP('Données projet'!$B$15,Paramètres!$A$1:$I$89,5,0)</f>
        <v>330.56399999999996</v>
      </c>
      <c r="EL97" s="14">
        <f t="shared" si="99"/>
        <v>77.547227137682853</v>
      </c>
      <c r="EM97" s="22">
        <f t="shared" si="73"/>
        <v>710.79372059813079</v>
      </c>
      <c r="EN97" s="62">
        <f t="shared" si="74"/>
        <v>989.61894296146625</v>
      </c>
      <c r="EO97" s="62">
        <f ca="1">AVERAGE(OFFSET($EN$3,0,0,'Données projet'!$E$15+1,1))-AVERAGE(OFFSET($H$3,0,0,'Données projet'!$E$15+1,1))</f>
        <v>514.72748286045442</v>
      </c>
      <c r="EP97" s="62">
        <f t="shared" si="100"/>
        <v>322.28702110656116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1.7351631342563267</v>
      </c>
      <c r="EX97" s="23">
        <f>EXP(-LN(2)/2)*EX96+(1-EXP(-LN(2)/2))/(LN(2)/2)*ER97*EU97*VLOOKUP('Données projet'!$B$15,Paramètres!$A$1:$I$89,3,0)*0.475*44/12</f>
        <v>3.8904208236159036E-9</v>
      </c>
      <c r="EY97" s="24">
        <f t="shared" si="75"/>
        <v>1.7351631381467476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66.043242462727875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4.0999999999999996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15.033333333333331</v>
      </c>
      <c r="H98" s="70">
        <f t="shared" si="56"/>
        <v>196.53333333333333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70.794576398719499</v>
      </c>
      <c r="T98" s="62">
        <f t="shared" si="88"/>
        <v>328.91236364911629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2.2131384014894753E-11</v>
      </c>
      <c r="AC98" s="24">
        <f t="shared" si="57"/>
        <v>2.2131384014894753E-11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300.39359999999994</v>
      </c>
      <c r="AK98" s="14">
        <f t="shared" si="89"/>
        <v>71.258970856492667</v>
      </c>
      <c r="AL98" s="22">
        <f t="shared" si="58"/>
        <v>647.29489424172459</v>
      </c>
      <c r="AM98" s="62">
        <f t="shared" si="59"/>
        <v>926.37179989511264</v>
      </c>
      <c r="AN98" s="62">
        <f ca="1">AVERAGE(OFFSET($AM$3,0,0,'Données projet'!$E$10+1,1))-AVERAGE(OFFSET($H$3,0,0,'Données projet'!$E$10+1,1))</f>
        <v>466.75323833427217</v>
      </c>
      <c r="AO98" s="62">
        <f t="shared" si="90"/>
        <v>293.88550076209378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1.5059610832600887</v>
      </c>
      <c r="AW98" s="23">
        <f>EXP(-LN(2)/2)*AW97+(1-EXP(-LN(2)/2))/(LN(2)/2)*AQ98*AT98*VLOOKUP('Données projet'!$B$10,Paramètres!$A$1:$I$89,3,0)*0.475*44/12</f>
        <v>2.4546875518583613E-9</v>
      </c>
      <c r="AX98" s="23">
        <f t="shared" si="60"/>
        <v>1.5059610857147763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68.47741055388687</v>
      </c>
      <c r="BJ98" s="62">
        <f t="shared" si="92"/>
        <v>335.34467252166542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14.194793536923656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1.0228675112608599E-10</v>
      </c>
      <c r="BS98" s="24">
        <f t="shared" si="63"/>
        <v>14.194793537025943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3.3992364478763198E-14</v>
      </c>
      <c r="CA98" s="14">
        <f t="shared" si="93"/>
        <v>5.790027782444094E-13</v>
      </c>
      <c r="CB98" s="22">
        <f t="shared" si="64"/>
        <v>1.0676332069095257E-12</v>
      </c>
      <c r="CC98" s="62">
        <f t="shared" si="65"/>
        <v>279.07690565338919</v>
      </c>
      <c r="CD98" s="62">
        <f ca="1">AVERAGE(OFFSET($CC$3,0,0,'Données projet'!$E$12+1,1))-AVERAGE(OFFSET($H$3,0,0,'Données projet'!$E$12+1,1))</f>
        <v>211.76609132110815</v>
      </c>
      <c r="CE98" s="62">
        <f t="shared" si="94"/>
        <v>363.07965692095752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2.7265885275964803</v>
      </c>
      <c r="CL98" s="23">
        <f>EXP(-LN(2)/25)*CL97+(1-EXP(-LN(2)/25))/(LN(2)/25)*Calculateur!CG98*Calculateur!CI98*VLOOKUP('Données projet'!$B$12,Paramètres!$A$1:$I$89,3,0)*0.475*44/12</f>
        <v>0.89725193484260712</v>
      </c>
      <c r="CM98" s="23">
        <f>EXP(-LN(2)/2)*CM97+(1-EXP(-LN(2)/2))/(LN(2)/2)*CG98*CJ98*VLOOKUP('Données projet'!$B$12,Paramètres!$A$1:$I$89,3,0)*0.475*44/12</f>
        <v>3.8819782797480871E-10</v>
      </c>
      <c r="CN98" s="24">
        <f t="shared" si="66"/>
        <v>3.6238404628272853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-5.1431925385259088E-14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374.91250349988451</v>
      </c>
      <c r="CZ98" s="62">
        <f t="shared" si="96"/>
        <v>529.46825265662869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2.9216543752439028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2.9216543752439028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5.6843418860808015E-14</v>
      </c>
      <c r="DP98" s="18">
        <f>DO98*VLOOKUP('Données projet'!$B$14,Paramètres!$A$1:$I$89,3,0)*VLOOKUP('Données projet'!$B$14,Paramètres!$A$1:$I$89,5,0)</f>
        <v>4.9658410716801891E-14</v>
      </c>
      <c r="DQ98" s="14">
        <f t="shared" si="97"/>
        <v>8.0934058173791862E-13</v>
      </c>
      <c r="DR98" s="22">
        <f t="shared" si="70"/>
        <v>1.4960899118586383E-12</v>
      </c>
      <c r="DS98" s="62">
        <f t="shared" si="71"/>
        <v>279.07690565338959</v>
      </c>
      <c r="DT98" s="62">
        <f ca="1">AVERAGE(OFFSET($DS$3,0,0,'Données projet'!$E$14+1,1))-AVERAGE(OFFSET($H$3,0,0,'Données projet'!$E$14+1,1))</f>
        <v>289.18543665577761</v>
      </c>
      <c r="DU98" s="62">
        <f t="shared" si="98"/>
        <v>291.40065947222843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1.8363947279827524</v>
      </c>
      <c r="EC98" s="23">
        <f>EXP(-LN(2)/2)*EC97+(1-EXP(-LN(2)/2))/(LN(2)/2)*DW98*DZ98*VLOOKUP('Données projet'!$B$14,Paramètres!$A$1:$I$89,3,0)*0.475*44/12</f>
        <v>1.7231802210127801E-9</v>
      </c>
      <c r="ED98" s="24">
        <f t="shared" si="72"/>
        <v>1.8363947297059326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332</v>
      </c>
      <c r="EH98" s="13">
        <f>VLOOKUP(A98,'Données projet'!$A$191:$I$211,9,0)</f>
        <v>6</v>
      </c>
      <c r="EI98" s="13">
        <f t="array" ref="EI98">INDEX(EH:EH,MIN(IF(ISNUMBER(EH98:EH294),ROW(EH98:EH294),"")))</f>
        <v>6</v>
      </c>
      <c r="EJ98" s="13">
        <f>IF('Données projet'!$A$192&gt;35,EJ97+EI98-ER97,IF(A98&lt;'Données projet'!$A$192,$EG$205^A98,IF(A98='Données projet'!$A$192,'Données projet'!$B$192,EJ97+EI98-ER97)))</f>
        <v>331.99999999999994</v>
      </c>
      <c r="EK98" s="18">
        <f>EJ98*VLOOKUP('Données projet'!$B$15,Paramètres!$A$1:$I$89,3,0)*VLOOKUP('Données projet'!$B$15,Paramètres!$A$1:$I$89,5,0)</f>
        <v>336.64799999999997</v>
      </c>
      <c r="EL98" s="14">
        <f t="shared" si="99"/>
        <v>78.807003163010378</v>
      </c>
      <c r="EM98" s="22">
        <f t="shared" si="73"/>
        <v>723.58413050890977</v>
      </c>
      <c r="EN98" s="62">
        <f t="shared" si="74"/>
        <v>1002.6610361622979</v>
      </c>
      <c r="EO98" s="62">
        <f ca="1">AVERAGE(OFFSET($EN$3,0,0,'Données projet'!$E$15+1,1))-AVERAGE(OFFSET($H$3,0,0,'Données projet'!$E$15+1,1))</f>
        <v>514.72748286045442</v>
      </c>
      <c r="EP98" s="62">
        <f t="shared" si="100"/>
        <v>322.28702110656116</v>
      </c>
      <c r="EQ98" s="16">
        <f>IF(ISNA(VLOOKUP(A98,'Données projet'!$A$191:$I$211,3,0)),0,VLOOKUP(A98,'Données projet'!$A$191:$I$211,3,0))</f>
        <v>16</v>
      </c>
      <c r="ER98" s="16">
        <f>IF(ISNA(VLOOKUP(A98,'Données projet'!$A$191:$I$211,4,0)),0,VLOOKUP(A98,'Données projet'!$A$191:$I$211,4,0))</f>
        <v>28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1.6877150071018241</v>
      </c>
      <c r="EX98" s="23">
        <f>EXP(-LN(2)/2)*EX97+(1-EXP(-LN(2)/2))/(LN(2)/2)*ER98*EU98*VLOOKUP('Données projet'!$B$15,Paramètres!$A$1:$I$89,3,0)*0.475*44/12</f>
        <v>2.7509429460481588E-9</v>
      </c>
      <c r="EY98" s="24">
        <f t="shared" si="75"/>
        <v>1.6877150098527671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66.111883360014929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4.0999999999999996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15.033333333333331</v>
      </c>
      <c r="H99" s="70">
        <f t="shared" si="56"/>
        <v>196.53333333333333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70.794576398719499</v>
      </c>
      <c r="T99" s="62">
        <f t="shared" si="88"/>
        <v>328.91236364911629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1.564925171397564E-11</v>
      </c>
      <c r="AC99" s="24">
        <f t="shared" si="57"/>
        <v>1.564925171397564E-11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280.30703999999997</v>
      </c>
      <c r="AK99" s="14">
        <f t="shared" si="89"/>
        <v>67.03189112007388</v>
      </c>
      <c r="AL99" s="22">
        <f t="shared" si="58"/>
        <v>604.94863836746197</v>
      </c>
      <c r="AM99" s="62">
        <f t="shared" si="59"/>
        <v>884.27286116849973</v>
      </c>
      <c r="AN99" s="62">
        <f ca="1">AVERAGE(OFFSET($AM$3,0,0,'Données projet'!$E$10+1,1))-AVERAGE(OFFSET($H$3,0,0,'Données projet'!$E$10+1,1))</f>
        <v>466.75323833427217</v>
      </c>
      <c r="AO99" s="62">
        <f t="shared" si="90"/>
        <v>293.88550076209378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1.4647804982432902</v>
      </c>
      <c r="AW99" s="23">
        <f>EXP(-LN(2)/2)*AW98+(1-EXP(-LN(2)/2))/(LN(2)/2)*AQ99*AT99*VLOOKUP('Données projet'!$B$10,Paramètres!$A$1:$I$89,3,0)*0.475*44/12</f>
        <v>1.7357262136132523E-9</v>
      </c>
      <c r="AX99" s="23">
        <f t="shared" si="60"/>
        <v>1.4647804999790164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68.47741055388687</v>
      </c>
      <c r="BJ99" s="62">
        <f t="shared" si="92"/>
        <v>335.34467252166542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13.916442293633738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7.2327655346796125E-11</v>
      </c>
      <c r="BS99" s="24">
        <f t="shared" si="63"/>
        <v>13.916442293706066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3.3992364478763198E-14</v>
      </c>
      <c r="CA99" s="14">
        <f t="shared" si="93"/>
        <v>5.790027782444094E-13</v>
      </c>
      <c r="CB99" s="22">
        <f t="shared" si="64"/>
        <v>1.0676332069095257E-12</v>
      </c>
      <c r="CC99" s="62">
        <f t="shared" si="65"/>
        <v>279.32422280103879</v>
      </c>
      <c r="CD99" s="62">
        <f ca="1">AVERAGE(OFFSET($CC$3,0,0,'Données projet'!$E$12+1,1))-AVERAGE(OFFSET($H$3,0,0,'Données projet'!$E$12+1,1))</f>
        <v>211.76609132110815</v>
      </c>
      <c r="CE99" s="62">
        <f t="shared" si="94"/>
        <v>363.07965692095752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2.6731217896251023</v>
      </c>
      <c r="CL99" s="23">
        <f>EXP(-LN(2)/25)*CL98+(1-EXP(-LN(2)/25))/(LN(2)/25)*Calculateur!CG99*Calculateur!CI99*VLOOKUP('Données projet'!$B$12,Paramètres!$A$1:$I$89,3,0)*0.475*44/12</f>
        <v>0.87271653349990752</v>
      </c>
      <c r="CM99" s="23">
        <f>EXP(-LN(2)/2)*CM98+(1-EXP(-LN(2)/2))/(LN(2)/2)*CG99*CJ99*VLOOKUP('Données projet'!$B$12,Paramètres!$A$1:$I$89,3,0)*0.475*44/12</f>
        <v>2.7449731660287607E-10</v>
      </c>
      <c r="CN99" s="24">
        <f t="shared" si="66"/>
        <v>3.545838323399507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-5.1431925385259088E-14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374.91250349988451</v>
      </c>
      <c r="CZ99" s="62">
        <f t="shared" si="96"/>
        <v>529.46825265662869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2.8643625149785774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2.8643625149785774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5.6843418860808015E-14</v>
      </c>
      <c r="DP99" s="18">
        <f>DO99*VLOOKUP('Données projet'!$B$14,Paramètres!$A$1:$I$89,3,0)*VLOOKUP('Données projet'!$B$14,Paramètres!$A$1:$I$89,5,0)</f>
        <v>4.9658410716801891E-14</v>
      </c>
      <c r="DQ99" s="14">
        <f t="shared" si="97"/>
        <v>8.0934058173791862E-13</v>
      </c>
      <c r="DR99" s="22">
        <f t="shared" si="70"/>
        <v>1.4960899118586383E-12</v>
      </c>
      <c r="DS99" s="62">
        <f t="shared" si="71"/>
        <v>279.32422280103918</v>
      </c>
      <c r="DT99" s="62">
        <f ca="1">AVERAGE(OFFSET($DS$3,0,0,'Données projet'!$E$14+1,1))-AVERAGE(OFFSET($H$3,0,0,'Données projet'!$E$14+1,1))</f>
        <v>289.18543665577761</v>
      </c>
      <c r="DU99" s="62">
        <f t="shared" si="98"/>
        <v>291.40065947222843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1.7861784175742623</v>
      </c>
      <c r="EC99" s="23">
        <f>EXP(-LN(2)/2)*EC98+(1-EXP(-LN(2)/2))/(LN(2)/2)*DW99*DZ99*VLOOKUP('Données projet'!$B$14,Paramètres!$A$1:$I$89,3,0)*0.475*44/12</f>
        <v>1.2184724194846705E-9</v>
      </c>
      <c r="ED99" s="24">
        <f t="shared" si="72"/>
        <v>1.7861784187927348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5.8</v>
      </c>
      <c r="EJ99" s="13">
        <f>IF('Données projet'!$A$192&gt;35,EJ98+EI99-ER98,IF(A99&lt;'Données projet'!$A$192,$EG$205^A99,IF(A99='Données projet'!$A$192,'Données projet'!$B$192,EJ98+EI99-ER98)))</f>
        <v>309.79999999999995</v>
      </c>
      <c r="EK99" s="18">
        <f>EJ99*VLOOKUP('Données projet'!$B$15,Paramètres!$A$1:$I$89,3,0)*VLOOKUP('Données projet'!$B$15,Paramètres!$A$1:$I$89,5,0)</f>
        <v>314.13719999999995</v>
      </c>
      <c r="EL99" s="14">
        <f t="shared" si="99"/>
        <v>74.132174405952824</v>
      </c>
      <c r="EM99" s="22">
        <f t="shared" si="73"/>
        <v>676.23582709036771</v>
      </c>
      <c r="EN99" s="62">
        <f t="shared" si="74"/>
        <v>955.56004989140547</v>
      </c>
      <c r="EO99" s="62">
        <f ca="1">AVERAGE(OFFSET($EN$3,0,0,'Données projet'!$E$15+1,1))-AVERAGE(OFFSET($H$3,0,0,'Données projet'!$E$15+1,1))</f>
        <v>514.72748286045442</v>
      </c>
      <c r="EP99" s="62">
        <f t="shared" si="100"/>
        <v>322.28702110656116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1.6415643514795497</v>
      </c>
      <c r="EX99" s="23">
        <f>EXP(-LN(2)/2)*EX98+(1-EXP(-LN(2)/2))/(LN(2)/2)*ER99*EU99*VLOOKUP('Données projet'!$B$15,Paramètres!$A$1:$I$89,3,0)*0.475*44/12</f>
        <v>1.9452104118079518E-9</v>
      </c>
      <c r="EY99" s="24">
        <f t="shared" si="75"/>
        <v>1.6415643534247601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66.179333491192097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4.0999999999999996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15.033333333333331</v>
      </c>
      <c r="H100" s="70">
        <f t="shared" si="56"/>
        <v>196.53333333333333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70.794576398719499</v>
      </c>
      <c r="T100" s="62">
        <f t="shared" si="88"/>
        <v>328.91236364911629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1.1065692007447377E-11</v>
      </c>
      <c r="AC100" s="24">
        <f t="shared" si="57"/>
        <v>1.1065692007447377E-11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285.55487999999997</v>
      </c>
      <c r="AK100" s="14">
        <f t="shared" si="89"/>
        <v>68.139569194998018</v>
      </c>
      <c r="AL100" s="22">
        <f t="shared" si="58"/>
        <v>616.01783234795482</v>
      </c>
      <c r="AM100" s="62">
        <f t="shared" si="59"/>
        <v>895.58508189704867</v>
      </c>
      <c r="AN100" s="62">
        <f ca="1">AVERAGE(OFFSET($AM$3,0,0,'Données projet'!$E$10+1,1))-AVERAGE(OFFSET($H$3,0,0,'Données projet'!$E$10+1,1))</f>
        <v>466.75323833427217</v>
      </c>
      <c r="AO100" s="62">
        <f t="shared" si="90"/>
        <v>293.88550076209378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1.4247259984893688</v>
      </c>
      <c r="AW100" s="23">
        <f>EXP(-LN(2)/2)*AW99+(1-EXP(-LN(2)/2))/(LN(2)/2)*AQ100*AT100*VLOOKUP('Données projet'!$B$10,Paramètres!$A$1:$I$89,3,0)*0.475*44/12</f>
        <v>1.2273437759291807E-9</v>
      </c>
      <c r="AX100" s="23">
        <f t="shared" si="60"/>
        <v>1.4247259997167125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68.47741055388687</v>
      </c>
      <c r="BJ100" s="62">
        <f t="shared" si="92"/>
        <v>335.34467252166542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13.643549348447239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5.1143375563042993E-11</v>
      </c>
      <c r="BS100" s="24">
        <f t="shared" si="63"/>
        <v>13.643549348498382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3.3992364478763198E-14</v>
      </c>
      <c r="CA100" s="14">
        <f t="shared" si="93"/>
        <v>5.790027782444094E-13</v>
      </c>
      <c r="CB100" s="22">
        <f t="shared" si="64"/>
        <v>1.0676332069095257E-12</v>
      </c>
      <c r="CC100" s="62">
        <f t="shared" si="65"/>
        <v>279.56724954909498</v>
      </c>
      <c r="CD100" s="62">
        <f ca="1">AVERAGE(OFFSET($CC$3,0,0,'Données projet'!$E$12+1,1))-AVERAGE(OFFSET($H$3,0,0,'Données projet'!$E$12+1,1))</f>
        <v>211.76609132110815</v>
      </c>
      <c r="CE100" s="62">
        <f t="shared" si="94"/>
        <v>363.07965692095752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2.6207035017738529</v>
      </c>
      <c r="CL100" s="23">
        <f>EXP(-LN(2)/25)*CL99+(1-EXP(-LN(2)/25))/(LN(2)/25)*Calculateur!CG100*Calculateur!CI100*VLOOKUP('Données projet'!$B$12,Paramètres!$A$1:$I$89,3,0)*0.475*44/12</f>
        <v>0.84885205399718466</v>
      </c>
      <c r="CM100" s="23">
        <f>EXP(-LN(2)/2)*CM99+(1-EXP(-LN(2)/2))/(LN(2)/2)*CG100*CJ100*VLOOKUP('Données projet'!$B$12,Paramètres!$A$1:$I$89,3,0)*0.475*44/12</f>
        <v>1.9409891398740435E-10</v>
      </c>
      <c r="CN100" s="24">
        <f t="shared" si="66"/>
        <v>3.4695555559651368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-5.1431925385259088E-14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374.91250349988451</v>
      </c>
      <c r="CZ100" s="62">
        <f t="shared" si="96"/>
        <v>529.46825265662869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2.8081941131484709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2.8081941131484709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5.6843418860808015E-14</v>
      </c>
      <c r="DP100" s="18">
        <f>DO100*VLOOKUP('Données projet'!$B$14,Paramètres!$A$1:$I$89,3,0)*VLOOKUP('Données projet'!$B$14,Paramètres!$A$1:$I$89,5,0)</f>
        <v>4.9658410716801891E-14</v>
      </c>
      <c r="DQ100" s="14">
        <f t="shared" si="97"/>
        <v>8.0934058173791862E-13</v>
      </c>
      <c r="DR100" s="22">
        <f t="shared" si="70"/>
        <v>1.4960899118586383E-12</v>
      </c>
      <c r="DS100" s="62">
        <f t="shared" si="71"/>
        <v>279.56724954909538</v>
      </c>
      <c r="DT100" s="62">
        <f ca="1">AVERAGE(OFFSET($DS$3,0,0,'Données projet'!$E$14+1,1))-AVERAGE(OFFSET($H$3,0,0,'Données projet'!$E$14+1,1))</f>
        <v>289.18543665577761</v>
      </c>
      <c r="DU100" s="62">
        <f t="shared" si="98"/>
        <v>291.40065947222843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1.7373352748146536</v>
      </c>
      <c r="EC100" s="23">
        <f>EXP(-LN(2)/2)*EC99+(1-EXP(-LN(2)/2))/(LN(2)/2)*DW100*DZ100*VLOOKUP('Données projet'!$B$14,Paramètres!$A$1:$I$89,3,0)*0.475*44/12</f>
        <v>8.6159011050639004E-10</v>
      </c>
      <c r="ED100" s="24">
        <f t="shared" si="72"/>
        <v>1.7373352756762437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5.8</v>
      </c>
      <c r="EJ100" s="13">
        <f>IF('Données projet'!$A$192&gt;35,EJ99+EI100-ER99,IF(A100&lt;'Données projet'!$A$192,$EG$205^A100,IF(A100='Données projet'!$A$192,'Données projet'!$B$192,EJ99+EI100-ER99)))</f>
        <v>315.59999999999997</v>
      </c>
      <c r="EK100" s="18">
        <f>EJ100*VLOOKUP('Données projet'!$B$15,Paramètres!$A$1:$I$89,3,0)*VLOOKUP('Données projet'!$B$15,Paramètres!$A$1:$I$89,5,0)</f>
        <v>320.01839999999999</v>
      </c>
      <c r="EL100" s="14">
        <f t="shared" si="99"/>
        <v>75.357182127856944</v>
      </c>
      <c r="EM100" s="22">
        <f t="shared" si="73"/>
        <v>688.61247220601751</v>
      </c>
      <c r="EN100" s="62">
        <f t="shared" si="74"/>
        <v>968.17972175511136</v>
      </c>
      <c r="EO100" s="62">
        <f ca="1">AVERAGE(OFFSET($EN$3,0,0,'Données projet'!$E$15+1,1))-AVERAGE(OFFSET($H$3,0,0,'Données projet'!$E$15+1,1))</f>
        <v>514.72748286045442</v>
      </c>
      <c r="EP100" s="62">
        <f t="shared" si="100"/>
        <v>322.28702110656116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1.5966756879622239</v>
      </c>
      <c r="EX100" s="23">
        <f>EXP(-LN(2)/2)*EX99+(1-EXP(-LN(2)/2))/(LN(2)/2)*ER100*EU100*VLOOKUP('Données projet'!$B$15,Paramètres!$A$1:$I$89,3,0)*0.475*44/12</f>
        <v>1.3754714730240794E-9</v>
      </c>
      <c r="EY100" s="24">
        <f t="shared" si="75"/>
        <v>1.5966756893376954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66.245613513389245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4.0999999999999996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15.033333333333331</v>
      </c>
      <c r="H101" s="70">
        <f t="shared" si="56"/>
        <v>196.53333333333333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70.794576398719499</v>
      </c>
      <c r="T101" s="62">
        <f t="shared" si="88"/>
        <v>328.91236364911629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7.8246258569878198E-12</v>
      </c>
      <c r="AC101" s="24">
        <f t="shared" si="57"/>
        <v>7.8246258569878198E-12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290.80271999999997</v>
      </c>
      <c r="AK101" s="14">
        <f t="shared" si="89"/>
        <v>69.244880157128961</v>
      </c>
      <c r="AL101" s="22">
        <f t="shared" si="58"/>
        <v>627.08290360699959</v>
      </c>
      <c r="AM101" s="62">
        <f t="shared" si="59"/>
        <v>906.88896393339735</v>
      </c>
      <c r="AN101" s="62">
        <f ca="1">AVERAGE(OFFSET($AM$3,0,0,'Données projet'!$E$10+1,1))-AVERAGE(OFFSET($H$3,0,0,'Données projet'!$E$10+1,1))</f>
        <v>466.75323833427217</v>
      </c>
      <c r="AO101" s="62">
        <f t="shared" si="90"/>
        <v>293.88550076209378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1.385766791137593</v>
      </c>
      <c r="AW101" s="23">
        <f>EXP(-LN(2)/2)*AW100+(1-EXP(-LN(2)/2))/(LN(2)/2)*AQ101*AT101*VLOOKUP('Données projet'!$B$10,Paramètres!$A$1:$I$89,3,0)*0.475*44/12</f>
        <v>8.6786310680662617E-10</v>
      </c>
      <c r="AX101" s="23">
        <f t="shared" si="60"/>
        <v>1.3857667920054562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68.47741055388687</v>
      </c>
      <c r="BJ101" s="62">
        <f t="shared" si="92"/>
        <v>335.34467252166542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13.376007667467588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3.6163827673398063E-11</v>
      </c>
      <c r="BS101" s="24">
        <f t="shared" si="63"/>
        <v>13.376007667503751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3.3992364478763198E-14</v>
      </c>
      <c r="CA101" s="14">
        <f t="shared" si="93"/>
        <v>5.790027782444094E-13</v>
      </c>
      <c r="CB101" s="22">
        <f t="shared" si="64"/>
        <v>1.0676332069095257E-12</v>
      </c>
      <c r="CC101" s="62">
        <f t="shared" si="65"/>
        <v>279.80606032639884</v>
      </c>
      <c r="CD101" s="62">
        <f ca="1">AVERAGE(OFFSET($CC$3,0,0,'Données projet'!$E$12+1,1))-AVERAGE(OFFSET($H$3,0,0,'Données projet'!$E$12+1,1))</f>
        <v>211.76609132110815</v>
      </c>
      <c r="CE101" s="62">
        <f t="shared" si="94"/>
        <v>363.07965692095752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2.5693131045753677</v>
      </c>
      <c r="CL101" s="23">
        <f>EXP(-LN(2)/25)*CL100+(1-EXP(-LN(2)/25))/(LN(2)/25)*Calculateur!CG101*Calculateur!CI101*VLOOKUP('Données projet'!$B$12,Paramètres!$A$1:$I$89,3,0)*0.475*44/12</f>
        <v>0.82564014994144219</v>
      </c>
      <c r="CM101" s="23">
        <f>EXP(-LN(2)/2)*CM100+(1-EXP(-LN(2)/2))/(LN(2)/2)*CG101*CJ101*VLOOKUP('Données projet'!$B$12,Paramètres!$A$1:$I$89,3,0)*0.475*44/12</f>
        <v>1.3724865830143804E-10</v>
      </c>
      <c r="CN101" s="24">
        <f t="shared" si="66"/>
        <v>3.3949532546540588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-5.1431925385259088E-14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374.91250349988451</v>
      </c>
      <c r="CZ101" s="62">
        <f t="shared" si="96"/>
        <v>529.46825265662869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2.7531271394189107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2.7531271394189107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5.6843418860808015E-14</v>
      </c>
      <c r="DP101" s="18">
        <f>DO101*VLOOKUP('Données projet'!$B$14,Paramètres!$A$1:$I$89,3,0)*VLOOKUP('Données projet'!$B$14,Paramètres!$A$1:$I$89,5,0)</f>
        <v>4.9658410716801891E-14</v>
      </c>
      <c r="DQ101" s="14">
        <f t="shared" si="97"/>
        <v>8.0934058173791862E-13</v>
      </c>
      <c r="DR101" s="22">
        <f t="shared" si="70"/>
        <v>1.4960899118586383E-12</v>
      </c>
      <c r="DS101" s="62">
        <f t="shared" si="71"/>
        <v>279.80606032639923</v>
      </c>
      <c r="DT101" s="62">
        <f ca="1">AVERAGE(OFFSET($DS$3,0,0,'Données projet'!$E$14+1,1))-AVERAGE(OFFSET($H$3,0,0,'Données projet'!$E$14+1,1))</f>
        <v>289.18543665577761</v>
      </c>
      <c r="DU101" s="62">
        <f t="shared" si="98"/>
        <v>291.40065947222843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1.6898277503623556</v>
      </c>
      <c r="EC101" s="23">
        <f>EXP(-LN(2)/2)*EC100+(1-EXP(-LN(2)/2))/(LN(2)/2)*DW101*DZ101*VLOOKUP('Données projet'!$B$14,Paramètres!$A$1:$I$89,3,0)*0.475*44/12</f>
        <v>6.0923620974233523E-10</v>
      </c>
      <c r="ED101" s="24">
        <f t="shared" si="72"/>
        <v>1.6898277509715918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5.8</v>
      </c>
      <c r="EJ101" s="13">
        <f>IF('Données projet'!$A$192&gt;35,EJ100+EI101-ER100,IF(A101&lt;'Données projet'!$A$192,$EG$205^A101,IF(A101='Données projet'!$A$192,'Données projet'!$B$192,EJ100+EI101-ER100)))</f>
        <v>321.39999999999998</v>
      </c>
      <c r="EK101" s="18">
        <f>EJ101*VLOOKUP('Données projet'!$B$15,Paramètres!$A$1:$I$89,3,0)*VLOOKUP('Données projet'!$B$15,Paramètres!$A$1:$I$89,5,0)</f>
        <v>325.89960000000002</v>
      </c>
      <c r="EL101" s="14">
        <f t="shared" si="99"/>
        <v>76.579572003009503</v>
      </c>
      <c r="EM101" s="22">
        <f t="shared" si="73"/>
        <v>700.98455790524156</v>
      </c>
      <c r="EN101" s="62">
        <f t="shared" si="74"/>
        <v>980.79061823163931</v>
      </c>
      <c r="EO101" s="62">
        <f ca="1">AVERAGE(OFFSET($EN$3,0,0,'Données projet'!$E$15+1,1))-AVERAGE(OFFSET($H$3,0,0,'Données projet'!$E$15+1,1))</f>
        <v>514.72748286045442</v>
      </c>
      <c r="EP101" s="62">
        <f t="shared" si="100"/>
        <v>322.28702110656116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1.5530145073093717</v>
      </c>
      <c r="EX101" s="23">
        <f>EXP(-LN(2)/2)*EX100+(1-EXP(-LN(2)/2))/(LN(2)/2)*ER101*EU101*VLOOKUP('Données projet'!$B$15,Paramètres!$A$1:$I$89,3,0)*0.475*44/12</f>
        <v>9.7260520590397591E-10</v>
      </c>
      <c r="EY101" s="24">
        <f t="shared" si="75"/>
        <v>1.5530145082819768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66.310743725381201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4.0999999999999996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15.033333333333331</v>
      </c>
      <c r="H102" s="70">
        <f t="shared" si="56"/>
        <v>196.53333333333333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70.794576398719499</v>
      </c>
      <c r="T102" s="62">
        <f t="shared" si="88"/>
        <v>328.91236364911629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5.5328460037236883E-12</v>
      </c>
      <c r="AC102" s="24">
        <f t="shared" si="57"/>
        <v>5.5328460037236883E-12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296.05055999999996</v>
      </c>
      <c r="AK102" s="14">
        <f t="shared" si="89"/>
        <v>70.34787165092402</v>
      </c>
      <c r="AL102" s="22">
        <f t="shared" si="58"/>
        <v>638.14393512535923</v>
      </c>
      <c r="AM102" s="62">
        <f t="shared" si="59"/>
        <v>918.18466339597558</v>
      </c>
      <c r="AN102" s="62">
        <f ca="1">AVERAGE(OFFSET($AM$3,0,0,'Données projet'!$E$10+1,1))-AVERAGE(OFFSET($H$3,0,0,'Données projet'!$E$10+1,1))</f>
        <v>466.75323833427217</v>
      </c>
      <c r="AO102" s="62">
        <f t="shared" si="90"/>
        <v>293.88550076209378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1.3478729253596273</v>
      </c>
      <c r="AW102" s="23">
        <f>EXP(-LN(2)/2)*AW101+(1-EXP(-LN(2)/2))/(LN(2)/2)*AQ102*AT102*VLOOKUP('Données projet'!$B$10,Paramètres!$A$1:$I$89,3,0)*0.475*44/12</f>
        <v>6.1367188796459033E-10</v>
      </c>
      <c r="AX102" s="23">
        <f t="shared" si="60"/>
        <v>1.3478729259732991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68.47741055388687</v>
      </c>
      <c r="BJ102" s="62">
        <f t="shared" si="92"/>
        <v>335.34467252166542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13.113712315667636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2.5571687781521496E-11</v>
      </c>
      <c r="BS102" s="24">
        <f t="shared" si="63"/>
        <v>13.113712315693208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3.3992364478763198E-14</v>
      </c>
      <c r="CA102" s="14">
        <f t="shared" si="93"/>
        <v>5.790027782444094E-13</v>
      </c>
      <c r="CB102" s="22">
        <f t="shared" si="64"/>
        <v>1.0676332069095257E-12</v>
      </c>
      <c r="CC102" s="62">
        <f t="shared" si="65"/>
        <v>280.04072827061736</v>
      </c>
      <c r="CD102" s="62">
        <f ca="1">AVERAGE(OFFSET($CC$3,0,0,'Données projet'!$E$12+1,1))-AVERAGE(OFFSET($H$3,0,0,'Données projet'!$E$12+1,1))</f>
        <v>211.76609132110815</v>
      </c>
      <c r="CE102" s="62">
        <f t="shared" si="94"/>
        <v>363.07965692095752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2.5189304417208978</v>
      </c>
      <c r="CL102" s="23">
        <f>EXP(-LN(2)/25)*CL101+(1-EXP(-LN(2)/25))/(LN(2)/25)*Calculateur!CG102*Calculateur!CI102*VLOOKUP('Données projet'!$B$12,Paramètres!$A$1:$I$89,3,0)*0.475*44/12</f>
        <v>0.80306297662276505</v>
      </c>
      <c r="CM102" s="23">
        <f>EXP(-LN(2)/2)*CM101+(1-EXP(-LN(2)/2))/(LN(2)/2)*CG102*CJ102*VLOOKUP('Données projet'!$B$12,Paramètres!$A$1:$I$89,3,0)*0.475*44/12</f>
        <v>9.7049456993702177E-11</v>
      </c>
      <c r="CN102" s="24">
        <f t="shared" si="66"/>
        <v>3.3219934184407123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-5.1431925385259088E-14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374.91250349988451</v>
      </c>
      <c r="CZ102" s="62">
        <f t="shared" si="96"/>
        <v>529.46825265662869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2.6991399954566497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2.6991399954566497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5.6843418860808015E-14</v>
      </c>
      <c r="DP102" s="18">
        <f>DO102*VLOOKUP('Données projet'!$B$14,Paramètres!$A$1:$I$89,3,0)*VLOOKUP('Données projet'!$B$14,Paramètres!$A$1:$I$89,5,0)</f>
        <v>4.9658410716801891E-14</v>
      </c>
      <c r="DQ102" s="14">
        <f t="shared" si="97"/>
        <v>8.0934058173791862E-13</v>
      </c>
      <c r="DR102" s="22">
        <f t="shared" si="70"/>
        <v>1.4960899118586383E-12</v>
      </c>
      <c r="DS102" s="62">
        <f t="shared" si="71"/>
        <v>280.04072827061776</v>
      </c>
      <c r="DT102" s="62">
        <f ca="1">AVERAGE(OFFSET($DS$3,0,0,'Données projet'!$E$14+1,1))-AVERAGE(OFFSET($H$3,0,0,'Données projet'!$E$14+1,1))</f>
        <v>289.18543665577761</v>
      </c>
      <c r="DU102" s="62">
        <f t="shared" si="98"/>
        <v>291.40065947222843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1.6436193216645176</v>
      </c>
      <c r="EC102" s="23">
        <f>EXP(-LN(2)/2)*EC101+(1-EXP(-LN(2)/2))/(LN(2)/2)*DW102*DZ102*VLOOKUP('Données projet'!$B$14,Paramètres!$A$1:$I$89,3,0)*0.475*44/12</f>
        <v>4.3079505525319502E-10</v>
      </c>
      <c r="ED102" s="24">
        <f t="shared" si="72"/>
        <v>1.6436193220953126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5.8</v>
      </c>
      <c r="EJ102" s="13">
        <f>IF('Données projet'!$A$192&gt;35,EJ101+EI102-ER101,IF(A102&lt;'Données projet'!$A$192,$EG$205^A102,IF(A102='Données projet'!$A$192,'Données projet'!$B$192,EJ101+EI102-ER101)))</f>
        <v>327.2</v>
      </c>
      <c r="EK102" s="18">
        <f>EJ102*VLOOKUP('Données projet'!$B$15,Paramètres!$A$1:$I$89,3,0)*VLOOKUP('Données projet'!$B$15,Paramètres!$A$1:$I$89,5,0)</f>
        <v>331.7808</v>
      </c>
      <c r="EL102" s="14">
        <f t="shared" si="99"/>
        <v>77.799396722557162</v>
      </c>
      <c r="EM102" s="22">
        <f t="shared" si="73"/>
        <v>713.3521759584537</v>
      </c>
      <c r="EN102" s="62">
        <f t="shared" si="74"/>
        <v>993.39290422906993</v>
      </c>
      <c r="EO102" s="62">
        <f ca="1">AVERAGE(OFFSET($EN$3,0,0,'Données projet'!$E$15+1,1))-AVERAGE(OFFSET($H$3,0,0,'Données projet'!$E$15+1,1))</f>
        <v>514.72748286045442</v>
      </c>
      <c r="EP102" s="62">
        <f t="shared" si="100"/>
        <v>322.28702110656116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1.5105472439375134</v>
      </c>
      <c r="EX102" s="23">
        <f>EXP(-LN(2)/2)*EX101+(1-EXP(-LN(2)/2))/(LN(2)/2)*ER102*EU102*VLOOKUP('Données projet'!$B$15,Paramètres!$A$1:$I$89,3,0)*0.475*44/12</f>
        <v>6.877357365120397E-10</v>
      </c>
      <c r="EY102" s="24">
        <f t="shared" si="75"/>
        <v>1.510547244625249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66.374744073804436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4.0999999999999996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15.033333333333331</v>
      </c>
      <c r="H103" s="70">
        <f t="shared" si="56"/>
        <v>196.53333333333333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70.794576398719499</v>
      </c>
      <c r="T103" s="62">
        <f t="shared" si="88"/>
        <v>328.91236364911629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3.9123129284939099E-12</v>
      </c>
      <c r="AC103" s="24">
        <f t="shared" si="57"/>
        <v>3.9123129284939099E-12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301.29840000000002</v>
      </c>
      <c r="AK103" s="14">
        <f t="shared" si="89"/>
        <v>71.448589534990518</v>
      </c>
      <c r="AL103" s="22">
        <f t="shared" si="58"/>
        <v>649.2010067734418</v>
      </c>
      <c r="AM103" s="62">
        <f t="shared" si="59"/>
        <v>929.47233202408324</v>
      </c>
      <c r="AN103" s="62">
        <f ca="1">AVERAGE(OFFSET($AM$3,0,0,'Données projet'!$E$10+1,1))-AVERAGE(OFFSET($H$3,0,0,'Données projet'!$E$10+1,1))</f>
        <v>466.75323833427217</v>
      </c>
      <c r="AO103" s="62">
        <f t="shared" si="90"/>
        <v>293.88550076209378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1.3110152693341117</v>
      </c>
      <c r="AW103" s="23">
        <f>EXP(-LN(2)/2)*AW102+(1-EXP(-LN(2)/2))/(LN(2)/2)*AQ103*AT103*VLOOKUP('Données projet'!$B$10,Paramètres!$A$1:$I$89,3,0)*0.475*44/12</f>
        <v>4.3393155340331308E-10</v>
      </c>
      <c r="AX103" s="23">
        <f t="shared" si="60"/>
        <v>1.3110152697680433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68.47741055388687</v>
      </c>
      <c r="BJ103" s="62">
        <f t="shared" si="92"/>
        <v>335.34467252166542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12.856560415732112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1.8081913836699031E-11</v>
      </c>
      <c r="BS103" s="24">
        <f t="shared" si="63"/>
        <v>12.856560415750193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3.3992364478763198E-14</v>
      </c>
      <c r="CA103" s="14">
        <f t="shared" si="93"/>
        <v>5.790027782444094E-13</v>
      </c>
      <c r="CB103" s="22">
        <f t="shared" si="64"/>
        <v>1.0676332069095257E-12</v>
      </c>
      <c r="CC103" s="62">
        <f t="shared" si="65"/>
        <v>280.27132525064258</v>
      </c>
      <c r="CD103" s="62">
        <f ca="1">AVERAGE(OFFSET($CC$3,0,0,'Données projet'!$E$12+1,1))-AVERAGE(OFFSET($H$3,0,0,'Données projet'!$E$12+1,1))</f>
        <v>211.76609132110815</v>
      </c>
      <c r="CE103" s="62">
        <f t="shared" si="94"/>
        <v>363.07965692095752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2.4695357521546137</v>
      </c>
      <c r="CL103" s="23">
        <f>EXP(-LN(2)/25)*CL102+(1-EXP(-LN(2)/25))/(LN(2)/25)*Calculateur!CG103*Calculateur!CI103*VLOOKUP('Données projet'!$B$12,Paramètres!$A$1:$I$89,3,0)*0.475*44/12</f>
        <v>0.78110317729576906</v>
      </c>
      <c r="CM103" s="23">
        <f>EXP(-LN(2)/2)*CM102+(1-EXP(-LN(2)/2))/(LN(2)/2)*CG103*CJ103*VLOOKUP('Données projet'!$B$12,Paramètres!$A$1:$I$89,3,0)*0.475*44/12</f>
        <v>6.8624329150719018E-11</v>
      </c>
      <c r="CN103" s="24">
        <f t="shared" si="66"/>
        <v>3.250638929519007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-5.1431925385259088E-14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374.91250349988451</v>
      </c>
      <c r="CZ103" s="62">
        <f t="shared" si="96"/>
        <v>529.46825265662869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2.6462115064585823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2.6462115064585823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5.6843418860808015E-14</v>
      </c>
      <c r="DP103" s="18">
        <f>DO103*VLOOKUP('Données projet'!$B$14,Paramètres!$A$1:$I$89,3,0)*VLOOKUP('Données projet'!$B$14,Paramètres!$A$1:$I$89,5,0)</f>
        <v>4.9658410716801891E-14</v>
      </c>
      <c r="DQ103" s="14">
        <f t="shared" si="97"/>
        <v>8.0934058173791862E-13</v>
      </c>
      <c r="DR103" s="22">
        <f t="shared" si="70"/>
        <v>1.4960899118586383E-12</v>
      </c>
      <c r="DS103" s="62">
        <f t="shared" si="71"/>
        <v>280.27132525064297</v>
      </c>
      <c r="DT103" s="62">
        <f ca="1">AVERAGE(OFFSET($DS$3,0,0,'Données projet'!$E$14+1,1))-AVERAGE(OFFSET($H$3,0,0,'Données projet'!$E$14+1,1))</f>
        <v>289.18543665577761</v>
      </c>
      <c r="DU103" s="62">
        <f t="shared" si="98"/>
        <v>291.40065947222843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1.5986744648794178</v>
      </c>
      <c r="EC103" s="23">
        <f>EXP(-LN(2)/2)*EC102+(1-EXP(-LN(2)/2))/(LN(2)/2)*DW103*DZ103*VLOOKUP('Données projet'!$B$14,Paramètres!$A$1:$I$89,3,0)*0.475*44/12</f>
        <v>3.0461810487116762E-10</v>
      </c>
      <c r="ED103" s="24">
        <f t="shared" si="72"/>
        <v>1.5986744651840359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333</v>
      </c>
      <c r="EH103" s="13">
        <f>VLOOKUP(A103,'Données projet'!$A$191:$I$211,9,0)</f>
        <v>5.8</v>
      </c>
      <c r="EI103" s="13">
        <f t="array" ref="EI103">INDEX(EH:EH,MIN(IF(ISNUMBER(EH103:EH299),ROW(EH103:EH299),"")))</f>
        <v>5.8</v>
      </c>
      <c r="EJ103" s="13">
        <f>IF('Données projet'!$A$192&gt;35,EJ102+EI103-ER102,IF(A103&lt;'Données projet'!$A$192,$EG$205^A103,IF(A103='Données projet'!$A$192,'Données projet'!$B$192,EJ102+EI103-ER102)))</f>
        <v>333</v>
      </c>
      <c r="EK103" s="18">
        <f>EJ103*VLOOKUP('Données projet'!$B$15,Paramètres!$A$1:$I$89,3,0)*VLOOKUP('Données projet'!$B$15,Paramètres!$A$1:$I$89,5,0)</f>
        <v>337.66200000000003</v>
      </c>
      <c r="EL103" s="14">
        <f t="shared" si="99"/>
        <v>79.016707002632685</v>
      </c>
      <c r="EM103" s="22">
        <f t="shared" si="73"/>
        <v>725.71541469625208</v>
      </c>
      <c r="EN103" s="62">
        <f t="shared" si="74"/>
        <v>1005.9867399468935</v>
      </c>
      <c r="EO103" s="62">
        <f ca="1">AVERAGE(OFFSET($EN$3,0,0,'Données projet'!$E$15+1,1))-AVERAGE(OFFSET($H$3,0,0,'Données projet'!$E$15+1,1))</f>
        <v>514.72748286045442</v>
      </c>
      <c r="EP103" s="62">
        <f t="shared" si="100"/>
        <v>322.28702110656116</v>
      </c>
      <c r="EQ103" s="16">
        <f>IF(ISNA(VLOOKUP(A103,'Données projet'!$A$191:$I$211,3,0)),0,VLOOKUP(A103,'Données projet'!$A$191:$I$211,3,0))</f>
        <v>17</v>
      </c>
      <c r="ER103" s="16">
        <f>IF(ISNA(VLOOKUP(A103,'Données projet'!$A$191:$I$211,4,0)),0,VLOOKUP(A103,'Données projet'!$A$191:$I$211,4,0))</f>
        <v>27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1.469241250115815</v>
      </c>
      <c r="EX103" s="23">
        <f>EXP(-LN(2)/2)*EX102+(1-EXP(-LN(2)/2))/(LN(2)/2)*ER103*EU103*VLOOKUP('Données projet'!$B$15,Paramètres!$A$1:$I$89,3,0)*0.475*44/12</f>
        <v>4.8630260295198796E-10</v>
      </c>
      <c r="EY103" s="24">
        <f t="shared" si="75"/>
        <v>1.4692412506021175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66.437634159265869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4.0999999999999996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15.033333333333331</v>
      </c>
      <c r="H104" s="70">
        <f t="shared" si="56"/>
        <v>196.53333333333333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70.794576398719499</v>
      </c>
      <c r="T104" s="62">
        <f t="shared" si="88"/>
        <v>328.91236364911629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2.7664230018618442E-12</v>
      </c>
      <c r="AC104" s="24">
        <f t="shared" si="57"/>
        <v>2.7664230018618442E-12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281.75471999999996</v>
      </c>
      <c r="AK104" s="14">
        <f t="shared" si="89"/>
        <v>67.337696723120317</v>
      </c>
      <c r="AL104" s="22">
        <f t="shared" si="58"/>
        <v>608.00262579276773</v>
      </c>
      <c r="AM104" s="62">
        <f t="shared" si="59"/>
        <v>888.50054768136874</v>
      </c>
      <c r="AN104" s="62">
        <f ca="1">AVERAGE(OFFSET($AM$3,0,0,'Données projet'!$E$10+1,1))-AVERAGE(OFFSET($H$3,0,0,'Données projet'!$E$10+1,1))</f>
        <v>466.75323833427217</v>
      </c>
      <c r="AO104" s="62">
        <f t="shared" si="90"/>
        <v>293.88550076209378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1.2751654878508738</v>
      </c>
      <c r="AW104" s="23">
        <f>EXP(-LN(2)/2)*AW103+(1-EXP(-LN(2)/2))/(LN(2)/2)*AQ104*AT104*VLOOKUP('Données projet'!$B$10,Paramètres!$A$1:$I$89,3,0)*0.475*44/12</f>
        <v>3.0683594398229516E-10</v>
      </c>
      <c r="AX104" s="23">
        <f t="shared" si="60"/>
        <v>1.2751654881577097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68.47741055388687</v>
      </c>
      <c r="BJ104" s="62">
        <f t="shared" si="92"/>
        <v>335.34467252166542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12.604451107707153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1.2785843890760748E-11</v>
      </c>
      <c r="BS104" s="24">
        <f t="shared" si="63"/>
        <v>12.604451107719939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3.3992364478763198E-14</v>
      </c>
      <c r="CA104" s="14">
        <f t="shared" si="93"/>
        <v>5.790027782444094E-13</v>
      </c>
      <c r="CB104" s="22">
        <f t="shared" si="64"/>
        <v>1.0676332069095257E-12</v>
      </c>
      <c r="CC104" s="62">
        <f t="shared" si="65"/>
        <v>280.49792188860204</v>
      </c>
      <c r="CD104" s="62">
        <f ca="1">AVERAGE(OFFSET($CC$3,0,0,'Données projet'!$E$12+1,1))-AVERAGE(OFFSET($H$3,0,0,'Données projet'!$E$12+1,1))</f>
        <v>211.76609132110815</v>
      </c>
      <c r="CE104" s="62">
        <f t="shared" si="94"/>
        <v>363.07965692095752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2.4211096623229391</v>
      </c>
      <c r="CL104" s="23">
        <f>EXP(-LN(2)/25)*CL103+(1-EXP(-LN(2)/25))/(LN(2)/25)*Calculateur!CG104*Calculateur!CI104*VLOOKUP('Données projet'!$B$12,Paramètres!$A$1:$I$89,3,0)*0.475*44/12</f>
        <v>0.75974386983618536</v>
      </c>
      <c r="CM104" s="23">
        <f>EXP(-LN(2)/2)*CM103+(1-EXP(-LN(2)/2))/(LN(2)/2)*CG104*CJ104*VLOOKUP('Données projet'!$B$12,Paramètres!$A$1:$I$89,3,0)*0.475*44/12</f>
        <v>4.8524728496851088E-11</v>
      </c>
      <c r="CN104" s="24">
        <f t="shared" si="66"/>
        <v>3.1808535322076494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-5.1431925385259088E-14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374.91250349988451</v>
      </c>
      <c r="CZ104" s="62">
        <f t="shared" si="96"/>
        <v>529.46825265662869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2.5943209128465763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2.5943209128465763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5.6843418860808015E-14</v>
      </c>
      <c r="DP104" s="18">
        <f>DO104*VLOOKUP('Données projet'!$B$14,Paramètres!$A$1:$I$89,3,0)*VLOOKUP('Données projet'!$B$14,Paramètres!$A$1:$I$89,5,0)</f>
        <v>4.9658410716801891E-14</v>
      </c>
      <c r="DQ104" s="14">
        <f t="shared" si="97"/>
        <v>8.0934058173791862E-13</v>
      </c>
      <c r="DR104" s="22">
        <f t="shared" si="70"/>
        <v>1.4960899118586383E-12</v>
      </c>
      <c r="DS104" s="62">
        <f t="shared" si="71"/>
        <v>280.49792188860243</v>
      </c>
      <c r="DT104" s="62">
        <f ca="1">AVERAGE(OFFSET($DS$3,0,0,'Données projet'!$E$14+1,1))-AVERAGE(OFFSET($H$3,0,0,'Données projet'!$E$14+1,1))</f>
        <v>289.18543665577761</v>
      </c>
      <c r="DU104" s="62">
        <f t="shared" si="98"/>
        <v>291.40065947222843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1.5549586275666538</v>
      </c>
      <c r="EC104" s="23">
        <f>EXP(-LN(2)/2)*EC103+(1-EXP(-LN(2)/2))/(LN(2)/2)*DW104*DZ104*VLOOKUP('Données projet'!$B$14,Paramètres!$A$1:$I$89,3,0)*0.475*44/12</f>
        <v>2.1539752762659751E-10</v>
      </c>
      <c r="ED104" s="24">
        <f t="shared" si="72"/>
        <v>1.5549586277820513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5.4</v>
      </c>
      <c r="EJ104" s="13">
        <f>IF('Données projet'!$A$192&gt;35,EJ103+EI104-ER103,IF(A104&lt;'Données projet'!$A$192,$EG$205^A104,IF(A104='Données projet'!$A$192,'Données projet'!$B$192,EJ103+EI104-ER103)))</f>
        <v>311.39999999999998</v>
      </c>
      <c r="EK104" s="18">
        <f>EJ104*VLOOKUP('Données projet'!$B$15,Paramètres!$A$1:$I$89,3,0)*VLOOKUP('Données projet'!$B$15,Paramètres!$A$1:$I$89,5,0)</f>
        <v>315.75959999999998</v>
      </c>
      <c r="EL104" s="14">
        <f t="shared" si="99"/>
        <v>74.470372149154613</v>
      </c>
      <c r="EM104" s="22">
        <f t="shared" si="73"/>
        <v>679.6505348264443</v>
      </c>
      <c r="EN104" s="62">
        <f t="shared" si="74"/>
        <v>960.14845671504531</v>
      </c>
      <c r="EO104" s="62">
        <f ca="1">AVERAGE(OFFSET($EN$3,0,0,'Données projet'!$E$15+1,1))-AVERAGE(OFFSET($H$3,0,0,'Données projet'!$E$15+1,1))</f>
        <v>514.72748286045442</v>
      </c>
      <c r="EP104" s="62">
        <f t="shared" si="100"/>
        <v>322.28702110656116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1.4290647708673587</v>
      </c>
      <c r="EX104" s="23">
        <f>EXP(-LN(2)/2)*EX103+(1-EXP(-LN(2)/2))/(LN(2)/2)*ER104*EU104*VLOOKUP('Données projet'!$B$15,Paramètres!$A$1:$I$89,3,0)*0.475*44/12</f>
        <v>3.4386786825601985E-10</v>
      </c>
      <c r="EY104" s="24">
        <f t="shared" si="75"/>
        <v>1.4290647712112265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66.499433242345717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4.0999999999999996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15.033333333333331</v>
      </c>
      <c r="H105" s="70">
        <f t="shared" si="56"/>
        <v>196.53333333333333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70.794576398719499</v>
      </c>
      <c r="T105" s="62">
        <f t="shared" si="88"/>
        <v>328.91236364911629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1.956156464246955E-12</v>
      </c>
      <c r="AC105" s="24">
        <f t="shared" si="57"/>
        <v>1.956156464246955E-12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286.64063999999996</v>
      </c>
      <c r="AK105" s="14">
        <f t="shared" si="89"/>
        <v>68.368446832003599</v>
      </c>
      <c r="AL105" s="22">
        <f t="shared" si="58"/>
        <v>618.30749289907283</v>
      </c>
      <c r="AM105" s="62">
        <f t="shared" si="59"/>
        <v>899.02808048055886</v>
      </c>
      <c r="AN105" s="62">
        <f ca="1">AVERAGE(OFFSET($AM$3,0,0,'Données projet'!$E$10+1,1))-AVERAGE(OFFSET($H$3,0,0,'Données projet'!$E$10+1,1))</f>
        <v>466.75323833427217</v>
      </c>
      <c r="AO105" s="62">
        <f t="shared" si="90"/>
        <v>293.88550076209378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1.2402960205275531</v>
      </c>
      <c r="AW105" s="23">
        <f>EXP(-LN(2)/2)*AW104+(1-EXP(-LN(2)/2))/(LN(2)/2)*AQ105*AT105*VLOOKUP('Données projet'!$B$10,Paramètres!$A$1:$I$89,3,0)*0.475*44/12</f>
        <v>2.1696577670165654E-10</v>
      </c>
      <c r="AX105" s="23">
        <f t="shared" si="60"/>
        <v>1.2402960207445188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68.47741055388687</v>
      </c>
      <c r="BJ105" s="62">
        <f t="shared" si="92"/>
        <v>335.34467252166542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12.357285509441068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9.0409569183495157E-12</v>
      </c>
      <c r="BS105" s="24">
        <f t="shared" si="63"/>
        <v>12.35728550945011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3.3992364478763198E-14</v>
      </c>
      <c r="CA105" s="14">
        <f t="shared" si="93"/>
        <v>5.790027782444094E-13</v>
      </c>
      <c r="CB105" s="22">
        <f t="shared" si="64"/>
        <v>1.0676332069095257E-12</v>
      </c>
      <c r="CC105" s="62">
        <f t="shared" si="65"/>
        <v>280.72058758148705</v>
      </c>
      <c r="CD105" s="62">
        <f ca="1">AVERAGE(OFFSET($CC$3,0,0,'Données projet'!$E$12+1,1))-AVERAGE(OFFSET($H$3,0,0,'Données projet'!$E$12+1,1))</f>
        <v>211.76609132110815</v>
      </c>
      <c r="CE105" s="62">
        <f t="shared" si="94"/>
        <v>363.07965692095752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2.3736331785758651</v>
      </c>
      <c r="CL105" s="23">
        <f>EXP(-LN(2)/25)*CL104+(1-EXP(-LN(2)/25))/(LN(2)/25)*Calculateur!CG105*Calculateur!CI105*VLOOKUP('Données projet'!$B$12,Paramètres!$A$1:$I$89,3,0)*0.475*44/12</f>
        <v>0.73896863376232114</v>
      </c>
      <c r="CM105" s="23">
        <f>EXP(-LN(2)/2)*CM104+(1-EXP(-LN(2)/2))/(LN(2)/2)*CG105*CJ105*VLOOKUP('Données projet'!$B$12,Paramètres!$A$1:$I$89,3,0)*0.475*44/12</f>
        <v>3.4312164575359509E-11</v>
      </c>
      <c r="CN105" s="24">
        <f t="shared" si="66"/>
        <v>3.1126018123724983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-5.1431925385259088E-14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374.91250349988451</v>
      </c>
      <c r="CZ105" s="62">
        <f t="shared" si="96"/>
        <v>529.46825265662869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2.5434478621251646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2.5434478621251646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5.6843418860808015E-14</v>
      </c>
      <c r="DP105" s="18">
        <f>DO105*VLOOKUP('Données projet'!$B$14,Paramètres!$A$1:$I$89,3,0)*VLOOKUP('Données projet'!$B$14,Paramètres!$A$1:$I$89,5,0)</f>
        <v>4.9658410716801891E-14</v>
      </c>
      <c r="DQ105" s="14">
        <f t="shared" si="97"/>
        <v>8.0934058173791862E-13</v>
      </c>
      <c r="DR105" s="22">
        <f t="shared" si="70"/>
        <v>1.4960899118586383E-12</v>
      </c>
      <c r="DS105" s="62">
        <f t="shared" si="71"/>
        <v>280.72058758148745</v>
      </c>
      <c r="DT105" s="62">
        <f ca="1">AVERAGE(OFFSET($DS$3,0,0,'Données projet'!$E$14+1,1))-AVERAGE(OFFSET($H$3,0,0,'Données projet'!$E$14+1,1))</f>
        <v>289.18543665577761</v>
      </c>
      <c r="DU105" s="62">
        <f t="shared" si="98"/>
        <v>291.40065947222843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1.5124382021241234</v>
      </c>
      <c r="EC105" s="23">
        <f>EXP(-LN(2)/2)*EC104+(1-EXP(-LN(2)/2))/(LN(2)/2)*DW105*DZ105*VLOOKUP('Données projet'!$B$14,Paramètres!$A$1:$I$89,3,0)*0.475*44/12</f>
        <v>1.5230905243558381E-10</v>
      </c>
      <c r="ED105" s="24">
        <f t="shared" si="72"/>
        <v>1.5124382022764324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5.4</v>
      </c>
      <c r="EJ105" s="13">
        <f>IF('Données projet'!$A$192&gt;35,EJ104+EI105-ER104,IF(A105&lt;'Données projet'!$A$192,$EG$205^A105,IF(A105='Données projet'!$A$192,'Données projet'!$B$192,EJ104+EI105-ER104)))</f>
        <v>316.79999999999995</v>
      </c>
      <c r="EK105" s="18">
        <f>EJ105*VLOOKUP('Données projet'!$B$15,Paramètres!$A$1:$I$89,3,0)*VLOOKUP('Données projet'!$B$15,Paramètres!$A$1:$I$89,5,0)</f>
        <v>321.23519999999996</v>
      </c>
      <c r="EL105" s="14">
        <f t="shared" si="99"/>
        <v>75.610303390297929</v>
      </c>
      <c r="EM105" s="22">
        <f t="shared" si="73"/>
        <v>691.17258507143549</v>
      </c>
      <c r="EN105" s="62">
        <f t="shared" si="74"/>
        <v>971.89317265292152</v>
      </c>
      <c r="EO105" s="62">
        <f ca="1">AVERAGE(OFFSET($EN$3,0,0,'Données projet'!$E$15+1,1))-AVERAGE(OFFSET($H$3,0,0,'Données projet'!$E$15+1,1))</f>
        <v>514.72748286045442</v>
      </c>
      <c r="EP105" s="62">
        <f t="shared" si="100"/>
        <v>322.28702110656116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1.3899869195567407</v>
      </c>
      <c r="EX105" s="23">
        <f>EXP(-LN(2)/2)*EX104+(1-EXP(-LN(2)/2))/(LN(2)/2)*ER105*EU105*VLOOKUP('Données projet'!$B$15,Paramètres!$A$1:$I$89,3,0)*0.475*44/12</f>
        <v>2.4315130147599398E-10</v>
      </c>
      <c r="EY105" s="24">
        <f t="shared" si="75"/>
        <v>1.389986919799892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66.560160249496178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4.0999999999999996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15.033333333333331</v>
      </c>
      <c r="H106" s="70">
        <f t="shared" si="56"/>
        <v>196.53333333333333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70.794576398719499</v>
      </c>
      <c r="T106" s="62">
        <f t="shared" si="88"/>
        <v>328.91236364911629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1.3832115009309221E-12</v>
      </c>
      <c r="AC106" s="24">
        <f t="shared" si="57"/>
        <v>1.3832115009309221E-12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291.5265599999999</v>
      </c>
      <c r="AK106" s="14">
        <f t="shared" si="89"/>
        <v>69.397153761857183</v>
      </c>
      <c r="AL106" s="22">
        <f t="shared" si="58"/>
        <v>628.60880146856778</v>
      </c>
      <c r="AM106" s="62">
        <f t="shared" si="59"/>
        <v>909.54819199097324</v>
      </c>
      <c r="AN106" s="62">
        <f ca="1">AVERAGE(OFFSET($AM$3,0,0,'Données projet'!$E$10+1,1))-AVERAGE(OFFSET($H$3,0,0,'Données projet'!$E$10+1,1))</f>
        <v>466.75323833427217</v>
      </c>
      <c r="AO106" s="62">
        <f t="shared" si="90"/>
        <v>293.88550076209378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1.2063800606218942</v>
      </c>
      <c r="AW106" s="23">
        <f>EXP(-LN(2)/2)*AW105+(1-EXP(-LN(2)/2))/(LN(2)/2)*AQ106*AT106*VLOOKUP('Données projet'!$B$10,Paramètres!$A$1:$I$89,3,0)*0.475*44/12</f>
        <v>1.5341797199114758E-10</v>
      </c>
      <c r="AX106" s="23">
        <f t="shared" si="60"/>
        <v>1.2063800607753121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68.47741055388687</v>
      </c>
      <c r="BJ106" s="62">
        <f t="shared" si="92"/>
        <v>335.34467252166542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12.114966677800853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6.3929219453803741E-12</v>
      </c>
      <c r="BS106" s="24">
        <f t="shared" si="63"/>
        <v>12.114966677807246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3.3992364478763198E-14</v>
      </c>
      <c r="CA106" s="14">
        <f t="shared" si="93"/>
        <v>5.790027782444094E-13</v>
      </c>
      <c r="CB106" s="22">
        <f t="shared" si="64"/>
        <v>1.0676332069095257E-12</v>
      </c>
      <c r="CC106" s="62">
        <f t="shared" si="65"/>
        <v>280.93939052240648</v>
      </c>
      <c r="CD106" s="62">
        <f ca="1">AVERAGE(OFFSET($CC$3,0,0,'Données projet'!$E$12+1,1))-AVERAGE(OFFSET($H$3,0,0,'Données projet'!$E$12+1,1))</f>
        <v>211.76609132110815</v>
      </c>
      <c r="CE106" s="62">
        <f t="shared" si="94"/>
        <v>363.07965692095752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2.3270876797172755</v>
      </c>
      <c r="CL106" s="23">
        <f>EXP(-LN(2)/25)*CL105+(1-EXP(-LN(2)/25))/(LN(2)/25)*Calculateur!CG106*Calculateur!CI106*VLOOKUP('Données projet'!$B$12,Paramètres!$A$1:$I$89,3,0)*0.475*44/12</f>
        <v>0.71876149761141894</v>
      </c>
      <c r="CM106" s="23">
        <f>EXP(-LN(2)/2)*CM105+(1-EXP(-LN(2)/2))/(LN(2)/2)*CG106*CJ106*VLOOKUP('Données projet'!$B$12,Paramètres!$A$1:$I$89,3,0)*0.475*44/12</f>
        <v>2.4262364248425544E-11</v>
      </c>
      <c r="CN106" s="24">
        <f t="shared" si="66"/>
        <v>3.0458491773529568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-5.1431925385259088E-14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374.91250349988451</v>
      </c>
      <c r="CZ106" s="62">
        <f t="shared" si="96"/>
        <v>529.46825265662869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2.4935724008989029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2.4935724008989029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5.6843418860808015E-14</v>
      </c>
      <c r="DP106" s="18">
        <f>DO106*VLOOKUP('Données projet'!$B$14,Paramètres!$A$1:$I$89,3,0)*VLOOKUP('Données projet'!$B$14,Paramètres!$A$1:$I$89,5,0)</f>
        <v>4.9658410716801891E-14</v>
      </c>
      <c r="DQ106" s="14">
        <f t="shared" si="97"/>
        <v>8.0934058173791862E-13</v>
      </c>
      <c r="DR106" s="22">
        <f t="shared" si="70"/>
        <v>1.4960899118586383E-12</v>
      </c>
      <c r="DS106" s="62">
        <f t="shared" si="71"/>
        <v>280.93939052240688</v>
      </c>
      <c r="DT106" s="62">
        <f ca="1">AVERAGE(OFFSET($DS$3,0,0,'Données projet'!$E$14+1,1))-AVERAGE(OFFSET($H$3,0,0,'Données projet'!$E$14+1,1))</f>
        <v>289.18543665577761</v>
      </c>
      <c r="DU106" s="62">
        <f t="shared" si="98"/>
        <v>291.40065947222843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1.4710804999513709</v>
      </c>
      <c r="EC106" s="23">
        <f>EXP(-LN(2)/2)*EC105+(1-EXP(-LN(2)/2))/(LN(2)/2)*DW106*DZ106*VLOOKUP('Données projet'!$B$14,Paramètres!$A$1:$I$89,3,0)*0.475*44/12</f>
        <v>1.0769876381329875E-10</v>
      </c>
      <c r="ED106" s="24">
        <f t="shared" si="72"/>
        <v>1.4710805000590697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5.4</v>
      </c>
      <c r="EJ106" s="13">
        <f>IF('Données projet'!$A$192&gt;35,EJ105+EI106-ER105,IF(A106&lt;'Données projet'!$A$192,$EG$205^A106,IF(A106='Données projet'!$A$192,'Données projet'!$B$192,EJ105+EI106-ER105)))</f>
        <v>322.19999999999993</v>
      </c>
      <c r="EK106" s="18">
        <f>EJ106*VLOOKUP('Données projet'!$B$15,Paramètres!$A$1:$I$89,3,0)*VLOOKUP('Données projet'!$B$15,Paramètres!$A$1:$I$89,5,0)</f>
        <v>326.71079999999995</v>
      </c>
      <c r="EL106" s="14">
        <f t="shared" si="99"/>
        <v>76.747975030799893</v>
      </c>
      <c r="EM106" s="22">
        <f t="shared" si="73"/>
        <v>702.69069984530972</v>
      </c>
      <c r="EN106" s="62">
        <f t="shared" si="74"/>
        <v>983.63009036771518</v>
      </c>
      <c r="EO106" s="62">
        <f ca="1">AVERAGE(OFFSET($EN$3,0,0,'Données projet'!$E$15+1,1))-AVERAGE(OFFSET($H$3,0,0,'Données projet'!$E$15+1,1))</f>
        <v>514.72748286045442</v>
      </c>
      <c r="EP106" s="62">
        <f t="shared" si="100"/>
        <v>322.28702110656116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1.3519776541452264</v>
      </c>
      <c r="EX106" s="23">
        <f>EXP(-LN(2)/2)*EX105+(1-EXP(-LN(2)/2))/(LN(2)/2)*ER106*EU106*VLOOKUP('Données projet'!$B$15,Paramètres!$A$1:$I$89,3,0)*0.475*44/12</f>
        <v>1.7193393412800993E-10</v>
      </c>
      <c r="EY106" s="24">
        <f t="shared" si="75"/>
        <v>1.3519776543171604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66.619833778837844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4.0999999999999996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15.033333333333331</v>
      </c>
      <c r="H107" s="70">
        <f t="shared" si="56"/>
        <v>196.53333333333333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70.794576398719499</v>
      </c>
      <c r="T107" s="62">
        <f t="shared" si="88"/>
        <v>328.91236364911629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9.7807823212347748E-13</v>
      </c>
      <c r="AC107" s="24">
        <f t="shared" si="57"/>
        <v>9.7807823212347748E-13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296.4124799999999</v>
      </c>
      <c r="AK107" s="14">
        <f t="shared" si="89"/>
        <v>70.423855708154704</v>
      </c>
      <c r="AL107" s="22">
        <f t="shared" si="58"/>
        <v>638.90661802503598</v>
      </c>
      <c r="AM107" s="62">
        <f t="shared" si="59"/>
        <v>920.06101574650597</v>
      </c>
      <c r="AN107" s="62">
        <f ca="1">AVERAGE(OFFSET($AM$3,0,0,'Données projet'!$E$10+1,1))-AVERAGE(OFFSET($H$3,0,0,'Données projet'!$E$10+1,1))</f>
        <v>466.75323833427217</v>
      </c>
      <c r="AO107" s="62">
        <f t="shared" si="90"/>
        <v>293.88550076209378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1.1733915344234183</v>
      </c>
      <c r="AW107" s="23">
        <f>EXP(-LN(2)/2)*AW106+(1-EXP(-LN(2)/2))/(LN(2)/2)*AQ107*AT107*VLOOKUP('Données projet'!$B$10,Paramètres!$A$1:$I$89,3,0)*0.475*44/12</f>
        <v>1.0848288835082827E-10</v>
      </c>
      <c r="AX107" s="23">
        <f t="shared" si="60"/>
        <v>1.173391534531901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68.47741055388687</v>
      </c>
      <c r="BJ107" s="62">
        <f t="shared" si="92"/>
        <v>335.34467252166542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11.877399570649208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4.5204784591747578E-12</v>
      </c>
      <c r="BS107" s="24">
        <f t="shared" si="63"/>
        <v>11.877399570653729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3.3992364478763198E-14</v>
      </c>
      <c r="CA107" s="14">
        <f t="shared" si="93"/>
        <v>5.790027782444094E-13</v>
      </c>
      <c r="CB107" s="22">
        <f t="shared" si="64"/>
        <v>1.0676332069095257E-12</v>
      </c>
      <c r="CC107" s="62">
        <f t="shared" si="65"/>
        <v>281.15439772147101</v>
      </c>
      <c r="CD107" s="62">
        <f ca="1">AVERAGE(OFFSET($CC$3,0,0,'Données projet'!$E$12+1,1))-AVERAGE(OFFSET($H$3,0,0,'Données projet'!$E$12+1,1))</f>
        <v>211.76609132110815</v>
      </c>
      <c r="CE107" s="62">
        <f t="shared" si="94"/>
        <v>363.07965692095752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2.2814549097013517</v>
      </c>
      <c r="CL107" s="23">
        <f>EXP(-LN(2)/25)*CL106+(1-EXP(-LN(2)/25))/(LN(2)/25)*Calculateur!CG107*Calculateur!CI107*VLOOKUP('Données projet'!$B$12,Paramètres!$A$1:$I$89,3,0)*0.475*44/12</f>
        <v>0.69910692666121033</v>
      </c>
      <c r="CM107" s="23">
        <f>EXP(-LN(2)/2)*CM106+(1-EXP(-LN(2)/2))/(LN(2)/2)*CG107*CJ107*VLOOKUP('Données projet'!$B$12,Paramètres!$A$1:$I$89,3,0)*0.475*44/12</f>
        <v>1.7156082287679755E-11</v>
      </c>
      <c r="CN107" s="24">
        <f t="shared" si="66"/>
        <v>2.9805618363797182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-5.1431925385259088E-14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374.91250349988451</v>
      </c>
      <c r="CZ107" s="62">
        <f t="shared" si="96"/>
        <v>529.46825265662869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2.4446749670462609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2.4446749670462609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5.6843418860808015E-14</v>
      </c>
      <c r="DP107" s="18">
        <f>DO107*VLOOKUP('Données projet'!$B$14,Paramètres!$A$1:$I$89,3,0)*VLOOKUP('Données projet'!$B$14,Paramètres!$A$1:$I$89,5,0)</f>
        <v>4.9658410716801891E-14</v>
      </c>
      <c r="DQ107" s="14">
        <f t="shared" si="97"/>
        <v>8.0934058173791862E-13</v>
      </c>
      <c r="DR107" s="22">
        <f t="shared" si="70"/>
        <v>1.4960899118586383E-12</v>
      </c>
      <c r="DS107" s="62">
        <f t="shared" si="71"/>
        <v>281.15439772147141</v>
      </c>
      <c r="DT107" s="62">
        <f ca="1">AVERAGE(OFFSET($DS$3,0,0,'Données projet'!$E$14+1,1))-AVERAGE(OFFSET($H$3,0,0,'Données projet'!$E$14+1,1))</f>
        <v>289.18543665577761</v>
      </c>
      <c r="DU107" s="62">
        <f t="shared" si="98"/>
        <v>291.40065947222843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1.4308537263194394</v>
      </c>
      <c r="EC107" s="23">
        <f>EXP(-LN(2)/2)*EC106+(1-EXP(-LN(2)/2))/(LN(2)/2)*DW107*DZ107*VLOOKUP('Données projet'!$B$14,Paramètres!$A$1:$I$89,3,0)*0.475*44/12</f>
        <v>7.6154526217791904E-11</v>
      </c>
      <c r="ED107" s="24">
        <f t="shared" si="72"/>
        <v>1.4308537263955938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5.4</v>
      </c>
      <c r="EJ107" s="13">
        <f>IF('Données projet'!$A$192&gt;35,EJ106+EI107-ER106,IF(A107&lt;'Données projet'!$A$192,$EG$205^A107,IF(A107='Données projet'!$A$192,'Données projet'!$B$192,EJ106+EI107-ER106)))</f>
        <v>327.59999999999991</v>
      </c>
      <c r="EK107" s="18">
        <f>EJ107*VLOOKUP('Données projet'!$B$15,Paramètres!$A$1:$I$89,3,0)*VLOOKUP('Données projet'!$B$15,Paramètres!$A$1:$I$89,5,0)</f>
        <v>332.18639999999994</v>
      </c>
      <c r="EL107" s="14">
        <f t="shared" si="99"/>
        <v>77.88342931194974</v>
      </c>
      <c r="EM107" s="22">
        <f t="shared" si="73"/>
        <v>714.20495271831226</v>
      </c>
      <c r="EN107" s="62">
        <f t="shared" si="74"/>
        <v>995.35935043978225</v>
      </c>
      <c r="EO107" s="62">
        <f ca="1">AVERAGE(OFFSET($EN$3,0,0,'Données projet'!$E$15+1,1))-AVERAGE(OFFSET($H$3,0,0,'Données projet'!$E$15+1,1))</f>
        <v>514.72748286045442</v>
      </c>
      <c r="EP107" s="62">
        <f t="shared" si="100"/>
        <v>322.28702110656116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1.3150077540952103</v>
      </c>
      <c r="EX107" s="23">
        <f>EXP(-LN(2)/2)*EX106+(1-EXP(-LN(2)/2))/(LN(2)/2)*ER107*EU107*VLOOKUP('Données projet'!$B$15,Paramètres!$A$1:$I$89,3,0)*0.475*44/12</f>
        <v>1.2157565073799699E-10</v>
      </c>
      <c r="EY107" s="24">
        <f t="shared" si="75"/>
        <v>1.315007754216786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66.678472105855434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4.0999999999999996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15.033333333333331</v>
      </c>
      <c r="H108" s="70">
        <f t="shared" si="56"/>
        <v>196.53333333333333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70.794576398719499</v>
      </c>
      <c r="T108" s="62">
        <f t="shared" si="88"/>
        <v>328.91236364911629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6.9160575046546104E-13</v>
      </c>
      <c r="AC108" s="24">
        <f t="shared" si="57"/>
        <v>6.9160575046546104E-13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301.2983999999999</v>
      </c>
      <c r="AK108" s="14">
        <f t="shared" si="89"/>
        <v>71.448589534990518</v>
      </c>
      <c r="AL108" s="22">
        <f t="shared" si="58"/>
        <v>649.20100677344158</v>
      </c>
      <c r="AM108" s="62">
        <f t="shared" si="59"/>
        <v>930.56668179975645</v>
      </c>
      <c r="AN108" s="62">
        <f ca="1">AVERAGE(OFFSET($AM$3,0,0,'Données projet'!$E$10+1,1))-AVERAGE(OFFSET($H$3,0,0,'Données projet'!$E$10+1,1))</f>
        <v>466.75323833427217</v>
      </c>
      <c r="AO108" s="62">
        <f t="shared" si="90"/>
        <v>293.88550076209378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1.1413050812086309</v>
      </c>
      <c r="AW108" s="23">
        <f>EXP(-LN(2)/2)*AW107+(1-EXP(-LN(2)/2))/(LN(2)/2)*AQ108*AT108*VLOOKUP('Données projet'!$B$10,Paramètres!$A$1:$I$89,3,0)*0.475*44/12</f>
        <v>7.6708985995573791E-11</v>
      </c>
      <c r="AX108" s="23">
        <f t="shared" si="60"/>
        <v>1.14130508128534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68.47741055388687</v>
      </c>
      <c r="BJ108" s="62">
        <f t="shared" si="92"/>
        <v>335.34467252166542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11.644491009567181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3.196460972690187E-12</v>
      </c>
      <c r="BS108" s="24">
        <f t="shared" si="63"/>
        <v>11.644491009570377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3.3992364478763198E-14</v>
      </c>
      <c r="CA108" s="14">
        <f t="shared" si="93"/>
        <v>5.790027782444094E-13</v>
      </c>
      <c r="CB108" s="22">
        <f t="shared" si="64"/>
        <v>1.0676332069095257E-12</v>
      </c>
      <c r="CC108" s="62">
        <f t="shared" si="65"/>
        <v>281.3656750263159</v>
      </c>
      <c r="CD108" s="62">
        <f ca="1">AVERAGE(OFFSET($CC$3,0,0,'Données projet'!$E$12+1,1))-AVERAGE(OFFSET($H$3,0,0,'Données projet'!$E$12+1,1))</f>
        <v>211.76609132110815</v>
      </c>
      <c r="CE108" s="62">
        <f t="shared" si="94"/>
        <v>363.07965692095752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2.236716970472199</v>
      </c>
      <c r="CL108" s="23">
        <f>EXP(-LN(2)/25)*CL107+(1-EXP(-LN(2)/25))/(LN(2)/25)*Calculateur!CG108*Calculateur!CI108*VLOOKUP('Données projet'!$B$12,Paramètres!$A$1:$I$89,3,0)*0.475*44/12</f>
        <v>0.67998981098722411</v>
      </c>
      <c r="CM108" s="23">
        <f>EXP(-LN(2)/2)*CM107+(1-EXP(-LN(2)/2))/(LN(2)/2)*CG108*CJ108*VLOOKUP('Données projet'!$B$12,Paramètres!$A$1:$I$89,3,0)*0.475*44/12</f>
        <v>1.2131182124212772E-11</v>
      </c>
      <c r="CN108" s="24">
        <f t="shared" si="66"/>
        <v>2.9167067814715542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-5.1431925385259088E-14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374.91250349988451</v>
      </c>
      <c r="CZ108" s="62">
        <f t="shared" si="96"/>
        <v>529.46825265662869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2.3967363820469791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2.3967363820469791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5.6843418860808015E-14</v>
      </c>
      <c r="DP108" s="18">
        <f>DO108*VLOOKUP('Données projet'!$B$14,Paramètres!$A$1:$I$89,3,0)*VLOOKUP('Données projet'!$B$14,Paramètres!$A$1:$I$89,5,0)</f>
        <v>4.9658410716801891E-14</v>
      </c>
      <c r="DQ108" s="14">
        <f t="shared" si="97"/>
        <v>8.0934058173791862E-13</v>
      </c>
      <c r="DR108" s="22">
        <f t="shared" si="70"/>
        <v>1.4960899118586383E-12</v>
      </c>
      <c r="DS108" s="62">
        <f t="shared" si="71"/>
        <v>281.3656750263163</v>
      </c>
      <c r="DT108" s="62">
        <f ca="1">AVERAGE(OFFSET($DS$3,0,0,'Données projet'!$E$14+1,1))-AVERAGE(OFFSET($H$3,0,0,'Données projet'!$E$14+1,1))</f>
        <v>289.18543665577761</v>
      </c>
      <c r="DU108" s="62">
        <f t="shared" si="98"/>
        <v>291.40065947222843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1.3917269559279071</v>
      </c>
      <c r="EC108" s="23">
        <f>EXP(-LN(2)/2)*EC107+(1-EXP(-LN(2)/2))/(LN(2)/2)*DW108*DZ108*VLOOKUP('Données projet'!$B$14,Paramètres!$A$1:$I$89,3,0)*0.475*44/12</f>
        <v>5.3849381906649377E-11</v>
      </c>
      <c r="ED108" s="24">
        <f t="shared" si="72"/>
        <v>1.3917269559817564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333</v>
      </c>
      <c r="EH108" s="13">
        <f>VLOOKUP(A108,'Données projet'!$A$191:$I$211,9,0)</f>
        <v>5.4</v>
      </c>
      <c r="EI108" s="13">
        <f t="array" ref="EI108">INDEX(EH:EH,MIN(IF(ISNUMBER(EH108:EH304),ROW(EH108:EH304),"")))</f>
        <v>5.4</v>
      </c>
      <c r="EJ108" s="13">
        <f>IF('Données projet'!$A$192&gt;35,EJ107+EI108-ER107,IF(A108&lt;'Données projet'!$A$192,$EG$205^A108,IF(A108='Données projet'!$A$192,'Données projet'!$B$192,EJ107+EI108-ER107)))</f>
        <v>332.99999999999989</v>
      </c>
      <c r="EK108" s="18">
        <f>EJ108*VLOOKUP('Données projet'!$B$15,Paramètres!$A$1:$I$89,3,0)*VLOOKUP('Données projet'!$B$15,Paramètres!$A$1:$I$89,5,0)</f>
        <v>337.66199999999992</v>
      </c>
      <c r="EL108" s="14">
        <f t="shared" si="99"/>
        <v>79.016707002632685</v>
      </c>
      <c r="EM108" s="22">
        <f t="shared" si="73"/>
        <v>725.71541469625174</v>
      </c>
      <c r="EN108" s="62">
        <f t="shared" si="74"/>
        <v>1007.0810897225665</v>
      </c>
      <c r="EO108" s="62">
        <f ca="1">AVERAGE(OFFSET($EN$3,0,0,'Données projet'!$E$15+1,1))-AVERAGE(OFFSET($H$3,0,0,'Données projet'!$E$15+1,1))</f>
        <v>514.72748286045442</v>
      </c>
      <c r="EP108" s="62">
        <f t="shared" si="100"/>
        <v>322.28702110656116</v>
      </c>
      <c r="EQ108" s="16">
        <f>IF(ISNA(VLOOKUP(A108,'Données projet'!$A$191:$I$211,3,0)),0,VLOOKUP(A108,'Données projet'!$A$191:$I$211,3,0))</f>
        <v>18</v>
      </c>
      <c r="ER108" s="16">
        <f>IF(ISNA(VLOOKUP(A108,'Données projet'!$A$191:$I$211,4,0)),0,VLOOKUP(A108,'Données projet'!$A$191:$I$211,4,0))</f>
        <v>26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1.2790487979062244</v>
      </c>
      <c r="EX108" s="23">
        <f>EXP(-LN(2)/2)*EX107+(1-EXP(-LN(2)/2))/(LN(2)/2)*ER108*EU108*VLOOKUP('Données projet'!$B$15,Paramètres!$A$1:$I$89,3,0)*0.475*44/12</f>
        <v>8.5966967064004963E-11</v>
      </c>
      <c r="EY108" s="24">
        <f t="shared" si="75"/>
        <v>1.2790487979921914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66.736093188994957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4.0999999999999996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15.033333333333331</v>
      </c>
      <c r="H109" s="70">
        <f t="shared" si="56"/>
        <v>196.53333333333333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70.794576398719499</v>
      </c>
      <c r="T109" s="62">
        <f t="shared" si="88"/>
        <v>328.91236364911629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4.8903911606173874E-13</v>
      </c>
      <c r="AC109" s="24">
        <f t="shared" si="57"/>
        <v>4.8903911606173874E-13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282.29759999999987</v>
      </c>
      <c r="AK109" s="14">
        <f t="shared" si="89"/>
        <v>67.452326629470178</v>
      </c>
      <c r="AL109" s="22">
        <f t="shared" si="58"/>
        <v>609.14778887966042</v>
      </c>
      <c r="AM109" s="62">
        <f t="shared" si="59"/>
        <v>890.72107602192636</v>
      </c>
      <c r="AN109" s="62">
        <f ca="1">AVERAGE(OFFSET($AM$3,0,0,'Données projet'!$E$10+1,1))-AVERAGE(OFFSET($H$3,0,0,'Données projet'!$E$10+1,1))</f>
        <v>466.75323833427217</v>
      </c>
      <c r="AO109" s="62">
        <f t="shared" si="90"/>
        <v>293.88550076209378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1.1100960337443553</v>
      </c>
      <c r="AW109" s="23">
        <f>EXP(-LN(2)/2)*AW108+(1-EXP(-LN(2)/2))/(LN(2)/2)*AQ109*AT109*VLOOKUP('Données projet'!$B$10,Paramètres!$A$1:$I$89,3,0)*0.475*44/12</f>
        <v>5.4241444175414136E-11</v>
      </c>
      <c r="AX109" s="23">
        <f t="shared" si="60"/>
        <v>1.1100960337985968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68.47741055388687</v>
      </c>
      <c r="BJ109" s="62">
        <f t="shared" si="92"/>
        <v>335.34467252166542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11.416149643307778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2.2602392295873789E-12</v>
      </c>
      <c r="BS109" s="24">
        <f t="shared" si="63"/>
        <v>11.416149643310037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3.3992364478763198E-14</v>
      </c>
      <c r="CA109" s="14">
        <f t="shared" si="93"/>
        <v>5.790027782444094E-13</v>
      </c>
      <c r="CB109" s="22">
        <f t="shared" si="64"/>
        <v>1.0676332069095257E-12</v>
      </c>
      <c r="CC109" s="62">
        <f t="shared" si="65"/>
        <v>281.57328714226696</v>
      </c>
      <c r="CD109" s="62">
        <f ca="1">AVERAGE(OFFSET($CC$3,0,0,'Données projet'!$E$12+1,1))-AVERAGE(OFFSET($H$3,0,0,'Données projet'!$E$12+1,1))</f>
        <v>211.76609132110815</v>
      </c>
      <c r="CE109" s="62">
        <f t="shared" si="94"/>
        <v>363.07965692095752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2.1928563149438816</v>
      </c>
      <c r="CL109" s="23">
        <f>EXP(-LN(2)/25)*CL108+(1-EXP(-LN(2)/25))/(LN(2)/25)*Calculateur!CG109*Calculateur!CI109*VLOOKUP('Données projet'!$B$12,Paramètres!$A$1:$I$89,3,0)*0.475*44/12</f>
        <v>0.66139545384666842</v>
      </c>
      <c r="CM109" s="23">
        <f>EXP(-LN(2)/2)*CM108+(1-EXP(-LN(2)/2))/(LN(2)/2)*CG109*CJ109*VLOOKUP('Données projet'!$B$12,Paramètres!$A$1:$I$89,3,0)*0.475*44/12</f>
        <v>8.5780411438398773E-12</v>
      </c>
      <c r="CN109" s="24">
        <f t="shared" si="66"/>
        <v>2.854251768799128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-5.1431925385259088E-14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374.91250349988451</v>
      </c>
      <c r="CZ109" s="62">
        <f t="shared" si="96"/>
        <v>529.46825265662869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2.3497378434598839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2.3497378434598839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5.6843418860808015E-14</v>
      </c>
      <c r="DP109" s="18">
        <f>DO109*VLOOKUP('Données projet'!$B$14,Paramètres!$A$1:$I$89,3,0)*VLOOKUP('Données projet'!$B$14,Paramètres!$A$1:$I$89,5,0)</f>
        <v>4.9658410716801891E-14</v>
      </c>
      <c r="DQ109" s="14">
        <f t="shared" si="97"/>
        <v>8.0934058173791862E-13</v>
      </c>
      <c r="DR109" s="22">
        <f t="shared" si="70"/>
        <v>1.4960899118586383E-12</v>
      </c>
      <c r="DS109" s="62">
        <f t="shared" si="71"/>
        <v>281.57328714226736</v>
      </c>
      <c r="DT109" s="62">
        <f ca="1">AVERAGE(OFFSET($DS$3,0,0,'Données projet'!$E$14+1,1))-AVERAGE(OFFSET($H$3,0,0,'Données projet'!$E$14+1,1))</f>
        <v>289.18543665577761</v>
      </c>
      <c r="DU109" s="62">
        <f t="shared" si="98"/>
        <v>291.40065947222843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1.3536701091303187</v>
      </c>
      <c r="EC109" s="23">
        <f>EXP(-LN(2)/2)*EC108+(1-EXP(-LN(2)/2))/(LN(2)/2)*DW109*DZ109*VLOOKUP('Données projet'!$B$14,Paramètres!$A$1:$I$89,3,0)*0.475*44/12</f>
        <v>3.8077263108895952E-11</v>
      </c>
      <c r="ED109" s="24">
        <f t="shared" si="72"/>
        <v>1.353670109168396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5</v>
      </c>
      <c r="EJ109" s="13">
        <f>IF('Données projet'!$A$192&gt;35,EJ108+EI109-ER108,IF(A109&lt;'Données projet'!$A$192,$EG$205^A109,IF(A109='Données projet'!$A$192,'Données projet'!$B$192,EJ108+EI109-ER108)))</f>
        <v>311.99999999999989</v>
      </c>
      <c r="EK109" s="18">
        <f>EJ109*VLOOKUP('Données projet'!$B$15,Paramètres!$A$1:$I$89,3,0)*VLOOKUP('Données projet'!$B$15,Paramètres!$A$1:$I$89,5,0)</f>
        <v>316.36799999999988</v>
      </c>
      <c r="EL109" s="14">
        <f t="shared" si="99"/>
        <v>74.597144109003438</v>
      </c>
      <c r="EM109" s="22">
        <f t="shared" si="73"/>
        <v>680.93095932318067</v>
      </c>
      <c r="EN109" s="62">
        <f t="shared" si="74"/>
        <v>962.50424646544661</v>
      </c>
      <c r="EO109" s="62">
        <f ca="1">AVERAGE(OFFSET($EN$3,0,0,'Données projet'!$E$15+1,1))-AVERAGE(OFFSET($H$3,0,0,'Données projet'!$E$15+1,1))</f>
        <v>514.72748286045442</v>
      </c>
      <c r="EP109" s="62">
        <f t="shared" si="100"/>
        <v>322.28702110656116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1.2440731412652257</v>
      </c>
      <c r="EX109" s="23">
        <f>EXP(-LN(2)/2)*EX108+(1-EXP(-LN(2)/2))/(LN(2)/2)*ER109*EU109*VLOOKUP('Données projet'!$B$15,Paramètres!$A$1:$I$89,3,0)*0.475*44/12</f>
        <v>6.0787825368998495E-11</v>
      </c>
      <c r="EY109" s="24">
        <f t="shared" si="75"/>
        <v>1.2440731413260135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66.792714675163424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4.0999999999999996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15.033333333333331</v>
      </c>
      <c r="H110" s="70">
        <f t="shared" si="56"/>
        <v>196.53333333333333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70.794576398719499</v>
      </c>
      <c r="T110" s="62">
        <f t="shared" si="88"/>
        <v>328.91236364911629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3.4580287523273052E-13</v>
      </c>
      <c r="AC110" s="24">
        <f t="shared" si="57"/>
        <v>3.4580287523273052E-13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286.82159999999988</v>
      </c>
      <c r="AK110" s="14">
        <f t="shared" si="89"/>
        <v>68.406583284351413</v>
      </c>
      <c r="AL110" s="22">
        <f t="shared" si="58"/>
        <v>618.68908588691181</v>
      </c>
      <c r="AM110" s="62">
        <f t="shared" si="59"/>
        <v>900.46638353906815</v>
      </c>
      <c r="AN110" s="62">
        <f ca="1">AVERAGE(OFFSET($AM$3,0,0,'Données projet'!$E$10+1,1))-AVERAGE(OFFSET($H$3,0,0,'Données projet'!$E$10+1,1))</f>
        <v>466.75323833427217</v>
      </c>
      <c r="AO110" s="62">
        <f t="shared" si="90"/>
        <v>293.88550076209378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1.0797403993242027</v>
      </c>
      <c r="AW110" s="23">
        <f>EXP(-LN(2)/2)*AW109+(1-EXP(-LN(2)/2))/(LN(2)/2)*AQ110*AT110*VLOOKUP('Données projet'!$B$10,Paramètres!$A$1:$I$89,3,0)*0.475*44/12</f>
        <v>3.8354492997786895E-11</v>
      </c>
      <c r="AX110" s="23">
        <f t="shared" si="60"/>
        <v>1.0797403993625572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68.47741055388687</v>
      </c>
      <c r="BJ110" s="62">
        <f t="shared" si="92"/>
        <v>335.34467252166542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11.192285911966239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1.5982304863450935E-12</v>
      </c>
      <c r="BS110" s="24">
        <f t="shared" si="63"/>
        <v>11.192285911967838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3.3992364478763198E-14</v>
      </c>
      <c r="CA110" s="14">
        <f t="shared" si="93"/>
        <v>5.790027782444094E-13</v>
      </c>
      <c r="CB110" s="22">
        <f t="shared" si="64"/>
        <v>1.0676332069095257E-12</v>
      </c>
      <c r="CC110" s="62">
        <f t="shared" si="65"/>
        <v>281.77729765215747</v>
      </c>
      <c r="CD110" s="62">
        <f ca="1">AVERAGE(OFFSET($CC$3,0,0,'Données projet'!$E$12+1,1))-AVERAGE(OFFSET($H$3,0,0,'Données projet'!$E$12+1,1))</f>
        <v>211.76609132110815</v>
      </c>
      <c r="CE110" s="62">
        <f t="shared" si="94"/>
        <v>363.07965692095752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2.1498557401181162</v>
      </c>
      <c r="CL110" s="23">
        <f>EXP(-LN(2)/25)*CL109+(1-EXP(-LN(2)/25))/(LN(2)/25)*Calculateur!CG110*Calculateur!CI110*VLOOKUP('Données projet'!$B$12,Paramètres!$A$1:$I$89,3,0)*0.475*44/12</f>
        <v>0.64330956037995601</v>
      </c>
      <c r="CM110" s="23">
        <f>EXP(-LN(2)/2)*CM109+(1-EXP(-LN(2)/2))/(LN(2)/2)*CG110*CJ110*VLOOKUP('Données projet'!$B$12,Paramètres!$A$1:$I$89,3,0)*0.475*44/12</f>
        <v>6.065591062106386E-12</v>
      </c>
      <c r="CN110" s="24">
        <f t="shared" si="66"/>
        <v>2.7931653005041377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-5.1431925385259088E-14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374.91250349988451</v>
      </c>
      <c r="CZ110" s="62">
        <f t="shared" si="96"/>
        <v>529.46825265662869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2.3036609175482035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2.3036609175482035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5.6843418860808015E-14</v>
      </c>
      <c r="DP110" s="18">
        <f>DO110*VLOOKUP('Données projet'!$B$14,Paramètres!$A$1:$I$89,3,0)*VLOOKUP('Données projet'!$B$14,Paramètres!$A$1:$I$89,5,0)</f>
        <v>4.9658410716801891E-14</v>
      </c>
      <c r="DQ110" s="14">
        <f t="shared" si="97"/>
        <v>8.0934058173791862E-13</v>
      </c>
      <c r="DR110" s="22">
        <f t="shared" si="70"/>
        <v>1.4960899118586383E-12</v>
      </c>
      <c r="DS110" s="62">
        <f t="shared" si="71"/>
        <v>281.77729765215787</v>
      </c>
      <c r="DT110" s="62">
        <f ca="1">AVERAGE(OFFSET($DS$3,0,0,'Données projet'!$E$14+1,1))-AVERAGE(OFFSET($H$3,0,0,'Données projet'!$E$14+1,1))</f>
        <v>289.18543665577761</v>
      </c>
      <c r="DU110" s="62">
        <f t="shared" si="98"/>
        <v>291.40065947222843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1.316653928809733</v>
      </c>
      <c r="EC110" s="23">
        <f>EXP(-LN(2)/2)*EC109+(1-EXP(-LN(2)/2))/(LN(2)/2)*DW110*DZ110*VLOOKUP('Données projet'!$B$14,Paramètres!$A$1:$I$89,3,0)*0.475*44/12</f>
        <v>2.6924690953324689E-11</v>
      </c>
      <c r="ED110" s="24">
        <f t="shared" si="72"/>
        <v>1.3166539288366577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5</v>
      </c>
      <c r="EJ110" s="13">
        <f>IF('Données projet'!$A$192&gt;35,EJ109+EI110-ER109,IF(A110&lt;'Données projet'!$A$192,$EG$205^A110,IF(A110='Données projet'!$A$192,'Données projet'!$B$192,EJ109+EI110-ER109)))</f>
        <v>316.99999999999989</v>
      </c>
      <c r="EK110" s="18">
        <f>EJ110*VLOOKUP('Données projet'!$B$15,Paramètres!$A$1:$I$89,3,0)*VLOOKUP('Données projet'!$B$15,Paramètres!$A$1:$I$89,5,0)</f>
        <v>321.43799999999987</v>
      </c>
      <c r="EL110" s="14">
        <f t="shared" si="99"/>
        <v>75.652479406660177</v>
      </c>
      <c r="EM110" s="22">
        <f t="shared" si="73"/>
        <v>691.59925163326625</v>
      </c>
      <c r="EN110" s="62">
        <f t="shared" si="74"/>
        <v>973.3765492854227</v>
      </c>
      <c r="EO110" s="62">
        <f ca="1">AVERAGE(OFFSET($EN$3,0,0,'Données projet'!$E$15+1,1))-AVERAGE(OFFSET($H$3,0,0,'Données projet'!$E$15+1,1))</f>
        <v>514.72748286045442</v>
      </c>
      <c r="EP110" s="62">
        <f t="shared" si="100"/>
        <v>322.28702110656116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1.210053895794365</v>
      </c>
      <c r="EX110" s="23">
        <f>EXP(-LN(2)/2)*EX109+(1-EXP(-LN(2)/2))/(LN(2)/2)*ER110*EU110*VLOOKUP('Données projet'!$B$15,Paramètres!$A$1:$I$89,3,0)*0.475*44/12</f>
        <v>4.2983483532002481E-11</v>
      </c>
      <c r="EY110" s="24">
        <f t="shared" si="75"/>
        <v>1.2100538958373483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66.848353905133564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4.0999999999999996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15.033333333333331</v>
      </c>
      <c r="H111" s="70">
        <f t="shared" si="56"/>
        <v>196.53333333333333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70.794576398719499</v>
      </c>
      <c r="T111" s="62">
        <f t="shared" si="88"/>
        <v>328.91236364911629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2.4451955803086937E-13</v>
      </c>
      <c r="AC111" s="24">
        <f t="shared" si="57"/>
        <v>2.4451955803086937E-13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291.34559999999993</v>
      </c>
      <c r="AK111" s="14">
        <f t="shared" si="89"/>
        <v>69.359089490698707</v>
      </c>
      <c r="AL111" s="22">
        <f t="shared" si="58"/>
        <v>628.22733419630015</v>
      </c>
      <c r="AM111" s="62">
        <f t="shared" si="59"/>
        <v>910.20510323209965</v>
      </c>
      <c r="AN111" s="62">
        <f ca="1">AVERAGE(OFFSET($AM$3,0,0,'Données projet'!$E$10+1,1))-AVERAGE(OFFSET($H$3,0,0,'Données projet'!$E$10+1,1))</f>
        <v>466.75323833427217</v>
      </c>
      <c r="AO111" s="62">
        <f t="shared" si="90"/>
        <v>293.88550076209378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1.0502148413236025</v>
      </c>
      <c r="AW111" s="23">
        <f>EXP(-LN(2)/2)*AW110+(1-EXP(-LN(2)/2))/(LN(2)/2)*AQ111*AT111*VLOOKUP('Données projet'!$B$10,Paramètres!$A$1:$I$89,3,0)*0.475*44/12</f>
        <v>2.7120722087707068E-11</v>
      </c>
      <c r="AX111" s="23">
        <f t="shared" si="60"/>
        <v>1.0502148413507233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68.47741055388687</v>
      </c>
      <c r="BJ111" s="62">
        <f t="shared" si="92"/>
        <v>335.34467252166542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10.972812011852914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1.1301196147936895E-12</v>
      </c>
      <c r="BS111" s="24">
        <f t="shared" si="63"/>
        <v>10.972812011854044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3.3992364478763198E-14</v>
      </c>
      <c r="CA111" s="14">
        <f t="shared" si="93"/>
        <v>5.790027782444094E-13</v>
      </c>
      <c r="CB111" s="22">
        <f t="shared" si="64"/>
        <v>1.0676332069095257E-12</v>
      </c>
      <c r="CC111" s="62">
        <f t="shared" si="65"/>
        <v>281.97776903580052</v>
      </c>
      <c r="CD111" s="62">
        <f ca="1">AVERAGE(OFFSET($CC$3,0,0,'Données projet'!$E$12+1,1))-AVERAGE(OFFSET($H$3,0,0,'Données projet'!$E$12+1,1))</f>
        <v>211.76609132110815</v>
      </c>
      <c r="CE111" s="62">
        <f t="shared" si="94"/>
        <v>363.07965692095752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2.1076983803369229</v>
      </c>
      <c r="CL111" s="23">
        <f>EXP(-LN(2)/25)*CL110+(1-EXP(-LN(2)/25))/(LN(2)/25)*Calculateur!CG111*Calculateur!CI111*VLOOKUP('Données projet'!$B$12,Paramètres!$A$1:$I$89,3,0)*0.475*44/12</f>
        <v>0.62571822662118659</v>
      </c>
      <c r="CM111" s="23">
        <f>EXP(-LN(2)/2)*CM110+(1-EXP(-LN(2)/2))/(LN(2)/2)*CG111*CJ111*VLOOKUP('Données projet'!$B$12,Paramètres!$A$1:$I$89,3,0)*0.475*44/12</f>
        <v>4.2890205719199386E-12</v>
      </c>
      <c r="CN111" s="24">
        <f t="shared" si="66"/>
        <v>2.7334166069623986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-5.1431925385259088E-14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374.91250349988451</v>
      </c>
      <c r="CZ111" s="62">
        <f t="shared" si="96"/>
        <v>529.46825265662869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2.2584875320495015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2.2584875320495015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5.6843418860808015E-14</v>
      </c>
      <c r="DP111" s="18">
        <f>DO111*VLOOKUP('Données projet'!$B$14,Paramètres!$A$1:$I$89,3,0)*VLOOKUP('Données projet'!$B$14,Paramètres!$A$1:$I$89,5,0)</f>
        <v>4.9658410716801891E-14</v>
      </c>
      <c r="DQ111" s="14">
        <f t="shared" si="97"/>
        <v>8.0934058173791862E-13</v>
      </c>
      <c r="DR111" s="22">
        <f t="shared" si="70"/>
        <v>1.4960899118586383E-12</v>
      </c>
      <c r="DS111" s="62">
        <f t="shared" si="71"/>
        <v>281.97776903580092</v>
      </c>
      <c r="DT111" s="62">
        <f ca="1">AVERAGE(OFFSET($DS$3,0,0,'Données projet'!$E$14+1,1))-AVERAGE(OFFSET($H$3,0,0,'Données projet'!$E$14+1,1))</f>
        <v>289.18543665577761</v>
      </c>
      <c r="DU111" s="62">
        <f t="shared" si="98"/>
        <v>291.40065947222843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1.28064995788661</v>
      </c>
      <c r="EC111" s="23">
        <f>EXP(-LN(2)/2)*EC110+(1-EXP(-LN(2)/2))/(LN(2)/2)*DW111*DZ111*VLOOKUP('Données projet'!$B$14,Paramètres!$A$1:$I$89,3,0)*0.475*44/12</f>
        <v>1.9038631554447976E-11</v>
      </c>
      <c r="ED111" s="24">
        <f t="shared" si="72"/>
        <v>1.2806499579056485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5</v>
      </c>
      <c r="EJ111" s="13">
        <f>IF('Données projet'!$A$192&gt;35,EJ110+EI111-ER110,IF(A111&lt;'Données projet'!$A$192,$EG$205^A111,IF(A111='Données projet'!$A$192,'Données projet'!$B$192,EJ110+EI111-ER110)))</f>
        <v>321.99999999999989</v>
      </c>
      <c r="EK111" s="18">
        <f>EJ111*VLOOKUP('Données projet'!$B$15,Paramètres!$A$1:$I$89,3,0)*VLOOKUP('Données projet'!$B$15,Paramètres!$A$1:$I$89,5,0)</f>
        <v>326.50799999999987</v>
      </c>
      <c r="EL111" s="14">
        <f t="shared" si="99"/>
        <v>76.705878841344258</v>
      </c>
      <c r="EM111" s="22">
        <f t="shared" si="73"/>
        <v>702.26417231534106</v>
      </c>
      <c r="EN111" s="62">
        <f t="shared" si="74"/>
        <v>984.24194135114044</v>
      </c>
      <c r="EO111" s="62">
        <f ca="1">AVERAGE(OFFSET($EN$3,0,0,'Données projet'!$E$15+1,1))-AVERAGE(OFFSET($H$3,0,0,'Données projet'!$E$15+1,1))</f>
        <v>514.72748286045442</v>
      </c>
      <c r="EP111" s="62">
        <f t="shared" si="100"/>
        <v>322.28702110656116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1.1769649083798992</v>
      </c>
      <c r="EX111" s="23">
        <f>EXP(-LN(2)/2)*EX110+(1-EXP(-LN(2)/2))/(LN(2)/2)*ER111*EU111*VLOOKUP('Données projet'!$B$15,Paramètres!$A$1:$I$89,3,0)*0.475*44/12</f>
        <v>3.0393912684499247E-11</v>
      </c>
      <c r="EY111" s="24">
        <f t="shared" si="75"/>
        <v>1.1769649084102931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66.903027918854391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4.0999999999999996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15.033333333333331</v>
      </c>
      <c r="H112" s="70">
        <f t="shared" si="56"/>
        <v>196.53333333333333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70.794576398719499</v>
      </c>
      <c r="T112" s="62">
        <f t="shared" si="88"/>
        <v>328.91236364911629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1.7290143761636526E-13</v>
      </c>
      <c r="AC112" s="24">
        <f t="shared" si="57"/>
        <v>1.7290143761636526E-13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295.86959999999988</v>
      </c>
      <c r="AK112" s="14">
        <f t="shared" si="89"/>
        <v>70.309875568291218</v>
      </c>
      <c r="AL112" s="22">
        <f t="shared" si="58"/>
        <v>637.76258661477357</v>
      </c>
      <c r="AM112" s="62">
        <f t="shared" si="59"/>
        <v>919.93734930389678</v>
      </c>
      <c r="AN112" s="62">
        <f ca="1">AVERAGE(OFFSET($AM$3,0,0,'Données projet'!$E$10+1,1))-AVERAGE(OFFSET($H$3,0,0,'Données projet'!$E$10+1,1))</f>
        <v>466.75323833427217</v>
      </c>
      <c r="AO112" s="62">
        <f t="shared" si="90"/>
        <v>293.88550076209378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1.0214966612592105</v>
      </c>
      <c r="AW112" s="23">
        <f>EXP(-LN(2)/2)*AW111+(1-EXP(-LN(2)/2))/(LN(2)/2)*AQ112*AT112*VLOOKUP('Données projet'!$B$10,Paramètres!$A$1:$I$89,3,0)*0.475*44/12</f>
        <v>1.9177246498893448E-11</v>
      </c>
      <c r="AX112" s="23">
        <f t="shared" si="60"/>
        <v>1.0214966612783878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68.47741055388687</v>
      </c>
      <c r="BJ112" s="62">
        <f t="shared" si="92"/>
        <v>335.34467252166542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10.757641861054951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7.9911524317254676E-13</v>
      </c>
      <c r="BS112" s="24">
        <f t="shared" si="63"/>
        <v>10.757641861055751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3.3992364478763198E-14</v>
      </c>
      <c r="CA112" s="14">
        <f t="shared" si="93"/>
        <v>5.790027782444094E-13</v>
      </c>
      <c r="CB112" s="22">
        <f t="shared" si="64"/>
        <v>1.0676332069095257E-12</v>
      </c>
      <c r="CC112" s="62">
        <f t="shared" si="65"/>
        <v>282.17476268912424</v>
      </c>
      <c r="CD112" s="62">
        <f ca="1">AVERAGE(OFFSET($CC$3,0,0,'Données projet'!$E$12+1,1))-AVERAGE(OFFSET($H$3,0,0,'Données projet'!$E$12+1,1))</f>
        <v>211.76609132110815</v>
      </c>
      <c r="CE112" s="62">
        <f t="shared" si="94"/>
        <v>363.07965692095752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2.0663677006675885</v>
      </c>
      <c r="CL112" s="23">
        <f>EXP(-LN(2)/25)*CL111+(1-EXP(-LN(2)/25))/(LN(2)/25)*Calculateur!CG112*Calculateur!CI112*VLOOKUP('Données projet'!$B$12,Paramètres!$A$1:$I$89,3,0)*0.475*44/12</f>
        <v>0.60860792880913883</v>
      </c>
      <c r="CM112" s="23">
        <f>EXP(-LN(2)/2)*CM111+(1-EXP(-LN(2)/2))/(LN(2)/2)*CG112*CJ112*VLOOKUP('Données projet'!$B$12,Paramètres!$A$1:$I$89,3,0)*0.475*44/12</f>
        <v>3.032795531053193E-12</v>
      </c>
      <c r="CN112" s="24">
        <f t="shared" si="66"/>
        <v>2.6749756294797602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-5.1431925385259088E-14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374.91250349988451</v>
      </c>
      <c r="CZ112" s="62">
        <f t="shared" si="96"/>
        <v>529.46825265662869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2.2141999690873844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2.2141999690873844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5.6843418860808015E-14</v>
      </c>
      <c r="DP112" s="18">
        <f>DO112*VLOOKUP('Données projet'!$B$14,Paramètres!$A$1:$I$89,3,0)*VLOOKUP('Données projet'!$B$14,Paramètres!$A$1:$I$89,5,0)</f>
        <v>4.9658410716801891E-14</v>
      </c>
      <c r="DQ112" s="14">
        <f t="shared" si="97"/>
        <v>8.0934058173791862E-13</v>
      </c>
      <c r="DR112" s="22">
        <f t="shared" si="70"/>
        <v>1.4960899118586383E-12</v>
      </c>
      <c r="DS112" s="62">
        <f t="shared" si="71"/>
        <v>282.17476268912463</v>
      </c>
      <c r="DT112" s="62">
        <f ca="1">AVERAGE(OFFSET($DS$3,0,0,'Données projet'!$E$14+1,1))-AVERAGE(OFFSET($H$3,0,0,'Données projet'!$E$14+1,1))</f>
        <v>289.18543665577761</v>
      </c>
      <c r="DU112" s="62">
        <f t="shared" si="98"/>
        <v>291.40065947222843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1.2456305174417464</v>
      </c>
      <c r="EC112" s="23">
        <f>EXP(-LN(2)/2)*EC111+(1-EXP(-LN(2)/2))/(LN(2)/2)*DW112*DZ112*VLOOKUP('Données projet'!$B$14,Paramètres!$A$1:$I$89,3,0)*0.475*44/12</f>
        <v>1.3462345476662344E-11</v>
      </c>
      <c r="ED112" s="24">
        <f t="shared" si="72"/>
        <v>1.2456305174552087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5</v>
      </c>
      <c r="EJ112" s="13">
        <f>IF('Données projet'!$A$192&gt;35,EJ111+EI112-ER111,IF(A112&lt;'Données projet'!$A$192,$EG$205^A112,IF(A112='Données projet'!$A$192,'Données projet'!$B$192,EJ111+EI112-ER111)))</f>
        <v>326.99999999999989</v>
      </c>
      <c r="EK112" s="18">
        <f>EJ112*VLOOKUP('Données projet'!$B$15,Paramètres!$A$1:$I$89,3,0)*VLOOKUP('Données projet'!$B$15,Paramètres!$A$1:$I$89,5,0)</f>
        <v>331.57799999999992</v>
      </c>
      <c r="EL112" s="14">
        <f t="shared" si="99"/>
        <v>77.75737594442586</v>
      </c>
      <c r="EM112" s="22">
        <f t="shared" si="73"/>
        <v>712.92577976987479</v>
      </c>
      <c r="EN112" s="62">
        <f t="shared" si="74"/>
        <v>995.10054245899801</v>
      </c>
      <c r="EO112" s="62">
        <f ca="1">AVERAGE(OFFSET($EN$3,0,0,'Données projet'!$E$15+1,1))-AVERAGE(OFFSET($H$3,0,0,'Données projet'!$E$15+1,1))</f>
        <v>514.72748286045442</v>
      </c>
      <c r="EP112" s="62">
        <f t="shared" si="100"/>
        <v>322.28702110656116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1.1447807410663564</v>
      </c>
      <c r="EX112" s="23">
        <f>EXP(-LN(2)/2)*EX111+(1-EXP(-LN(2)/2))/(LN(2)/2)*ER112*EU112*VLOOKUP('Données projet'!$B$15,Paramètres!$A$1:$I$89,3,0)*0.475*44/12</f>
        <v>2.1491741766001241E-11</v>
      </c>
      <c r="EY112" s="24">
        <f t="shared" si="75"/>
        <v>1.1447807410878481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66.956753460669958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4.0999999999999996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15.033333333333331</v>
      </c>
      <c r="H113" s="70">
        <f t="shared" si="56"/>
        <v>196.53333333333333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70.794576398719499</v>
      </c>
      <c r="T113" s="62">
        <f t="shared" si="88"/>
        <v>328.91236364911629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1.2225977901543469E-13</v>
      </c>
      <c r="AC113" s="24">
        <f t="shared" si="57"/>
        <v>1.2225977901543469E-13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300.39359999999988</v>
      </c>
      <c r="AK113" s="14">
        <f t="shared" si="89"/>
        <v>71.258970856492667</v>
      </c>
      <c r="AL113" s="22">
        <f t="shared" si="58"/>
        <v>647.29489424172459</v>
      </c>
      <c r="AM113" s="62">
        <f t="shared" si="59"/>
        <v>929.66323318469813</v>
      </c>
      <c r="AN113" s="62">
        <f ca="1">AVERAGE(OFFSET($AM$3,0,0,'Données projet'!$E$10+1,1))-AVERAGE(OFFSET($H$3,0,0,'Données projet'!$E$10+1,1))</f>
        <v>466.75323833427217</v>
      </c>
      <c r="AO113" s="62">
        <f t="shared" si="90"/>
        <v>293.88550076209378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0.99356378133890255</v>
      </c>
      <c r="AW113" s="23">
        <f>EXP(-LN(2)/2)*AW112+(1-EXP(-LN(2)/2))/(LN(2)/2)*AQ113*AT113*VLOOKUP('Données projet'!$B$10,Paramètres!$A$1:$I$89,3,0)*0.475*44/12</f>
        <v>1.3560361043853534E-11</v>
      </c>
      <c r="AX113" s="23">
        <f t="shared" si="60"/>
        <v>0.99356378135246293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68.47741055388687</v>
      </c>
      <c r="BJ113" s="62">
        <f t="shared" si="92"/>
        <v>335.34467252166542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10.546691065673304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5.6505980739684473E-13</v>
      </c>
      <c r="BS113" s="24">
        <f t="shared" si="63"/>
        <v>10.546691065673869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3.3992364478763198E-14</v>
      </c>
      <c r="CA113" s="14">
        <f t="shared" si="93"/>
        <v>5.790027782444094E-13</v>
      </c>
      <c r="CB113" s="22">
        <f t="shared" si="64"/>
        <v>1.0676332069095257E-12</v>
      </c>
      <c r="CC113" s="62">
        <f t="shared" si="65"/>
        <v>282.36833894297467</v>
      </c>
      <c r="CD113" s="62">
        <f ca="1">AVERAGE(OFFSET($CC$3,0,0,'Données projet'!$E$12+1,1))-AVERAGE(OFFSET($H$3,0,0,'Données projet'!$E$12+1,1))</f>
        <v>211.76609132110815</v>
      </c>
      <c r="CE113" s="62">
        <f t="shared" si="94"/>
        <v>363.07965692095752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2.0258474904173442</v>
      </c>
      <c r="CL113" s="23">
        <f>EXP(-LN(2)/25)*CL112+(1-EXP(-LN(2)/25))/(LN(2)/25)*Calculateur!CG113*Calculateur!CI113*VLOOKUP('Données projet'!$B$12,Paramètres!$A$1:$I$89,3,0)*0.475*44/12</f>
        <v>0.591965512990553</v>
      </c>
      <c r="CM113" s="23">
        <f>EXP(-LN(2)/2)*CM112+(1-EXP(-LN(2)/2))/(LN(2)/2)*CG113*CJ113*VLOOKUP('Données projet'!$B$12,Paramètres!$A$1:$I$89,3,0)*0.475*44/12</f>
        <v>2.1445102859599693E-12</v>
      </c>
      <c r="CN113" s="24">
        <f t="shared" si="66"/>
        <v>2.6178130034100415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-5.1431925385259088E-14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374.91250349988451</v>
      </c>
      <c r="CZ113" s="62">
        <f t="shared" si="96"/>
        <v>529.46825265662869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2.1707808582222081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2.1707808582222081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5.6843418860808015E-14</v>
      </c>
      <c r="DP113" s="18">
        <f>DO113*VLOOKUP('Données projet'!$B$14,Paramètres!$A$1:$I$89,3,0)*VLOOKUP('Données projet'!$B$14,Paramètres!$A$1:$I$89,5,0)</f>
        <v>4.9658410716801891E-14</v>
      </c>
      <c r="DQ113" s="14">
        <f t="shared" si="97"/>
        <v>8.0934058173791862E-13</v>
      </c>
      <c r="DR113" s="22">
        <f t="shared" si="70"/>
        <v>1.4960899118586383E-12</v>
      </c>
      <c r="DS113" s="62">
        <f t="shared" si="71"/>
        <v>282.36833894297507</v>
      </c>
      <c r="DT113" s="62">
        <f ca="1">AVERAGE(OFFSET($DS$3,0,0,'Données projet'!$E$14+1,1))-AVERAGE(OFFSET($H$3,0,0,'Données projet'!$E$14+1,1))</f>
        <v>289.18543665577761</v>
      </c>
      <c r="DU113" s="62">
        <f t="shared" si="98"/>
        <v>291.40065947222843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1.2115686854374399</v>
      </c>
      <c r="EC113" s="23">
        <f>EXP(-LN(2)/2)*EC112+(1-EXP(-LN(2)/2))/(LN(2)/2)*DW113*DZ113*VLOOKUP('Données projet'!$B$14,Paramètres!$A$1:$I$89,3,0)*0.475*44/12</f>
        <v>9.519315777223988E-12</v>
      </c>
      <c r="ED113" s="24">
        <f t="shared" si="72"/>
        <v>1.2115686854469592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332</v>
      </c>
      <c r="EH113" s="13">
        <f>VLOOKUP(A113,'Données projet'!$A$191:$I$211,9,0)</f>
        <v>5</v>
      </c>
      <c r="EI113" s="13">
        <f t="array" ref="EI113">INDEX(EH:EH,MIN(IF(ISNUMBER(EH113:EH309),ROW(EH113:EH309),"")))</f>
        <v>5</v>
      </c>
      <c r="EJ113" s="13">
        <f>IF('Données projet'!$A$192&gt;35,EJ112+EI113-ER112,IF(A113&lt;'Données projet'!$A$192,$EG$205^A113,IF(A113='Données projet'!$A$192,'Données projet'!$B$192,EJ112+EI113-ER112)))</f>
        <v>331.99999999999989</v>
      </c>
      <c r="EK113" s="18">
        <f>EJ113*VLOOKUP('Données projet'!$B$15,Paramètres!$A$1:$I$89,3,0)*VLOOKUP('Données projet'!$B$15,Paramètres!$A$1:$I$89,5,0)</f>
        <v>336.64799999999991</v>
      </c>
      <c r="EL113" s="14">
        <f t="shared" si="99"/>
        <v>78.807003163010307</v>
      </c>
      <c r="EM113" s="22">
        <f t="shared" si="73"/>
        <v>723.58413050890942</v>
      </c>
      <c r="EN113" s="62">
        <f t="shared" si="74"/>
        <v>1005.952469451883</v>
      </c>
      <c r="EO113" s="62">
        <f ca="1">AVERAGE(OFFSET($EN$3,0,0,'Données projet'!$E$15+1,1))-AVERAGE(OFFSET($H$3,0,0,'Données projet'!$E$15+1,1))</f>
        <v>514.72748286045442</v>
      </c>
      <c r="EP113" s="62">
        <f t="shared" si="100"/>
        <v>322.28702110656116</v>
      </c>
      <c r="EQ113" s="16">
        <f>IF(ISNA(VLOOKUP(A113,'Données projet'!$A$191:$I$211,3,0)),0,VLOOKUP(A113,'Données projet'!$A$191:$I$211,3,0))</f>
        <v>19</v>
      </c>
      <c r="ER113" s="16">
        <f>IF(ISNA(VLOOKUP(A113,'Données projet'!$A$191:$I$211,4,0)),0,VLOOKUP(A113,'Données projet'!$A$191:$I$211,4,0))</f>
        <v>25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1.1134766515004941</v>
      </c>
      <c r="EX113" s="23">
        <f>EXP(-LN(2)/2)*EX112+(1-EXP(-LN(2)/2))/(LN(2)/2)*ER113*EU113*VLOOKUP('Données projet'!$B$15,Paramètres!$A$1:$I$89,3,0)*0.475*44/12</f>
        <v>1.5196956342249624E-11</v>
      </c>
      <c r="EY113" s="24">
        <f t="shared" si="75"/>
        <v>1.1134766515156911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67.00954698444734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4.0999999999999996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15.033333333333331</v>
      </c>
      <c r="H114" s="70">
        <f t="shared" si="56"/>
        <v>196.53333333333333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70.794576398719499</v>
      </c>
      <c r="T114" s="62">
        <f t="shared" si="88"/>
        <v>328.91236364911629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8.645071880818263E-14</v>
      </c>
      <c r="AC114" s="24">
        <f t="shared" si="57"/>
        <v>8.645071880818263E-14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281.93567999999988</v>
      </c>
      <c r="AK114" s="14">
        <f t="shared" si="89"/>
        <v>67.375909546040361</v>
      </c>
      <c r="AL114" s="22">
        <f t="shared" si="58"/>
        <v>608.38435179268674</v>
      </c>
      <c r="AM114" s="62">
        <f t="shared" si="59"/>
        <v>890.94290887427803</v>
      </c>
      <c r="AN114" s="62">
        <f ca="1">AVERAGE(OFFSET($AM$3,0,0,'Données projet'!$E$10+1,1))-AVERAGE(OFFSET($H$3,0,0,'Données projet'!$E$10+1,1))</f>
        <v>466.75323833427217</v>
      </c>
      <c r="AO114" s="62">
        <f t="shared" si="90"/>
        <v>293.88550076209378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0.96639472748894184</v>
      </c>
      <c r="AW114" s="23">
        <f>EXP(-LN(2)/2)*AW113+(1-EXP(-LN(2)/2))/(LN(2)/2)*AQ114*AT114*VLOOKUP('Données projet'!$B$10,Paramètres!$A$1:$I$89,3,0)*0.475*44/12</f>
        <v>9.5886232494467239E-12</v>
      </c>
      <c r="AX114" s="23">
        <f t="shared" si="60"/>
        <v>0.9663947274985305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68.47741055388687</v>
      </c>
      <c r="BJ114" s="62">
        <f t="shared" si="92"/>
        <v>335.34467252166542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10.339876886721809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3.9955762158627338E-13</v>
      </c>
      <c r="BS114" s="24">
        <f t="shared" si="63"/>
        <v>10.339876886722209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3.3992364478763198E-14</v>
      </c>
      <c r="CA114" s="14">
        <f t="shared" si="93"/>
        <v>5.790027782444094E-13</v>
      </c>
      <c r="CB114" s="22">
        <f t="shared" si="64"/>
        <v>1.0676332069095257E-12</v>
      </c>
      <c r="CC114" s="62">
        <f t="shared" si="65"/>
        <v>282.55855708159237</v>
      </c>
      <c r="CD114" s="62">
        <f ca="1">AVERAGE(OFFSET($CC$3,0,0,'Données projet'!$E$12+1,1))-AVERAGE(OFFSET($H$3,0,0,'Données projet'!$E$12+1,1))</f>
        <v>211.76609132110815</v>
      </c>
      <c r="CE114" s="62">
        <f t="shared" si="94"/>
        <v>363.07965692095752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1.9861218567752195</v>
      </c>
      <c r="CL114" s="23">
        <f>EXP(-LN(2)/25)*CL113+(1-EXP(-LN(2)/25))/(LN(2)/25)*Calculateur!CG114*Calculateur!CI114*VLOOKUP('Données projet'!$B$12,Paramètres!$A$1:$I$89,3,0)*0.475*44/12</f>
        <v>0.57577818490771293</v>
      </c>
      <c r="CM114" s="23">
        <f>EXP(-LN(2)/2)*CM113+(1-EXP(-LN(2)/2))/(LN(2)/2)*CG114*CJ114*VLOOKUP('Données projet'!$B$12,Paramètres!$A$1:$I$89,3,0)*0.475*44/12</f>
        <v>1.5163977655265965E-12</v>
      </c>
      <c r="CN114" s="24">
        <f t="shared" si="66"/>
        <v>2.5619000416844488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-5.1431925385259088E-14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374.91250349988451</v>
      </c>
      <c r="CZ114" s="62">
        <f t="shared" si="96"/>
        <v>529.46825265662869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2.1282131696380553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2.1282131696380553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4.9658410716801891E-14</v>
      </c>
      <c r="DQ114" s="14">
        <f t="shared" si="97"/>
        <v>8.0934058173791862E-13</v>
      </c>
      <c r="DR114" s="22">
        <f t="shared" si="70"/>
        <v>1.4960899118586383E-12</v>
      </c>
      <c r="DS114" s="62">
        <f t="shared" si="71"/>
        <v>282.55855708159277</v>
      </c>
      <c r="DT114" s="62">
        <f ca="1">AVERAGE(OFFSET($DS$3,0,0,'Données projet'!$E$14+1,1))-AVERAGE(OFFSET($H$3,0,0,'Données projet'!$E$14+1,1))</f>
        <v>289.18543665577761</v>
      </c>
      <c r="DU114" s="62">
        <f t="shared" si="98"/>
        <v>291.40065947222843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1.178438276020525</v>
      </c>
      <c r="EC114" s="23">
        <f>EXP(-LN(2)/2)*EC113+(1-EXP(-LN(2)/2))/(LN(2)/2)*DW114*DZ114*VLOOKUP('Données projet'!$B$14,Paramètres!$A$1:$I$89,3,0)*0.475*44/12</f>
        <v>6.7311727383311722E-12</v>
      </c>
      <c r="ED114" s="24">
        <f t="shared" si="72"/>
        <v>1.1784382760272563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4.5999999999999996</v>
      </c>
      <c r="EJ114" s="13">
        <f>IF('Données projet'!$A$192&gt;35,EJ113+EI114-ER113,IF(A114&lt;'Données projet'!$A$192,$EG$205^A114,IF(A114='Données projet'!$A$192,'Données projet'!$B$192,EJ113+EI114-ER113)))</f>
        <v>311.59999999999991</v>
      </c>
      <c r="EK114" s="18">
        <f>EJ114*VLOOKUP('Données projet'!$B$15,Paramètres!$A$1:$I$89,3,0)*VLOOKUP('Données projet'!$B$15,Paramètres!$A$1:$I$89,5,0)</f>
        <v>315.96239999999989</v>
      </c>
      <c r="EL114" s="14">
        <f t="shared" si="99"/>
        <v>74.512632625562503</v>
      </c>
      <c r="EM114" s="22">
        <f t="shared" si="73"/>
        <v>680.07734848952111</v>
      </c>
      <c r="EN114" s="62">
        <f t="shared" si="74"/>
        <v>962.6359055711124</v>
      </c>
      <c r="EO114" s="62">
        <f ca="1">AVERAGE(OFFSET($EN$3,0,0,'Données projet'!$E$15+1,1))-AVERAGE(OFFSET($H$3,0,0,'Données projet'!$E$15+1,1))</f>
        <v>514.72748286045442</v>
      </c>
      <c r="EP114" s="62">
        <f t="shared" si="100"/>
        <v>322.28702110656116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1.0830285739100209</v>
      </c>
      <c r="EX114" s="23">
        <f>EXP(-LN(2)/2)*EX113+(1-EXP(-LN(2)/2))/(LN(2)/2)*ER114*EU114*VLOOKUP('Données projet'!$B$15,Paramètres!$A$1:$I$89,3,0)*0.475*44/12</f>
        <v>1.074587088300062E-11</v>
      </c>
      <c r="EY114" s="24">
        <f t="shared" si="75"/>
        <v>1.0830285739207668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67.061424658615806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4.0999999999999996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15.033333333333331</v>
      </c>
      <c r="H115" s="70">
        <f t="shared" si="56"/>
        <v>196.53333333333333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70.794576398719499</v>
      </c>
      <c r="T115" s="62">
        <f t="shared" si="88"/>
        <v>328.91236364911629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6.1129889507717343E-14</v>
      </c>
      <c r="AC115" s="24">
        <f t="shared" si="57"/>
        <v>6.1129889507717343E-14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286.09775999999994</v>
      </c>
      <c r="AK115" s="14">
        <f t="shared" si="89"/>
        <v>68.254020651723678</v>
      </c>
      <c r="AL115" s="22">
        <f t="shared" si="58"/>
        <v>617.16268463508527</v>
      </c>
      <c r="AM115" s="62">
        <f t="shared" si="59"/>
        <v>899.90815999585334</v>
      </c>
      <c r="AN115" s="62">
        <f ca="1">AVERAGE(OFFSET($AM$3,0,0,'Données projet'!$E$10+1,1))-AVERAGE(OFFSET($H$3,0,0,'Données projet'!$E$10+1,1))</f>
        <v>466.75323833427217</v>
      </c>
      <c r="AO115" s="62">
        <f t="shared" si="90"/>
        <v>293.88550076209378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0.93996861284526678</v>
      </c>
      <c r="AW115" s="23">
        <f>EXP(-LN(2)/2)*AW114+(1-EXP(-LN(2)/2))/(LN(2)/2)*AQ115*AT115*VLOOKUP('Données projet'!$B$10,Paramètres!$A$1:$I$89,3,0)*0.475*44/12</f>
        <v>6.7801805219267669E-12</v>
      </c>
      <c r="AX115" s="23">
        <f t="shared" si="60"/>
        <v>0.93996861285204691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68.47741055388687</v>
      </c>
      <c r="BJ115" s="62">
        <f t="shared" si="92"/>
        <v>335.34467252166542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10.137118207675361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2.8252990369842236E-13</v>
      </c>
      <c r="BS115" s="24">
        <f t="shared" si="63"/>
        <v>10.137118207675643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3.3992364478763198E-14</v>
      </c>
      <c r="CA115" s="14">
        <f t="shared" si="93"/>
        <v>5.790027782444094E-13</v>
      </c>
      <c r="CB115" s="22">
        <f t="shared" si="64"/>
        <v>1.0676332069095257E-12</v>
      </c>
      <c r="CC115" s="62">
        <f t="shared" si="65"/>
        <v>282.74547536076921</v>
      </c>
      <c r="CD115" s="62">
        <f ca="1">AVERAGE(OFFSET($CC$3,0,0,'Données projet'!$E$12+1,1))-AVERAGE(OFFSET($H$3,0,0,'Données projet'!$E$12+1,1))</f>
        <v>211.76609132110815</v>
      </c>
      <c r="CE115" s="62">
        <f t="shared" si="94"/>
        <v>363.07965692095752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1.9471752185785727</v>
      </c>
      <c r="CL115" s="23">
        <f>EXP(-LN(2)/25)*CL114+(1-EXP(-LN(2)/25))/(LN(2)/25)*Calculateur!CG115*Calculateur!CI115*VLOOKUP('Données projet'!$B$12,Paramètres!$A$1:$I$89,3,0)*0.475*44/12</f>
        <v>0.56003350016255271</v>
      </c>
      <c r="CM115" s="23">
        <f>EXP(-LN(2)/2)*CM114+(1-EXP(-LN(2)/2))/(LN(2)/2)*CG115*CJ115*VLOOKUP('Données projet'!$B$12,Paramètres!$A$1:$I$89,3,0)*0.475*44/12</f>
        <v>1.0722551429799847E-12</v>
      </c>
      <c r="CN115" s="24">
        <f t="shared" si="66"/>
        <v>2.5072087187421981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-5.1431925385259088E-14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374.91250349988451</v>
      </c>
      <c r="CZ115" s="62">
        <f t="shared" si="96"/>
        <v>529.46825265662869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2.0864802074633118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2.0864802074633118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4.9658410716801891E-14</v>
      </c>
      <c r="DQ115" s="14">
        <f t="shared" si="97"/>
        <v>8.0934058173791862E-13</v>
      </c>
      <c r="DR115" s="22">
        <f t="shared" si="70"/>
        <v>1.4960899118586383E-12</v>
      </c>
      <c r="DS115" s="62">
        <f t="shared" si="71"/>
        <v>282.7454753607696</v>
      </c>
      <c r="DT115" s="62">
        <f ca="1">AVERAGE(OFFSET($DS$3,0,0,'Données projet'!$E$14+1,1))-AVERAGE(OFFSET($H$3,0,0,'Données projet'!$E$14+1,1))</f>
        <v>289.18543665577761</v>
      </c>
      <c r="DU115" s="62">
        <f t="shared" si="98"/>
        <v>291.40065947222843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1.1462138193913682</v>
      </c>
      <c r="EC115" s="23">
        <f>EXP(-LN(2)/2)*EC114+(1-EXP(-LN(2)/2))/(LN(2)/2)*DW115*DZ115*VLOOKUP('Données projet'!$B$14,Paramètres!$A$1:$I$89,3,0)*0.475*44/12</f>
        <v>4.759657888611994E-12</v>
      </c>
      <c r="ED115" s="24">
        <f t="shared" si="72"/>
        <v>1.146213819396128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4.5999999999999996</v>
      </c>
      <c r="EJ115" s="13">
        <f>IF('Données projet'!$A$192&gt;35,EJ114+EI115-ER114,IF(A115&lt;'Données projet'!$A$192,$EG$205^A115,IF(A115='Données projet'!$A$192,'Données projet'!$B$192,EJ114+EI115-ER114)))</f>
        <v>316.19999999999993</v>
      </c>
      <c r="EK115" s="18">
        <f>EJ115*VLOOKUP('Données projet'!$B$15,Paramètres!$A$1:$I$89,3,0)*VLOOKUP('Données projet'!$B$15,Paramètres!$A$1:$I$89,5,0)</f>
        <v>320.62679999999995</v>
      </c>
      <c r="EL115" s="14">
        <f t="shared" si="99"/>
        <v>75.483756735990909</v>
      </c>
      <c r="EM115" s="22">
        <f t="shared" si="73"/>
        <v>689.89255298185071</v>
      </c>
      <c r="EN115" s="62">
        <f t="shared" si="74"/>
        <v>972.63802834261878</v>
      </c>
      <c r="EO115" s="62">
        <f ca="1">AVERAGE(OFFSET($EN$3,0,0,'Données projet'!$E$15+1,1))-AVERAGE(OFFSET($H$3,0,0,'Données projet'!$E$15+1,1))</f>
        <v>514.72748286045442</v>
      </c>
      <c r="EP115" s="62">
        <f t="shared" si="100"/>
        <v>322.28702110656116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1.0534131006024541</v>
      </c>
      <c r="EX115" s="23">
        <f>EXP(-LN(2)/2)*EX114+(1-EXP(-LN(2)/2))/(LN(2)/2)*ER115*EU115*VLOOKUP('Données projet'!$B$15,Paramètres!$A$1:$I$89,3,0)*0.475*44/12</f>
        <v>7.5984781711248118E-12</v>
      </c>
      <c r="EY115" s="24">
        <f t="shared" si="75"/>
        <v>1.0534131006100527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67.112402371118577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4.0999999999999996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15.033333333333331</v>
      </c>
      <c r="H116" s="70">
        <f t="shared" si="56"/>
        <v>196.53333333333333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70.794576398719499</v>
      </c>
      <c r="T116" s="62">
        <f t="shared" si="88"/>
        <v>328.91236364911629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4.3225359404091315E-14</v>
      </c>
      <c r="AC116" s="24">
        <f t="shared" si="57"/>
        <v>4.3225359404091315E-14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290.25983999999994</v>
      </c>
      <c r="AK116" s="14">
        <f t="shared" si="89"/>
        <v>69.130646003237317</v>
      </c>
      <c r="AL116" s="22">
        <f t="shared" si="58"/>
        <v>625.93842978897146</v>
      </c>
      <c r="AM116" s="62">
        <f t="shared" si="59"/>
        <v>908.86758081465928</v>
      </c>
      <c r="AN116" s="62">
        <f ca="1">AVERAGE(OFFSET($AM$3,0,0,'Données projet'!$E$10+1,1))-AVERAGE(OFFSET($H$3,0,0,'Données projet'!$E$10+1,1))</f>
        <v>466.75323833427217</v>
      </c>
      <c r="AO116" s="62">
        <f t="shared" si="90"/>
        <v>293.88550076209378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0.91426512169621199</v>
      </c>
      <c r="AW116" s="23">
        <f>EXP(-LN(2)/2)*AW115+(1-EXP(-LN(2)/2))/(LN(2)/2)*AQ116*AT116*VLOOKUP('Données projet'!$B$10,Paramètres!$A$1:$I$89,3,0)*0.475*44/12</f>
        <v>4.7943116247233619E-12</v>
      </c>
      <c r="AX116" s="23">
        <f t="shared" si="60"/>
        <v>0.91426512170100627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68.47741055388687</v>
      </c>
      <c r="BJ116" s="62">
        <f t="shared" si="92"/>
        <v>335.34467252166542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9.9383355026544304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1.9977881079313669E-13</v>
      </c>
      <c r="BS116" s="24">
        <f t="shared" si="63"/>
        <v>9.9383355026546294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3.3992364478763198E-14</v>
      </c>
      <c r="CA116" s="14">
        <f t="shared" si="93"/>
        <v>5.790027782444094E-13</v>
      </c>
      <c r="CB116" s="22">
        <f t="shared" si="64"/>
        <v>1.0676332069095257E-12</v>
      </c>
      <c r="CC116" s="62">
        <f t="shared" si="65"/>
        <v>282.92915102568895</v>
      </c>
      <c r="CD116" s="62">
        <f ca="1">AVERAGE(OFFSET($CC$3,0,0,'Données projet'!$E$12+1,1))-AVERAGE(OFFSET($H$3,0,0,'Données projet'!$E$12+1,1))</f>
        <v>211.76609132110815</v>
      </c>
      <c r="CE116" s="62">
        <f t="shared" si="94"/>
        <v>363.07965692095752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1.9089923002018585</v>
      </c>
      <c r="CL116" s="23">
        <f>EXP(-LN(2)/25)*CL115+(1-EXP(-LN(2)/25))/(LN(2)/25)*Calculateur!CG116*Calculateur!CI116*VLOOKUP('Données projet'!$B$12,Paramètres!$A$1:$I$89,3,0)*0.475*44/12</f>
        <v>0.54471935464972587</v>
      </c>
      <c r="CM116" s="23">
        <f>EXP(-LN(2)/2)*CM115+(1-EXP(-LN(2)/2))/(LN(2)/2)*CG116*CJ116*VLOOKUP('Données projet'!$B$12,Paramètres!$A$1:$I$89,3,0)*0.475*44/12</f>
        <v>7.5819888276329825E-13</v>
      </c>
      <c r="CN116" s="24">
        <f t="shared" si="66"/>
        <v>2.4537116548523423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-5.1431925385259088E-14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374.91250349988451</v>
      </c>
      <c r="CZ116" s="62">
        <f t="shared" si="96"/>
        <v>529.46825265662869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2.0455656032222214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2.0455656032222214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4.9658410716801891E-14</v>
      </c>
      <c r="DQ116" s="14">
        <f t="shared" si="97"/>
        <v>8.0934058173791862E-13</v>
      </c>
      <c r="DR116" s="22">
        <f t="shared" si="70"/>
        <v>1.4960899118586383E-12</v>
      </c>
      <c r="DS116" s="62">
        <f t="shared" si="71"/>
        <v>282.92915102568935</v>
      </c>
      <c r="DT116" s="62">
        <f ca="1">AVERAGE(OFFSET($DS$3,0,0,'Données projet'!$E$14+1,1))-AVERAGE(OFFSET($H$3,0,0,'Données projet'!$E$14+1,1))</f>
        <v>289.18543665577761</v>
      </c>
      <c r="DU116" s="62">
        <f t="shared" si="98"/>
        <v>291.40065947222843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1.1148705422233463</v>
      </c>
      <c r="EC116" s="23">
        <f>EXP(-LN(2)/2)*EC115+(1-EXP(-LN(2)/2))/(LN(2)/2)*DW116*DZ116*VLOOKUP('Données projet'!$B$14,Paramètres!$A$1:$I$89,3,0)*0.475*44/12</f>
        <v>3.3655863691655861E-12</v>
      </c>
      <c r="ED116" s="24">
        <f t="shared" si="72"/>
        <v>1.1148705422267118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4.5999999999999996</v>
      </c>
      <c r="EJ116" s="13">
        <f>IF('Données projet'!$A$192&gt;35,EJ115+EI116-ER115,IF(A116&lt;'Données projet'!$A$192,$EG$205^A116,IF(A116='Données projet'!$A$192,'Données projet'!$B$192,EJ115+EI116-ER115)))</f>
        <v>320.79999999999995</v>
      </c>
      <c r="EK116" s="18">
        <f>EJ116*VLOOKUP('Données projet'!$B$15,Paramètres!$A$1:$I$89,3,0)*VLOOKUP('Données projet'!$B$15,Paramètres!$A$1:$I$89,5,0)</f>
        <v>325.2912</v>
      </c>
      <c r="EL116" s="14">
        <f t="shared" si="99"/>
        <v>76.453237715285965</v>
      </c>
      <c r="EM116" s="22">
        <f t="shared" si="73"/>
        <v>699.70489568745631</v>
      </c>
      <c r="EN116" s="62">
        <f t="shared" si="74"/>
        <v>982.63404671314424</v>
      </c>
      <c r="EO116" s="62">
        <f ca="1">AVERAGE(OFFSET($EN$3,0,0,'Données projet'!$E$15+1,1))-AVERAGE(OFFSET($H$3,0,0,'Données projet'!$E$15+1,1))</f>
        <v>514.72748286045442</v>
      </c>
      <c r="EP116" s="62">
        <f t="shared" si="100"/>
        <v>322.28702110656116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1.0246074639698926</v>
      </c>
      <c r="EX116" s="23">
        <f>EXP(-LN(2)/2)*EX115+(1-EXP(-LN(2)/2))/(LN(2)/2)*ER116*EU116*VLOOKUP('Données projet'!$B$15,Paramètres!$A$1:$I$89,3,0)*0.475*44/12</f>
        <v>5.3729354415003102E-12</v>
      </c>
      <c r="EY116" s="24">
        <f t="shared" si="75"/>
        <v>1.0246074639752656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67.162495734278508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4.0999999999999996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15.033333333333331</v>
      </c>
      <c r="H117" s="70">
        <f t="shared" si="56"/>
        <v>196.53333333333333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70.794576398719499</v>
      </c>
      <c r="T117" s="62">
        <f t="shared" si="88"/>
        <v>328.91236364911629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3.0564944753858671E-14</v>
      </c>
      <c r="AC117" s="24">
        <f t="shared" si="57"/>
        <v>3.0564944753858671E-14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294.42191999999994</v>
      </c>
      <c r="AK117" s="14">
        <f t="shared" si="89"/>
        <v>70.005809366676559</v>
      </c>
      <c r="AL117" s="22">
        <f t="shared" si="58"/>
        <v>634.71162864696146</v>
      </c>
      <c r="AM117" s="62">
        <f t="shared" si="59"/>
        <v>917.82126897542003</v>
      </c>
      <c r="AN117" s="62">
        <f ca="1">AVERAGE(OFFSET($AM$3,0,0,'Données projet'!$E$10+1,1))-AVERAGE(OFFSET($H$3,0,0,'Données projet'!$E$10+1,1))</f>
        <v>466.75323833427217</v>
      </c>
      <c r="AO117" s="62">
        <f t="shared" si="90"/>
        <v>293.88550076209378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0.88926449386431594</v>
      </c>
      <c r="AW117" s="23">
        <f>EXP(-LN(2)/2)*AW116+(1-EXP(-LN(2)/2))/(LN(2)/2)*AQ117*AT117*VLOOKUP('Données projet'!$B$10,Paramètres!$A$1:$I$89,3,0)*0.475*44/12</f>
        <v>3.3900902609633835E-12</v>
      </c>
      <c r="AX117" s="23">
        <f t="shared" si="60"/>
        <v>0.88926449386770601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68.47741055388687</v>
      </c>
      <c r="BJ117" s="62">
        <f t="shared" si="92"/>
        <v>335.34467252166542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9.7434508052334827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1.4126495184921118E-13</v>
      </c>
      <c r="BS117" s="24">
        <f t="shared" si="63"/>
        <v>9.7434508052336248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3.3992364478763198E-14</v>
      </c>
      <c r="CA117" s="14">
        <f t="shared" si="93"/>
        <v>5.790027782444094E-13</v>
      </c>
      <c r="CB117" s="22">
        <f t="shared" si="64"/>
        <v>1.0676332069095257E-12</v>
      </c>
      <c r="CC117" s="62">
        <f t="shared" si="65"/>
        <v>283.10964032845959</v>
      </c>
      <c r="CD117" s="62">
        <f ca="1">AVERAGE(OFFSET($CC$3,0,0,'Données projet'!$E$12+1,1))-AVERAGE(OFFSET($H$3,0,0,'Données projet'!$E$12+1,1))</f>
        <v>211.76609132110815</v>
      </c>
      <c r="CE117" s="62">
        <f t="shared" si="94"/>
        <v>363.07965692095752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1.8715581255652312</v>
      </c>
      <c r="CL117" s="23">
        <f>EXP(-LN(2)/25)*CL116+(1-EXP(-LN(2)/25))/(LN(2)/25)*Calculateur!CG117*Calculateur!CI117*VLOOKUP('Données projet'!$B$12,Paramètres!$A$1:$I$89,3,0)*0.475*44/12</f>
        <v>0.52982397525128322</v>
      </c>
      <c r="CM117" s="23">
        <f>EXP(-LN(2)/2)*CM116+(1-EXP(-LN(2)/2))/(LN(2)/2)*CG117*CJ117*VLOOKUP('Données projet'!$B$12,Paramètres!$A$1:$I$89,3,0)*0.475*44/12</f>
        <v>5.3612757148999233E-13</v>
      </c>
      <c r="CN117" s="24">
        <f t="shared" si="66"/>
        <v>2.4013821008170502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-5.1431925385259088E-14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374.91250349988451</v>
      </c>
      <c r="CZ117" s="62">
        <f t="shared" si="96"/>
        <v>529.46825265662869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2.0054533094148543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2.0054533094148543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4.9658410716801891E-14</v>
      </c>
      <c r="DQ117" s="14">
        <f t="shared" si="97"/>
        <v>8.0934058173791862E-13</v>
      </c>
      <c r="DR117" s="22">
        <f t="shared" si="70"/>
        <v>1.4960899118586383E-12</v>
      </c>
      <c r="DS117" s="62">
        <f t="shared" si="71"/>
        <v>283.10964032845999</v>
      </c>
      <c r="DT117" s="62">
        <f ca="1">AVERAGE(OFFSET($DS$3,0,0,'Données projet'!$E$14+1,1))-AVERAGE(OFFSET($H$3,0,0,'Données projet'!$E$14+1,1))</f>
        <v>289.18543665577761</v>
      </c>
      <c r="DU117" s="62">
        <f t="shared" si="98"/>
        <v>291.40065947222843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1.0843843486177551</v>
      </c>
      <c r="EC117" s="23">
        <f>EXP(-LN(2)/2)*EC116+(1-EXP(-LN(2)/2))/(LN(2)/2)*DW117*DZ117*VLOOKUP('Données projet'!$B$14,Paramètres!$A$1:$I$89,3,0)*0.475*44/12</f>
        <v>2.379828944305997E-12</v>
      </c>
      <c r="ED117" s="24">
        <f t="shared" si="72"/>
        <v>1.084384348620135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4.5999999999999996</v>
      </c>
      <c r="EJ117" s="13">
        <f>IF('Données projet'!$A$192&gt;35,EJ116+EI117-ER116,IF(A117&lt;'Données projet'!$A$192,$EG$205^A117,IF(A117='Données projet'!$A$192,'Données projet'!$B$192,EJ116+EI117-ER116)))</f>
        <v>325.39999999999998</v>
      </c>
      <c r="EK117" s="18">
        <f>EJ117*VLOOKUP('Données projet'!$B$15,Paramètres!$A$1:$I$89,3,0)*VLOOKUP('Données projet'!$B$15,Paramètres!$A$1:$I$89,5,0)</f>
        <v>329.9556</v>
      </c>
      <c r="EL117" s="14">
        <f t="shared" si="99"/>
        <v>77.421101846941795</v>
      </c>
      <c r="EM117" s="22">
        <f t="shared" si="73"/>
        <v>709.51442238342361</v>
      </c>
      <c r="EN117" s="62">
        <f t="shared" si="74"/>
        <v>992.62406271188206</v>
      </c>
      <c r="EO117" s="62">
        <f ca="1">AVERAGE(OFFSET($EN$3,0,0,'Données projet'!$E$15+1,1))-AVERAGE(OFFSET($H$3,0,0,'Données projet'!$E$15+1,1))</f>
        <v>514.72748286045442</v>
      </c>
      <c r="EP117" s="62">
        <f t="shared" si="100"/>
        <v>322.28702110656116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0.99658951898587111</v>
      </c>
      <c r="EX117" s="23">
        <f>EXP(-LN(2)/2)*EX116+(1-EXP(-LN(2)/2))/(LN(2)/2)*ER117*EU117*VLOOKUP('Données projet'!$B$15,Paramètres!$A$1:$I$89,3,0)*0.475*44/12</f>
        <v>3.7992390855624059E-12</v>
      </c>
      <c r="EY117" s="24">
        <f t="shared" si="75"/>
        <v>0.99658951898967041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67.211720089579586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4.0999999999999996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15.033333333333331</v>
      </c>
      <c r="H118" s="70">
        <f t="shared" si="56"/>
        <v>196.53333333333333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70.794576398719499</v>
      </c>
      <c r="T118" s="62">
        <f t="shared" si="88"/>
        <v>328.91236364911629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2.1612679702045658E-14</v>
      </c>
      <c r="AC118" s="24">
        <f t="shared" si="57"/>
        <v>2.1612679702045658E-14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298.58399999999995</v>
      </c>
      <c r="AK118" s="14">
        <f t="shared" si="89"/>
        <v>70.879533797607607</v>
      </c>
      <c r="AL118" s="22">
        <f t="shared" si="58"/>
        <v>643.48232136416652</v>
      </c>
      <c r="AM118" s="62">
        <f t="shared" si="59"/>
        <v>926.76931990950629</v>
      </c>
      <c r="AN118" s="62">
        <f ca="1">AVERAGE(OFFSET($AM$3,0,0,'Données projet'!$E$10+1,1))-AVERAGE(OFFSET($H$3,0,0,'Données projet'!$E$10+1,1))</f>
        <v>466.75323833427217</v>
      </c>
      <c r="AO118" s="62">
        <f t="shared" si="90"/>
        <v>293.88550076209378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0.86494750951520893</v>
      </c>
      <c r="AW118" s="23">
        <f>EXP(-LN(2)/2)*AW117+(1-EXP(-LN(2)/2))/(LN(2)/2)*AQ118*AT118*VLOOKUP('Données projet'!$B$10,Paramètres!$A$1:$I$89,3,0)*0.475*44/12</f>
        <v>2.397155812361681E-12</v>
      </c>
      <c r="AX118" s="23">
        <f t="shared" si="60"/>
        <v>0.86494750951760613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68.47741055388687</v>
      </c>
      <c r="BJ118" s="62">
        <f t="shared" si="92"/>
        <v>335.34467252166542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9.5523876778610308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9.9889405396568345E-14</v>
      </c>
      <c r="BS118" s="24">
        <f t="shared" si="63"/>
        <v>9.5523876778611303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3.3992364478763198E-14</v>
      </c>
      <c r="CA118" s="14">
        <f t="shared" si="93"/>
        <v>5.790027782444094E-13</v>
      </c>
      <c r="CB118" s="22">
        <f t="shared" si="64"/>
        <v>1.0676332069095257E-12</v>
      </c>
      <c r="CC118" s="62">
        <f t="shared" si="65"/>
        <v>283.28699854534079</v>
      </c>
      <c r="CD118" s="62">
        <f ca="1">AVERAGE(OFFSET($CC$3,0,0,'Données projet'!$E$12+1,1))-AVERAGE(OFFSET($H$3,0,0,'Données projet'!$E$12+1,1))</f>
        <v>211.76609132110815</v>
      </c>
      <c r="CE118" s="62">
        <f t="shared" si="94"/>
        <v>363.07965692095752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1.8348580122606362</v>
      </c>
      <c r="CL118" s="23">
        <f>EXP(-LN(2)/25)*CL117+(1-EXP(-LN(2)/25))/(LN(2)/25)*Calculateur!CG118*Calculateur!CI118*VLOOKUP('Données projet'!$B$12,Paramètres!$A$1:$I$89,3,0)*0.475*44/12</f>
        <v>0.51533591078580498</v>
      </c>
      <c r="CM118" s="23">
        <f>EXP(-LN(2)/2)*CM117+(1-EXP(-LN(2)/2))/(LN(2)/2)*CG118*CJ118*VLOOKUP('Données projet'!$B$12,Paramètres!$A$1:$I$89,3,0)*0.475*44/12</f>
        <v>3.7909944138164913E-13</v>
      </c>
      <c r="CN118" s="24">
        <f t="shared" si="66"/>
        <v>2.3501939230468203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-5.1431925385259088E-14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374.91250349988451</v>
      </c>
      <c r="CZ118" s="62">
        <f t="shared" si="96"/>
        <v>529.46825265662869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1.9661275932229663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1.9661275932229663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4.9658410716801891E-14</v>
      </c>
      <c r="DQ118" s="14">
        <f t="shared" si="97"/>
        <v>8.0934058173791862E-13</v>
      </c>
      <c r="DR118" s="22">
        <f t="shared" si="70"/>
        <v>1.4960899118586383E-12</v>
      </c>
      <c r="DS118" s="62">
        <f t="shared" si="71"/>
        <v>283.28699854534119</v>
      </c>
      <c r="DT118" s="62">
        <f ca="1">AVERAGE(OFFSET($DS$3,0,0,'Données projet'!$E$14+1,1))-AVERAGE(OFFSET($H$3,0,0,'Données projet'!$E$14+1,1))</f>
        <v>289.18543665577761</v>
      </c>
      <c r="DU118" s="62">
        <f t="shared" si="98"/>
        <v>291.40065947222843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1.0547318015795082</v>
      </c>
      <c r="EC118" s="23">
        <f>EXP(-LN(2)/2)*EC117+(1-EXP(-LN(2)/2))/(LN(2)/2)*DW118*DZ118*VLOOKUP('Données projet'!$B$14,Paramètres!$A$1:$I$89,3,0)*0.475*44/12</f>
        <v>1.682793184582793E-12</v>
      </c>
      <c r="ED118" s="24">
        <f t="shared" si="72"/>
        <v>1.0547318015811911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330</v>
      </c>
      <c r="EH118" s="13">
        <f>VLOOKUP(A118,'Données projet'!$A$191:$I$211,9,0)</f>
        <v>4.5999999999999996</v>
      </c>
      <c r="EI118" s="13">
        <f t="array" ref="EI118">INDEX(EH:EH,MIN(IF(ISNUMBER(EH118:EH314),ROW(EH118:EH314),"")))</f>
        <v>4.5999999999999996</v>
      </c>
      <c r="EJ118" s="13">
        <f>IF('Données projet'!$A$192&gt;35,EJ117+EI118-ER117,IF(A118&lt;'Données projet'!$A$192,$EG$205^A118,IF(A118='Données projet'!$A$192,'Données projet'!$B$192,EJ117+EI118-ER117)))</f>
        <v>330</v>
      </c>
      <c r="EK118" s="18">
        <f>EJ118*VLOOKUP('Données projet'!$B$15,Paramètres!$A$1:$I$89,3,0)*VLOOKUP('Données projet'!$B$15,Paramètres!$A$1:$I$89,5,0)</f>
        <v>334.62</v>
      </c>
      <c r="EL118" s="14">
        <f t="shared" si="99"/>
        <v>78.387374628661505</v>
      </c>
      <c r="EM118" s="22">
        <f t="shared" si="73"/>
        <v>719.32117747825214</v>
      </c>
      <c r="EN118" s="62">
        <f t="shared" si="74"/>
        <v>1002.6081760235918</v>
      </c>
      <c r="EO118" s="62">
        <f ca="1">AVERAGE(OFFSET($EN$3,0,0,'Données projet'!$E$15+1,1))-AVERAGE(OFFSET($H$3,0,0,'Données projet'!$E$15+1,1))</f>
        <v>514.72748286045442</v>
      </c>
      <c r="EP118" s="62">
        <f t="shared" si="100"/>
        <v>322.28702110656116</v>
      </c>
      <c r="EQ118" s="16">
        <f>IF(ISNA(VLOOKUP(A118,'Données projet'!$A$191:$I$211,3,0)),0,VLOOKUP(A118,'Données projet'!$A$191:$I$211,3,0))</f>
        <v>20</v>
      </c>
      <c r="ER118" s="16">
        <f>IF(ISNA(VLOOKUP(A118,'Données projet'!$A$191:$I$211,4,0)),0,VLOOKUP(A118,'Données projet'!$A$191:$I$211,4,0))</f>
        <v>330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0.96933772618083736</v>
      </c>
      <c r="EX118" s="23">
        <f>EXP(-LN(2)/2)*EX117+(1-EXP(-LN(2)/2))/(LN(2)/2)*ER118*EU118*VLOOKUP('Données projet'!$B$15,Paramètres!$A$1:$I$89,3,0)*0.475*44/12</f>
        <v>2.6864677207501551E-12</v>
      </c>
      <c r="EY118" s="24">
        <f t="shared" si="75"/>
        <v>0.96933772618352387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67.26009051236538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4.0999999999999996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15.033333333333331</v>
      </c>
      <c r="H119" s="70">
        <f t="shared" si="56"/>
        <v>196.53333333333333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70.794576398719499</v>
      </c>
      <c r="T119" s="62">
        <f t="shared" si="88"/>
        <v>328.91236364911629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1.5282472376929336E-14</v>
      </c>
      <c r="AC119" s="24">
        <f t="shared" si="57"/>
        <v>1.5282472376929336E-14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466.75323833427217</v>
      </c>
      <c r="AO119" s="62">
        <f t="shared" si="90"/>
        <v>293.88550076209378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0.84129547438190289</v>
      </c>
      <c r="AW119" s="23">
        <f>EXP(-LN(2)/2)*AW118+(1-EXP(-LN(2)/2))/(LN(2)/2)*AQ119*AT119*VLOOKUP('Données projet'!$B$10,Paramètres!$A$1:$I$89,3,0)*0.475*44/12</f>
        <v>1.6950451304816917E-12</v>
      </c>
      <c r="AX119" s="23">
        <f t="shared" si="60"/>
        <v>0.84129547438359797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68.47741055388687</v>
      </c>
      <c r="BJ119" s="62">
        <f t="shared" si="92"/>
        <v>335.34467252166542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9.3650711818793528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7.0632475924605591E-14</v>
      </c>
      <c r="BS119" s="24">
        <f t="shared" si="63"/>
        <v>9.3650711818794239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3.3992364478763198E-14</v>
      </c>
      <c r="CA119" s="14">
        <f t="shared" si="93"/>
        <v>5.790027782444094E-13</v>
      </c>
      <c r="CB119" s="22">
        <f t="shared" si="64"/>
        <v>1.0676332069095257E-12</v>
      </c>
      <c r="CC119" s="62">
        <f t="shared" si="65"/>
        <v>283.46127999367269</v>
      </c>
      <c r="CD119" s="62">
        <f ca="1">AVERAGE(OFFSET($CC$3,0,0,'Données projet'!$E$12+1,1))-AVERAGE(OFFSET($H$3,0,0,'Données projet'!$E$12+1,1))</f>
        <v>211.76609132110815</v>
      </c>
      <c r="CE119" s="62">
        <f t="shared" si="94"/>
        <v>363.07965692095752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1.7988775657930853</v>
      </c>
      <c r="CL119" s="23">
        <f>EXP(-LN(2)/25)*CL118+(1-EXP(-LN(2)/25))/(LN(2)/25)*Calculateur!CG119*Calculateur!CI119*VLOOKUP('Données projet'!$B$12,Paramètres!$A$1:$I$89,3,0)*0.475*44/12</f>
        <v>0.50124402320502937</v>
      </c>
      <c r="CM119" s="23">
        <f>EXP(-LN(2)/2)*CM118+(1-EXP(-LN(2)/2))/(LN(2)/2)*CG119*CJ119*VLOOKUP('Données projet'!$B$12,Paramètres!$A$1:$I$89,3,0)*0.475*44/12</f>
        <v>2.6806378574499616E-13</v>
      </c>
      <c r="CN119" s="24">
        <f t="shared" si="66"/>
        <v>2.3001215889983828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-5.1431925385259088E-14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374.91250349988451</v>
      </c>
      <c r="CZ119" s="62">
        <f t="shared" si="96"/>
        <v>529.46825265662869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1.9275730303392826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1.9275730303392826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4.9658410716801891E-14</v>
      </c>
      <c r="DQ119" s="14">
        <f t="shared" si="97"/>
        <v>8.0934058173791862E-13</v>
      </c>
      <c r="DR119" s="22">
        <f t="shared" si="70"/>
        <v>1.4960899118586383E-12</v>
      </c>
      <c r="DS119" s="62">
        <f t="shared" si="71"/>
        <v>283.46127999367309</v>
      </c>
      <c r="DT119" s="62">
        <f ca="1">AVERAGE(OFFSET($DS$3,0,0,'Données projet'!$E$14+1,1))-AVERAGE(OFFSET($H$3,0,0,'Données projet'!$E$14+1,1))</f>
        <v>289.18543665577761</v>
      </c>
      <c r="DU119" s="62">
        <f t="shared" si="98"/>
        <v>291.40065947222843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1.0258901049993818</v>
      </c>
      <c r="EC119" s="23">
        <f>EXP(-LN(2)/2)*EC118+(1-EXP(-LN(2)/2))/(LN(2)/2)*DW119*DZ119*VLOOKUP('Données projet'!$B$14,Paramètres!$A$1:$I$89,3,0)*0.475*44/12</f>
        <v>1.1899144721529985E-12</v>
      </c>
      <c r="ED119" s="24">
        <f t="shared" si="72"/>
        <v>1.0258901050005718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514.72748286045442</v>
      </c>
      <c r="EP119" s="62">
        <f t="shared" si="100"/>
        <v>322.28702110656116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0.94283113508316674</v>
      </c>
      <c r="EX119" s="23">
        <f>EXP(-LN(2)/2)*EX118+(1-EXP(-LN(2)/2))/(LN(2)/2)*ER119*EU119*VLOOKUP('Données projet'!$B$15,Paramètres!$A$1:$I$89,3,0)*0.475*44/12</f>
        <v>1.899619542781203E-12</v>
      </c>
      <c r="EY119" s="24">
        <f t="shared" si="75"/>
        <v>0.94283113508506633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67.307621816455892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4.0999999999999996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15.033333333333331</v>
      </c>
      <c r="H120" s="70">
        <f t="shared" si="56"/>
        <v>196.53333333333333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70.794576398719499</v>
      </c>
      <c r="T120" s="62">
        <f t="shared" si="88"/>
        <v>328.91236364911629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1.0806339851022829E-14</v>
      </c>
      <c r="AC120" s="24">
        <f t="shared" si="57"/>
        <v>1.0806339851022829E-14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466.75323833427217</v>
      </c>
      <c r="AO120" s="62">
        <f t="shared" si="90"/>
        <v>293.88550076209378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0.81829020539312358</v>
      </c>
      <c r="AW120" s="23">
        <f>EXP(-LN(2)/2)*AW119+(1-EXP(-LN(2)/2))/(LN(2)/2)*AQ120*AT120*VLOOKUP('Données projet'!$B$10,Paramètres!$A$1:$I$89,3,0)*0.475*44/12</f>
        <v>1.1985779061808405E-12</v>
      </c>
      <c r="AX120" s="23">
        <f t="shared" si="60"/>
        <v>0.81829020539432218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68.47741055388687</v>
      </c>
      <c r="BJ120" s="62">
        <f t="shared" si="92"/>
        <v>335.34467252166542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9.1814278481320937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4.9944702698284173E-14</v>
      </c>
      <c r="BS120" s="24">
        <f t="shared" si="63"/>
        <v>9.1814278481321434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3.3992364478763198E-14</v>
      </c>
      <c r="CA120" s="14">
        <f t="shared" si="93"/>
        <v>5.790027782444094E-13</v>
      </c>
      <c r="CB120" s="22">
        <f t="shared" si="64"/>
        <v>1.0676332069095257E-12</v>
      </c>
      <c r="CC120" s="62">
        <f t="shared" si="65"/>
        <v>283.63253804851098</v>
      </c>
      <c r="CD120" s="62">
        <f ca="1">AVERAGE(OFFSET($CC$3,0,0,'Données projet'!$E$12+1,1))-AVERAGE(OFFSET($H$3,0,0,'Données projet'!$E$12+1,1))</f>
        <v>211.76609132110815</v>
      </c>
      <c r="CE120" s="62">
        <f t="shared" si="94"/>
        <v>363.07965692095752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1.7636026739348578</v>
      </c>
      <c r="CL120" s="23">
        <f>EXP(-LN(2)/25)*CL119+(1-EXP(-LN(2)/25))/(LN(2)/25)*Calculateur!CG120*Calculateur!CI120*VLOOKUP('Données projet'!$B$12,Paramètres!$A$1:$I$89,3,0)*0.475*44/12</f>
        <v>0.48753747903121025</v>
      </c>
      <c r="CM120" s="23">
        <f>EXP(-LN(2)/2)*CM119+(1-EXP(-LN(2)/2))/(LN(2)/2)*CG120*CJ120*VLOOKUP('Données projet'!$B$12,Paramètres!$A$1:$I$89,3,0)*0.475*44/12</f>
        <v>1.8954972069082456E-13</v>
      </c>
      <c r="CN120" s="24">
        <f t="shared" si="66"/>
        <v>2.2511401529662578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-5.1431925385259088E-14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374.91250349988451</v>
      </c>
      <c r="CZ120" s="62">
        <f t="shared" si="96"/>
        <v>529.46825265662869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1.8897744989177867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1.8897744989177867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4.9658410716801891E-14</v>
      </c>
      <c r="DQ120" s="14">
        <f t="shared" si="97"/>
        <v>8.0934058173791862E-13</v>
      </c>
      <c r="DR120" s="22">
        <f t="shared" si="70"/>
        <v>1.4960899118586383E-12</v>
      </c>
      <c r="DS120" s="62">
        <f t="shared" si="71"/>
        <v>283.63253804851138</v>
      </c>
      <c r="DT120" s="62">
        <f ca="1">AVERAGE(OFFSET($DS$3,0,0,'Données projet'!$E$14+1,1))-AVERAGE(OFFSET($H$3,0,0,'Données projet'!$E$14+1,1))</f>
        <v>289.18543665577761</v>
      </c>
      <c r="DU120" s="62">
        <f t="shared" si="98"/>
        <v>291.40065947222843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0.99783708612895783</v>
      </c>
      <c r="EC120" s="23">
        <f>EXP(-LN(2)/2)*EC119+(1-EXP(-LN(2)/2))/(LN(2)/2)*DW120*DZ120*VLOOKUP('Données projet'!$B$14,Paramètres!$A$1:$I$89,3,0)*0.475*44/12</f>
        <v>8.4139659229139652E-13</v>
      </c>
      <c r="ED120" s="24">
        <f t="shared" si="72"/>
        <v>0.99783708612979927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514.72748286045442</v>
      </c>
      <c r="EP120" s="62">
        <f t="shared" si="100"/>
        <v>322.28702110656116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0.91704936811298299</v>
      </c>
      <c r="EX120" s="23">
        <f>EXP(-LN(2)/2)*EX119+(1-EXP(-LN(2)/2))/(LN(2)/2)*ER120*EU120*VLOOKUP('Données projet'!$B$15,Paramètres!$A$1:$I$89,3,0)*0.475*44/12</f>
        <v>1.3432338603750775E-12</v>
      </c>
      <c r="EY120" s="24">
        <f t="shared" si="75"/>
        <v>0.91704936811432625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67.354328558684514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4.0999999999999996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15.033333333333331</v>
      </c>
      <c r="H121" s="70">
        <f t="shared" si="56"/>
        <v>196.53333333333333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70.794576398719499</v>
      </c>
      <c r="T121" s="62">
        <f t="shared" si="88"/>
        <v>328.91236364911629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7.6412361884646678E-15</v>
      </c>
      <c r="AC121" s="24">
        <f t="shared" si="57"/>
        <v>7.6412361884646678E-15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466.75323833427217</v>
      </c>
      <c r="AO121" s="62">
        <f t="shared" si="90"/>
        <v>293.88550076209378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0.79591401669463691</v>
      </c>
      <c r="AW121" s="23">
        <f>EXP(-LN(2)/2)*AW120+(1-EXP(-LN(2)/2))/(LN(2)/2)*AQ121*AT121*VLOOKUP('Données projet'!$B$10,Paramètres!$A$1:$I$89,3,0)*0.475*44/12</f>
        <v>8.4752256524084587E-13</v>
      </c>
      <c r="AX121" s="23">
        <f t="shared" si="60"/>
        <v>0.79591401669548445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68.47741055388687</v>
      </c>
      <c r="BJ121" s="62">
        <f t="shared" si="92"/>
        <v>335.34467252166542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9.0013856481482453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3.5316237962302796E-14</v>
      </c>
      <c r="BS121" s="24">
        <f t="shared" si="63"/>
        <v>9.0013856481482808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3.3992364478763198E-14</v>
      </c>
      <c r="CA121" s="14">
        <f t="shared" si="93"/>
        <v>5.790027782444094E-13</v>
      </c>
      <c r="CB121" s="22">
        <f t="shared" si="64"/>
        <v>1.0676332069095257E-12</v>
      </c>
      <c r="CC121" s="62">
        <f t="shared" si="65"/>
        <v>283.8008251589734</v>
      </c>
      <c r="CD121" s="62">
        <f ca="1">AVERAGE(OFFSET($CC$3,0,0,'Données projet'!$E$12+1,1))-AVERAGE(OFFSET($H$3,0,0,'Données projet'!$E$12+1,1))</f>
        <v>211.76609132110815</v>
      </c>
      <c r="CE121" s="62">
        <f t="shared" si="94"/>
        <v>363.07965692095752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1.7290195011904106</v>
      </c>
      <c r="CL121" s="23">
        <f>EXP(-LN(2)/25)*CL120+(1-EXP(-LN(2)/25))/(LN(2)/25)*Calculateur!CG121*Calculateur!CI121*VLOOKUP('Données projet'!$B$12,Paramètres!$A$1:$I$89,3,0)*0.475*44/12</f>
        <v>0.47420574102862006</v>
      </c>
      <c r="CM121" s="23">
        <f>EXP(-LN(2)/2)*CM120+(1-EXP(-LN(2)/2))/(LN(2)/2)*CG121*CJ121*VLOOKUP('Données projet'!$B$12,Paramètres!$A$1:$I$89,3,0)*0.475*44/12</f>
        <v>1.3403189287249808E-13</v>
      </c>
      <c r="CN121" s="24">
        <f t="shared" si="66"/>
        <v>2.2032252422191649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-5.1431925385259088E-14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374.91250349988451</v>
      </c>
      <c r="CZ121" s="62">
        <f t="shared" si="96"/>
        <v>529.46825265662869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1.8527171736426387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1.8527171736426387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4.9658410716801891E-14</v>
      </c>
      <c r="DQ121" s="14">
        <f t="shared" si="97"/>
        <v>8.0934058173791862E-13</v>
      </c>
      <c r="DR121" s="22">
        <f t="shared" si="70"/>
        <v>1.4960899118586383E-12</v>
      </c>
      <c r="DS121" s="62">
        <f t="shared" si="71"/>
        <v>283.80082515897379</v>
      </c>
      <c r="DT121" s="62">
        <f ca="1">AVERAGE(OFFSET($DS$3,0,0,'Données projet'!$E$14+1,1))-AVERAGE(OFFSET($H$3,0,0,'Données projet'!$E$14+1,1))</f>
        <v>289.18543665577761</v>
      </c>
      <c r="DU121" s="62">
        <f t="shared" si="98"/>
        <v>291.40065947222843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0.97055117853478967</v>
      </c>
      <c r="EC121" s="23">
        <f>EXP(-LN(2)/2)*EC120+(1-EXP(-LN(2)/2))/(LN(2)/2)*DW121*DZ121*VLOOKUP('Données projet'!$B$14,Paramètres!$A$1:$I$89,3,0)*0.475*44/12</f>
        <v>5.9495723607649925E-13</v>
      </c>
      <c r="ED121" s="24">
        <f t="shared" si="72"/>
        <v>0.97055117853538464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514.72748286045442</v>
      </c>
      <c r="EP121" s="62">
        <f t="shared" si="100"/>
        <v>322.28702110656116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0.89197260491640318</v>
      </c>
      <c r="EX121" s="23">
        <f>EXP(-LN(2)/2)*EX120+(1-EXP(-LN(2)/2))/(LN(2)/2)*ER121*EU121*VLOOKUP('Données projet'!$B$15,Paramètres!$A$1:$I$89,3,0)*0.475*44/12</f>
        <v>9.4980977139060148E-13</v>
      </c>
      <c r="EY121" s="24">
        <f t="shared" si="75"/>
        <v>0.89197260491735297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67.400225043356087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4.0999999999999996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15.033333333333331</v>
      </c>
      <c r="H122" s="70">
        <f t="shared" si="56"/>
        <v>196.53333333333333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70.794576398719499</v>
      </c>
      <c r="T122" s="62">
        <f t="shared" si="88"/>
        <v>328.91236364911629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5.4031699255114144E-15</v>
      </c>
      <c r="AC122" s="24">
        <f t="shared" si="57"/>
        <v>5.4031699255114144E-15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466.75323833427217</v>
      </c>
      <c r="AO122" s="62">
        <f t="shared" si="90"/>
        <v>293.88550076209378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0.77414970605282296</v>
      </c>
      <c r="AW122" s="23">
        <f>EXP(-LN(2)/2)*AW121+(1-EXP(-LN(2)/2))/(LN(2)/2)*AQ122*AT122*VLOOKUP('Données projet'!$B$10,Paramètres!$A$1:$I$89,3,0)*0.475*44/12</f>
        <v>5.9928895309042024E-13</v>
      </c>
      <c r="AX122" s="23">
        <f t="shared" si="60"/>
        <v>0.77414970605342226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68.47741055388687</v>
      </c>
      <c r="BJ122" s="62">
        <f t="shared" si="92"/>
        <v>335.34467252166542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8.8248739658911806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2.4972351349142086E-14</v>
      </c>
      <c r="BS122" s="24">
        <f t="shared" si="63"/>
        <v>8.8248739658912054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3.3992364478763198E-14</v>
      </c>
      <c r="CA122" s="14">
        <f t="shared" si="93"/>
        <v>5.790027782444094E-13</v>
      </c>
      <c r="CB122" s="22">
        <f t="shared" si="64"/>
        <v>1.0676332069095257E-12</v>
      </c>
      <c r="CC122" s="62">
        <f t="shared" si="65"/>
        <v>283.96619286430303</v>
      </c>
      <c r="CD122" s="62">
        <f ca="1">AVERAGE(OFFSET($CC$3,0,0,'Données projet'!$E$12+1,1))-AVERAGE(OFFSET($H$3,0,0,'Données projet'!$E$12+1,1))</f>
        <v>211.76609132110815</v>
      </c>
      <c r="CE122" s="62">
        <f t="shared" si="94"/>
        <v>363.07965692095752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1.6951144833698295</v>
      </c>
      <c r="CL122" s="23">
        <f>EXP(-LN(2)/25)*CL121+(1-EXP(-LN(2)/25))/(LN(2)/25)*Calculateur!CG122*Calculateur!CI122*VLOOKUP('Données projet'!$B$12,Paramètres!$A$1:$I$89,3,0)*0.475*44/12</f>
        <v>0.46123856010279635</v>
      </c>
      <c r="CM122" s="23">
        <f>EXP(-LN(2)/2)*CM121+(1-EXP(-LN(2)/2))/(LN(2)/2)*CG122*CJ122*VLOOKUP('Données projet'!$B$12,Paramètres!$A$1:$I$89,3,0)*0.475*44/12</f>
        <v>9.4774860345412282E-14</v>
      </c>
      <c r="CN122" s="24">
        <f t="shared" si="66"/>
        <v>2.1563530434727203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-5.1431925385259088E-14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374.91250349988451</v>
      </c>
      <c r="CZ122" s="62">
        <f t="shared" si="96"/>
        <v>529.46825265662869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1.8163865199133997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1.8163865199133997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4.9658410716801891E-14</v>
      </c>
      <c r="DQ122" s="14">
        <f t="shared" si="97"/>
        <v>8.0934058173791862E-13</v>
      </c>
      <c r="DR122" s="22">
        <f t="shared" si="70"/>
        <v>1.4960899118586383E-12</v>
      </c>
      <c r="DS122" s="62">
        <f t="shared" si="71"/>
        <v>283.96619286430342</v>
      </c>
      <c r="DT122" s="62">
        <f ca="1">AVERAGE(OFFSET($DS$3,0,0,'Données projet'!$E$14+1,1))-AVERAGE(OFFSET($H$3,0,0,'Données projet'!$E$14+1,1))</f>
        <v>289.18543665577761</v>
      </c>
      <c r="DU122" s="62">
        <f t="shared" si="98"/>
        <v>291.40065947222843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0.94401140551868756</v>
      </c>
      <c r="EC122" s="23">
        <f>EXP(-LN(2)/2)*EC121+(1-EXP(-LN(2)/2))/(LN(2)/2)*DW122*DZ122*VLOOKUP('Données projet'!$B$14,Paramètres!$A$1:$I$89,3,0)*0.475*44/12</f>
        <v>4.2069829614569826E-13</v>
      </c>
      <c r="ED122" s="24">
        <f t="shared" si="72"/>
        <v>0.94401140551910823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514.72748286045442</v>
      </c>
      <c r="EP122" s="62">
        <f t="shared" si="100"/>
        <v>322.28702110656116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0.86758156712816348</v>
      </c>
      <c r="EX122" s="23">
        <f>EXP(-LN(2)/2)*EX121+(1-EXP(-LN(2)/2))/(LN(2)/2)*ER122*EU122*VLOOKUP('Données projet'!$B$15,Paramètres!$A$1:$I$89,3,0)*0.475*44/12</f>
        <v>6.7161693018753877E-13</v>
      </c>
      <c r="EY122" s="24">
        <f t="shared" si="75"/>
        <v>0.86758156712883505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67.445325326627795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4.0999999999999996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15.033333333333331</v>
      </c>
      <c r="H123" s="70">
        <f t="shared" si="56"/>
        <v>196.53333333333333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70.794576398719499</v>
      </c>
      <c r="T123" s="62">
        <f t="shared" si="88"/>
        <v>328.91236364911629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3.8206180942323339E-15</v>
      </c>
      <c r="AC123" s="24">
        <f t="shared" si="57"/>
        <v>3.8206180942323339E-15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466.75323833427217</v>
      </c>
      <c r="AO123" s="62">
        <f t="shared" si="90"/>
        <v>293.88550076209378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0.7529805416300448</v>
      </c>
      <c r="AW123" s="23">
        <f>EXP(-LN(2)/2)*AW122+(1-EXP(-LN(2)/2))/(LN(2)/2)*AQ123*AT123*VLOOKUP('Données projet'!$B$10,Paramètres!$A$1:$I$89,3,0)*0.475*44/12</f>
        <v>4.2376128262042293E-13</v>
      </c>
      <c r="AX123" s="23">
        <f t="shared" si="60"/>
        <v>0.75298054163046857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68.47741055388687</v>
      </c>
      <c r="BJ123" s="62">
        <f t="shared" si="92"/>
        <v>335.34467252166542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8.6518235700616817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1.7658118981151398E-14</v>
      </c>
      <c r="BS123" s="24">
        <f t="shared" si="63"/>
        <v>8.6518235700616994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3.3992364478763198E-14</v>
      </c>
      <c r="CA123" s="14">
        <f t="shared" si="93"/>
        <v>5.790027782444094E-13</v>
      </c>
      <c r="CB123" s="22">
        <f t="shared" si="64"/>
        <v>1.0676332069095257E-12</v>
      </c>
      <c r="CC123" s="62">
        <f t="shared" si="65"/>
        <v>284.12869180965191</v>
      </c>
      <c r="CD123" s="62">
        <f ca="1">AVERAGE(OFFSET($CC$3,0,0,'Données projet'!$E$12+1,1))-AVERAGE(OFFSET($H$3,0,0,'Données projet'!$E$12+1,1))</f>
        <v>211.76609132110815</v>
      </c>
      <c r="CE123" s="62">
        <f t="shared" si="94"/>
        <v>363.07965692095752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1.6618743222686911</v>
      </c>
      <c r="CL123" s="23">
        <f>EXP(-LN(2)/25)*CL122+(1-EXP(-LN(2)/25))/(LN(2)/25)*Calculateur!CG123*Calculateur!CI123*VLOOKUP('Données projet'!$B$12,Paramètres!$A$1:$I$89,3,0)*0.475*44/12</f>
        <v>0.44862596742130367</v>
      </c>
      <c r="CM123" s="23">
        <f>EXP(-LN(2)/2)*CM122+(1-EXP(-LN(2)/2))/(LN(2)/2)*CG123*CJ123*VLOOKUP('Données projet'!$B$12,Paramètres!$A$1:$I$89,3,0)*0.475*44/12</f>
        <v>6.7015946436249041E-14</v>
      </c>
      <c r="CN123" s="24">
        <f t="shared" si="66"/>
        <v>2.1105002896900618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-5.1431925385259088E-14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374.91250349988451</v>
      </c>
      <c r="CZ123" s="62">
        <f t="shared" si="96"/>
        <v>529.46825265662869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1.7807682881442803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1.7807682881442803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4.9658410716801891E-14</v>
      </c>
      <c r="DQ123" s="14">
        <f t="shared" si="97"/>
        <v>8.0934058173791862E-13</v>
      </c>
      <c r="DR123" s="22">
        <f t="shared" si="70"/>
        <v>1.4960899118586383E-12</v>
      </c>
      <c r="DS123" s="62">
        <f t="shared" si="71"/>
        <v>284.12869180965231</v>
      </c>
      <c r="DT123" s="62">
        <f ca="1">AVERAGE(OFFSET($DS$3,0,0,'Données projet'!$E$14+1,1))-AVERAGE(OFFSET($H$3,0,0,'Données projet'!$E$14+1,1))</f>
        <v>289.18543665577761</v>
      </c>
      <c r="DU123" s="62">
        <f t="shared" si="98"/>
        <v>291.40065947222843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0.91819736399137686</v>
      </c>
      <c r="EC123" s="23">
        <f>EXP(-LN(2)/2)*EC122+(1-EXP(-LN(2)/2))/(LN(2)/2)*DW123*DZ123*VLOOKUP('Données projet'!$B$14,Paramètres!$A$1:$I$89,3,0)*0.475*44/12</f>
        <v>2.9747861803824963E-13</v>
      </c>
      <c r="ED123" s="24">
        <f t="shared" si="72"/>
        <v>0.91819736399167429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514.72748286045442</v>
      </c>
      <c r="EP123" s="62">
        <f t="shared" si="100"/>
        <v>322.28702110656116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0.84385750355091216</v>
      </c>
      <c r="EX123" s="23">
        <f>EXP(-LN(2)/2)*EX122+(1-EXP(-LN(2)/2))/(LN(2)/2)*ER123*EU123*VLOOKUP('Données projet'!$B$15,Paramètres!$A$1:$I$89,3,0)*0.475*44/12</f>
        <v>4.7490488569530074E-13</v>
      </c>
      <c r="EY123" s="24">
        <f t="shared" si="75"/>
        <v>0.84385750355138711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67.489643220813861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4.0999999999999996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15.033333333333331</v>
      </c>
      <c r="H124" s="70">
        <f t="shared" si="56"/>
        <v>196.53333333333333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70.794576398719499</v>
      </c>
      <c r="T124" s="62">
        <f t="shared" si="88"/>
        <v>328.91236364911629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2.7015849627557072E-15</v>
      </c>
      <c r="AC124" s="24">
        <f t="shared" si="57"/>
        <v>2.7015849627557072E-15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466.75323833427217</v>
      </c>
      <c r="AO124" s="62">
        <f t="shared" si="90"/>
        <v>293.88550076209378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0.73239024912164552</v>
      </c>
      <c r="AW124" s="23">
        <f>EXP(-LN(2)/2)*AW123+(1-EXP(-LN(2)/2))/(LN(2)/2)*AQ124*AT124*VLOOKUP('Données projet'!$B$10,Paramètres!$A$1:$I$89,3,0)*0.475*44/12</f>
        <v>2.9964447654521012E-13</v>
      </c>
      <c r="AX124" s="23">
        <f t="shared" si="60"/>
        <v>0.73239024912194517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68.47741055388687</v>
      </c>
      <c r="BJ124" s="62">
        <f t="shared" si="92"/>
        <v>335.34467252166542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8.4821665869440803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1.2486175674571043E-14</v>
      </c>
      <c r="BS124" s="24">
        <f t="shared" si="63"/>
        <v>8.4821665869440928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3.3992364478763198E-14</v>
      </c>
      <c r="CA124" s="14">
        <f t="shared" si="93"/>
        <v>5.790027782444094E-13</v>
      </c>
      <c r="CB124" s="22">
        <f t="shared" si="64"/>
        <v>1.0676332069095257E-12</v>
      </c>
      <c r="CC124" s="62">
        <f t="shared" si="65"/>
        <v>284.28837176159226</v>
      </c>
      <c r="CD124" s="62">
        <f ca="1">AVERAGE(OFFSET($CC$3,0,0,'Données projet'!$E$12+1,1))-AVERAGE(OFFSET($H$3,0,0,'Données projet'!$E$12+1,1))</f>
        <v>211.76609132110815</v>
      </c>
      <c r="CE124" s="62">
        <f t="shared" si="94"/>
        <v>363.07965692095752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1.6292859804522497</v>
      </c>
      <c r="CL124" s="23">
        <f>EXP(-LN(2)/25)*CL123+(1-EXP(-LN(2)/25))/(LN(2)/25)*Calculateur!CG124*Calculateur!CI124*VLOOKUP('Données projet'!$B$12,Paramètres!$A$1:$I$89,3,0)*0.475*44/12</f>
        <v>0.43635826674995387</v>
      </c>
      <c r="CM124" s="23">
        <f>EXP(-LN(2)/2)*CM123+(1-EXP(-LN(2)/2))/(LN(2)/2)*CG124*CJ124*VLOOKUP('Données projet'!$B$12,Paramètres!$A$1:$I$89,3,0)*0.475*44/12</f>
        <v>4.7387430172706141E-14</v>
      </c>
      <c r="CN124" s="24">
        <f t="shared" si="66"/>
        <v>2.0656442472022509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-5.1431925385259088E-14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374.91250349988451</v>
      </c>
      <c r="CZ124" s="62">
        <f t="shared" si="96"/>
        <v>529.46825265662869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1.7458485081751773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1.7458485081751773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4.9658410716801891E-14</v>
      </c>
      <c r="DQ124" s="14">
        <f t="shared" si="97"/>
        <v>8.0934058173791862E-13</v>
      </c>
      <c r="DR124" s="22">
        <f t="shared" si="70"/>
        <v>1.4960899118586383E-12</v>
      </c>
      <c r="DS124" s="62">
        <f t="shared" si="71"/>
        <v>284.28837176159266</v>
      </c>
      <c r="DT124" s="62">
        <f ca="1">AVERAGE(OFFSET($DS$3,0,0,'Données projet'!$E$14+1,1))-AVERAGE(OFFSET($H$3,0,0,'Données projet'!$E$14+1,1))</f>
        <v>289.18543665577761</v>
      </c>
      <c r="DU124" s="62">
        <f t="shared" si="98"/>
        <v>291.40065947222843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0.89308920878713183</v>
      </c>
      <c r="EC124" s="23">
        <f>EXP(-LN(2)/2)*EC123+(1-EXP(-LN(2)/2))/(LN(2)/2)*DW124*DZ124*VLOOKUP('Données projet'!$B$14,Paramètres!$A$1:$I$89,3,0)*0.475*44/12</f>
        <v>2.1034914807284913E-13</v>
      </c>
      <c r="ED124" s="24">
        <f t="shared" si="72"/>
        <v>0.89308920878734221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514.72748286045442</v>
      </c>
      <c r="EP124" s="62">
        <f t="shared" si="100"/>
        <v>322.28702110656116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0.82078217573977497</v>
      </c>
      <c r="EX124" s="23">
        <f>EXP(-LN(2)/2)*EX123+(1-EXP(-LN(2)/2))/(LN(2)/2)*ER124*EU124*VLOOKUP('Données projet'!$B$15,Paramètres!$A$1:$I$89,3,0)*0.475*44/12</f>
        <v>3.3580846509376939E-13</v>
      </c>
      <c r="EY124" s="24">
        <f t="shared" si="75"/>
        <v>0.82078217574011081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67.533192298615774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4.0999999999999996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15.033333333333331</v>
      </c>
      <c r="H125" s="70">
        <f t="shared" si="56"/>
        <v>196.53333333333333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70.794576398719499</v>
      </c>
      <c r="T125" s="62">
        <f t="shared" si="88"/>
        <v>328.91236364911629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1.910309047116167E-15</v>
      </c>
      <c r="AC125" s="24">
        <f t="shared" si="57"/>
        <v>1.910309047116167E-15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466.75323833427217</v>
      </c>
      <c r="AO125" s="62">
        <f t="shared" si="90"/>
        <v>293.88550076209378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0.71236299924468482</v>
      </c>
      <c r="AW125" s="23">
        <f>EXP(-LN(2)/2)*AW124+(1-EXP(-LN(2)/2))/(LN(2)/2)*AQ125*AT125*VLOOKUP('Données projet'!$B$10,Paramètres!$A$1:$I$89,3,0)*0.475*44/12</f>
        <v>2.1188064131021147E-13</v>
      </c>
      <c r="AX125" s="23">
        <f t="shared" si="60"/>
        <v>0.71236299924489666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68.47741055388687</v>
      </c>
      <c r="BJ125" s="62">
        <f t="shared" si="92"/>
        <v>335.34467252166542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8.3158364737848736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8.8290594905756989E-15</v>
      </c>
      <c r="BS125" s="24">
        <f t="shared" si="63"/>
        <v>8.3158364737848824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3.3992364478763198E-14</v>
      </c>
      <c r="CA125" s="14">
        <f t="shared" si="93"/>
        <v>5.790027782444094E-13</v>
      </c>
      <c r="CB125" s="22">
        <f t="shared" si="64"/>
        <v>1.0676332069095257E-12</v>
      </c>
      <c r="CC125" s="62">
        <f t="shared" si="65"/>
        <v>284.44528162335729</v>
      </c>
      <c r="CD125" s="62">
        <f ca="1">AVERAGE(OFFSET($CC$3,0,0,'Données projet'!$E$12+1,1))-AVERAGE(OFFSET($H$3,0,0,'Données projet'!$E$12+1,1))</f>
        <v>211.76609132110815</v>
      </c>
      <c r="CE125" s="62">
        <f t="shared" si="94"/>
        <v>363.07965692095752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1.597336676141903</v>
      </c>
      <c r="CL125" s="23">
        <f>EXP(-LN(2)/25)*CL124+(1-EXP(-LN(2)/25))/(LN(2)/25)*Calculateur!CG125*Calculateur!CI125*VLOOKUP('Données projet'!$B$12,Paramètres!$A$1:$I$89,3,0)*0.475*44/12</f>
        <v>0.42442602699859244</v>
      </c>
      <c r="CM125" s="23">
        <f>EXP(-LN(2)/2)*CM124+(1-EXP(-LN(2)/2))/(LN(2)/2)*CG125*CJ125*VLOOKUP('Données projet'!$B$12,Paramètres!$A$1:$I$89,3,0)*0.475*44/12</f>
        <v>3.3507973218124521E-14</v>
      </c>
      <c r="CN125" s="24">
        <f t="shared" si="66"/>
        <v>2.0217627031405287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-5.1431925385259088E-14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374.91250349988451</v>
      </c>
      <c r="CZ125" s="62">
        <f t="shared" si="96"/>
        <v>529.46825265662869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1.7116134837923056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1.7116134837923056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4.9658410716801891E-14</v>
      </c>
      <c r="DQ125" s="14">
        <f t="shared" si="97"/>
        <v>8.0934058173791862E-13</v>
      </c>
      <c r="DR125" s="22">
        <f t="shared" si="70"/>
        <v>1.4960899118586383E-12</v>
      </c>
      <c r="DS125" s="62">
        <f t="shared" si="71"/>
        <v>284.44528162335769</v>
      </c>
      <c r="DT125" s="62">
        <f ca="1">AVERAGE(OFFSET($DS$3,0,0,'Données projet'!$E$14+1,1))-AVERAGE(OFFSET($H$3,0,0,'Données projet'!$E$14+1,1))</f>
        <v>289.18543665577761</v>
      </c>
      <c r="DU125" s="62">
        <f t="shared" si="98"/>
        <v>291.40065947222843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0.86866763740732744</v>
      </c>
      <c r="EC125" s="23">
        <f>EXP(-LN(2)/2)*EC124+(1-EXP(-LN(2)/2))/(LN(2)/2)*DW125*DZ125*VLOOKUP('Données projet'!$B$14,Paramètres!$A$1:$I$89,3,0)*0.475*44/12</f>
        <v>1.4873930901912481E-13</v>
      </c>
      <c r="ED125" s="24">
        <f t="shared" si="72"/>
        <v>0.86866763740747621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514.72748286045442</v>
      </c>
      <c r="EP125" s="62">
        <f t="shared" si="100"/>
        <v>322.28702110656116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0.79833784398111207</v>
      </c>
      <c r="EX125" s="23">
        <f>EXP(-LN(2)/2)*EX124+(1-EXP(-LN(2)/2))/(LN(2)/2)*ER125*EU125*VLOOKUP('Données projet'!$B$15,Paramètres!$A$1:$I$89,3,0)*0.475*44/12</f>
        <v>2.3745244284765037E-13</v>
      </c>
      <c r="EY125" s="24">
        <f t="shared" si="75"/>
        <v>0.79833784398134955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67.575985897278969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4.0999999999999996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15.033333333333331</v>
      </c>
      <c r="H126" s="70">
        <f t="shared" si="56"/>
        <v>196.53333333333333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70.794576398719499</v>
      </c>
      <c r="T126" s="62">
        <f t="shared" si="88"/>
        <v>328.91236364911629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1.3507924813778536E-15</v>
      </c>
      <c r="AC126" s="24">
        <f t="shared" si="57"/>
        <v>1.3507924813778536E-15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466.75323833427217</v>
      </c>
      <c r="AO126" s="62">
        <f t="shared" si="90"/>
        <v>293.88550076209378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0.69288339556879697</v>
      </c>
      <c r="AW126" s="23">
        <f>EXP(-LN(2)/2)*AW125+(1-EXP(-LN(2)/2))/(LN(2)/2)*AQ126*AT126*VLOOKUP('Données projet'!$B$10,Paramètres!$A$1:$I$89,3,0)*0.475*44/12</f>
        <v>1.4982223827260506E-13</v>
      </c>
      <c r="AX126" s="23">
        <f t="shared" si="60"/>
        <v>0.69288339556894674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68.47741055388687</v>
      </c>
      <c r="BJ126" s="62">
        <f t="shared" si="92"/>
        <v>335.34467252166542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8.1527679926933665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6.2430878372855216E-15</v>
      </c>
      <c r="BS126" s="24">
        <f t="shared" si="63"/>
        <v>8.1527679926933736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3.3992364478763198E-14</v>
      </c>
      <c r="CA126" s="14">
        <f t="shared" si="93"/>
        <v>5.790027782444094E-13</v>
      </c>
      <c r="CB126" s="22">
        <f t="shared" si="64"/>
        <v>1.0676332069095257E-12</v>
      </c>
      <c r="CC126" s="62">
        <f t="shared" si="65"/>
        <v>284.59946944981857</v>
      </c>
      <c r="CD126" s="62">
        <f ca="1">AVERAGE(OFFSET($CC$3,0,0,'Données projet'!$E$12+1,1))-AVERAGE(OFFSET($H$3,0,0,'Données projet'!$E$12+1,1))</f>
        <v>211.76609132110815</v>
      </c>
      <c r="CE126" s="62">
        <f t="shared" si="94"/>
        <v>363.07965692095752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1.5660138782019306</v>
      </c>
      <c r="CL126" s="23">
        <f>EXP(-LN(2)/25)*CL125+(1-EXP(-LN(2)/25))/(LN(2)/25)*Calculateur!CG126*Calculateur!CI126*VLOOKUP('Données projet'!$B$12,Paramètres!$A$1:$I$89,3,0)*0.475*44/12</f>
        <v>0.41282007497072121</v>
      </c>
      <c r="CM126" s="23">
        <f>EXP(-LN(2)/2)*CM125+(1-EXP(-LN(2)/2))/(LN(2)/2)*CG126*CJ126*VLOOKUP('Données projet'!$B$12,Paramètres!$A$1:$I$89,3,0)*0.475*44/12</f>
        <v>2.369371508635307E-14</v>
      </c>
      <c r="CN126" s="24">
        <f t="shared" si="66"/>
        <v>1.9788339531726755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-5.1431925385259088E-14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374.91250349988451</v>
      </c>
      <c r="CZ126" s="62">
        <f t="shared" si="96"/>
        <v>529.46825265662869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1.678049787356279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1.678049787356279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4.9658410716801891E-14</v>
      </c>
      <c r="DQ126" s="14">
        <f t="shared" si="97"/>
        <v>8.0934058173791862E-13</v>
      </c>
      <c r="DR126" s="22">
        <f t="shared" si="70"/>
        <v>1.4960899118586383E-12</v>
      </c>
      <c r="DS126" s="62">
        <f t="shared" si="71"/>
        <v>284.59946944981897</v>
      </c>
      <c r="DT126" s="62">
        <f ca="1">AVERAGE(OFFSET($DS$3,0,0,'Données projet'!$E$14+1,1))-AVERAGE(OFFSET($H$3,0,0,'Données projet'!$E$14+1,1))</f>
        <v>289.18543665577761</v>
      </c>
      <c r="DU126" s="62">
        <f t="shared" si="98"/>
        <v>291.40065947222843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0.84491387518117844</v>
      </c>
      <c r="EC126" s="23">
        <f>EXP(-LN(2)/2)*EC125+(1-EXP(-LN(2)/2))/(LN(2)/2)*DW126*DZ126*VLOOKUP('Données projet'!$B$14,Paramètres!$A$1:$I$89,3,0)*0.475*44/12</f>
        <v>1.0517457403642457E-13</v>
      </c>
      <c r="ED126" s="24">
        <f t="shared" si="72"/>
        <v>0.84491387518128358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514.72748286045442</v>
      </c>
      <c r="EP126" s="62">
        <f t="shared" si="100"/>
        <v>322.28702110656116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0.77650725365468598</v>
      </c>
      <c r="EX126" s="23">
        <f>EXP(-LN(2)/2)*EX125+(1-EXP(-LN(2)/2))/(LN(2)/2)*ER126*EU126*VLOOKUP('Données projet'!$B$15,Paramètres!$A$1:$I$89,3,0)*0.475*44/12</f>
        <v>1.6790423254688469E-13</v>
      </c>
      <c r="EY126" s="24">
        <f t="shared" si="75"/>
        <v>0.77650725365485385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67.618037122677507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4.0999999999999996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15.033333333333331</v>
      </c>
      <c r="H127" s="70">
        <f t="shared" si="56"/>
        <v>196.53333333333333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70.794576398719499</v>
      </c>
      <c r="T127" s="62">
        <f t="shared" si="88"/>
        <v>328.91236364911629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9.5515452355808348E-16</v>
      </c>
      <c r="AC127" s="24">
        <f t="shared" si="57"/>
        <v>9.5515452355808348E-16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466.75323833427217</v>
      </c>
      <c r="AO127" s="62">
        <f t="shared" si="90"/>
        <v>293.88550076209378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0.673936462679814</v>
      </c>
      <c r="AW127" s="23">
        <f>EXP(-LN(2)/2)*AW126+(1-EXP(-LN(2)/2))/(LN(2)/2)*AQ127*AT127*VLOOKUP('Données projet'!$B$10,Paramètres!$A$1:$I$89,3,0)*0.475*44/12</f>
        <v>1.0594032065510573E-13</v>
      </c>
      <c r="AX127" s="23">
        <f t="shared" si="60"/>
        <v>0.67393646267991991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68.47741055388687</v>
      </c>
      <c r="BJ127" s="62">
        <f t="shared" si="92"/>
        <v>335.34467252166542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7.9928971850541117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4.4145297452878494E-15</v>
      </c>
      <c r="BS127" s="24">
        <f t="shared" si="63"/>
        <v>7.9928971850541162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3.3992364478763198E-14</v>
      </c>
      <c r="CA127" s="14">
        <f t="shared" si="93"/>
        <v>5.790027782444094E-13</v>
      </c>
      <c r="CB127" s="22">
        <f t="shared" si="64"/>
        <v>1.0676332069095257E-12</v>
      </c>
      <c r="CC127" s="62">
        <f t="shared" si="65"/>
        <v>284.75098246220318</v>
      </c>
      <c r="CD127" s="62">
        <f ca="1">AVERAGE(OFFSET($CC$3,0,0,'Données projet'!$E$12+1,1))-AVERAGE(OFFSET($H$3,0,0,'Données projet'!$E$12+1,1))</f>
        <v>211.76609132110815</v>
      </c>
      <c r="CE127" s="62">
        <f t="shared" si="94"/>
        <v>363.07965692095752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1.5353053012245408</v>
      </c>
      <c r="CL127" s="23">
        <f>EXP(-LN(2)/25)*CL126+(1-EXP(-LN(2)/25))/(LN(2)/25)*Calculateur!CG127*Calculateur!CI127*VLOOKUP('Données projet'!$B$12,Paramètres!$A$1:$I$89,3,0)*0.475*44/12</f>
        <v>0.40153148831138258</v>
      </c>
      <c r="CM127" s="23">
        <f>EXP(-LN(2)/2)*CM126+(1-EXP(-LN(2)/2))/(LN(2)/2)*CG127*CJ127*VLOOKUP('Données projet'!$B$12,Paramètres!$A$1:$I$89,3,0)*0.475*44/12</f>
        <v>1.675398660906226E-14</v>
      </c>
      <c r="CN127" s="24">
        <f t="shared" si="66"/>
        <v>1.93683678953594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-5.1431925385259088E-14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374.91250349988451</v>
      </c>
      <c r="CZ127" s="62">
        <f t="shared" si="96"/>
        <v>529.46825265662869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1.6451442545355295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1.6451442545355295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4.9658410716801891E-14</v>
      </c>
      <c r="DQ127" s="14">
        <f t="shared" si="97"/>
        <v>8.0934058173791862E-13</v>
      </c>
      <c r="DR127" s="22">
        <f t="shared" si="70"/>
        <v>1.4960899118586383E-12</v>
      </c>
      <c r="DS127" s="62">
        <f t="shared" si="71"/>
        <v>284.75098246220358</v>
      </c>
      <c r="DT127" s="62">
        <f ca="1">AVERAGE(OFFSET($DS$3,0,0,'Données projet'!$E$14+1,1))-AVERAGE(OFFSET($H$3,0,0,'Données projet'!$E$14+1,1))</f>
        <v>289.18543665577761</v>
      </c>
      <c r="DU127" s="62">
        <f t="shared" si="98"/>
        <v>291.40065947222843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0.82180966083225948</v>
      </c>
      <c r="EC127" s="23">
        <f>EXP(-LN(2)/2)*EC126+(1-EXP(-LN(2)/2))/(LN(2)/2)*DW127*DZ127*VLOOKUP('Données projet'!$B$14,Paramètres!$A$1:$I$89,3,0)*0.475*44/12</f>
        <v>7.4369654509562406E-14</v>
      </c>
      <c r="ED127" s="24">
        <f t="shared" si="72"/>
        <v>0.82180966083233387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514.72748286045442</v>
      </c>
      <c r="EP127" s="62">
        <f t="shared" si="100"/>
        <v>322.28702110656116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0.7552736219687568</v>
      </c>
      <c r="EX127" s="23">
        <f>EXP(-LN(2)/2)*EX126+(1-EXP(-LN(2)/2))/(LN(2)/2)*ER127*EU127*VLOOKUP('Données projet'!$B$15,Paramètres!$A$1:$I$89,3,0)*0.475*44/12</f>
        <v>1.1872622142382518E-13</v>
      </c>
      <c r="EY127" s="24">
        <f t="shared" si="75"/>
        <v>0.75527362196887549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67.659358853327845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4.0999999999999996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15.033333333333331</v>
      </c>
      <c r="H128" s="70">
        <f t="shared" si="56"/>
        <v>196.53333333333333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70.794576398719499</v>
      </c>
      <c r="T128" s="62">
        <f t="shared" si="88"/>
        <v>328.91236364911629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6.753962406889268E-16</v>
      </c>
      <c r="AC128" s="24">
        <f t="shared" si="57"/>
        <v>6.753962406889268E-16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466.75323833427217</v>
      </c>
      <c r="AO128" s="62">
        <f t="shared" si="90"/>
        <v>293.88550076209378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0.65550763466705619</v>
      </c>
      <c r="AW128" s="23">
        <f>EXP(-LN(2)/2)*AW127+(1-EXP(-LN(2)/2))/(LN(2)/2)*AQ128*AT128*VLOOKUP('Données projet'!$B$10,Paramètres!$A$1:$I$89,3,0)*0.475*44/12</f>
        <v>7.491111913630253E-14</v>
      </c>
      <c r="AX128" s="23">
        <f t="shared" si="60"/>
        <v>0.65550763466713113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68.47741055388687</v>
      </c>
      <c r="BJ128" s="62">
        <f t="shared" si="92"/>
        <v>335.34467252166542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7.8361613464410986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3.1215439186427608E-15</v>
      </c>
      <c r="BS128" s="24">
        <f t="shared" si="63"/>
        <v>7.8361613464411022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3.3992364478763198E-14</v>
      </c>
      <c r="CA128" s="14">
        <f t="shared" si="93"/>
        <v>5.790027782444094E-13</v>
      </c>
      <c r="CB128" s="22">
        <f t="shared" si="64"/>
        <v>1.0676332069095257E-12</v>
      </c>
      <c r="CC128" s="62">
        <f t="shared" si="65"/>
        <v>284.89986706255524</v>
      </c>
      <c r="CD128" s="62">
        <f ca="1">AVERAGE(OFFSET($CC$3,0,0,'Données projet'!$E$12+1,1))-AVERAGE(OFFSET($H$3,0,0,'Données projet'!$E$12+1,1))</f>
        <v>211.76609132110815</v>
      </c>
      <c r="CE128" s="62">
        <f t="shared" si="94"/>
        <v>363.07965692095752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1.5051989007112951</v>
      </c>
      <c r="CL128" s="23">
        <f>EXP(-LN(2)/25)*CL127+(1-EXP(-LN(2)/25))/(LN(2)/25)*Calculateur!CG128*Calculateur!CI128*VLOOKUP('Données projet'!$B$12,Paramètres!$A$1:$I$89,3,0)*0.475*44/12</f>
        <v>0.39055158864788458</v>
      </c>
      <c r="CM128" s="23">
        <f>EXP(-LN(2)/2)*CM127+(1-EXP(-LN(2)/2))/(LN(2)/2)*CG128*CJ128*VLOOKUP('Données projet'!$B$12,Paramètres!$A$1:$I$89,3,0)*0.475*44/12</f>
        <v>1.1846857543176535E-14</v>
      </c>
      <c r="CN128" s="24">
        <f t="shared" si="66"/>
        <v>1.8957504893591914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-5.1431925385259088E-14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374.91250349988451</v>
      </c>
      <c r="CZ128" s="62">
        <f t="shared" si="96"/>
        <v>529.46825265662869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1.6128839791430016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1.6128839791430016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4.9658410716801891E-14</v>
      </c>
      <c r="DQ128" s="14">
        <f t="shared" si="97"/>
        <v>8.0934058173791862E-13</v>
      </c>
      <c r="DR128" s="22">
        <f t="shared" si="70"/>
        <v>1.4960899118586383E-12</v>
      </c>
      <c r="DS128" s="62">
        <f t="shared" si="71"/>
        <v>284.89986706255564</v>
      </c>
      <c r="DT128" s="62">
        <f ca="1">AVERAGE(OFFSET($DS$3,0,0,'Données projet'!$E$14+1,1))-AVERAGE(OFFSET($H$3,0,0,'Données projet'!$E$14+1,1))</f>
        <v>289.18543665577761</v>
      </c>
      <c r="DU128" s="62">
        <f t="shared" si="98"/>
        <v>291.40065947222843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0.79933723243970956</v>
      </c>
      <c r="EC128" s="23">
        <f>EXP(-LN(2)/2)*EC127+(1-EXP(-LN(2)/2))/(LN(2)/2)*DW128*DZ128*VLOOKUP('Données projet'!$B$14,Paramètres!$A$1:$I$89,3,0)*0.475*44/12</f>
        <v>5.2587287018212283E-14</v>
      </c>
      <c r="ED128" s="24">
        <f t="shared" si="72"/>
        <v>0.79933723243976218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514.72748286045442</v>
      </c>
      <c r="EP128" s="62">
        <f t="shared" si="100"/>
        <v>322.28702110656116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0.73462062505790759</v>
      </c>
      <c r="EX128" s="23">
        <f>EXP(-LN(2)/2)*EX127+(1-EXP(-LN(2)/2))/(LN(2)/2)*ER128*EU128*VLOOKUP('Données projet'!$B$15,Paramètres!$A$1:$I$89,3,0)*0.475*44/12</f>
        <v>8.3952116273442347E-14</v>
      </c>
      <c r="EY128" s="24">
        <f t="shared" si="75"/>
        <v>0.73462062505799153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67.699963744332948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4.0999999999999996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15.033333333333331</v>
      </c>
      <c r="H129" s="70">
        <f t="shared" si="56"/>
        <v>196.53333333333333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70.794576398719499</v>
      </c>
      <c r="T129" s="62">
        <f t="shared" si="88"/>
        <v>328.91236364911629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4.7757726177904174E-16</v>
      </c>
      <c r="AC129" s="24">
        <f t="shared" si="57"/>
        <v>4.7757726177904174E-16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466.75323833427217</v>
      </c>
      <c r="AO129" s="62">
        <f t="shared" si="90"/>
        <v>293.88550076209378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0.63758274392543723</v>
      </c>
      <c r="AW129" s="23">
        <f>EXP(-LN(2)/2)*AW128+(1-EXP(-LN(2)/2))/(LN(2)/2)*AQ129*AT129*VLOOKUP('Données projet'!$B$10,Paramètres!$A$1:$I$89,3,0)*0.475*44/12</f>
        <v>5.2970160327552867E-14</v>
      </c>
      <c r="AX129" s="23">
        <f t="shared" si="60"/>
        <v>0.63758274392549019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68.47741055388687</v>
      </c>
      <c r="BJ129" s="62">
        <f t="shared" si="92"/>
        <v>335.34467252166542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7.6824990020238655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2.2072648726439247E-15</v>
      </c>
      <c r="BS129" s="24">
        <f t="shared" si="63"/>
        <v>7.6824990020238673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3.3992364478763198E-14</v>
      </c>
      <c r="CA129" s="14">
        <f t="shared" si="93"/>
        <v>5.790027782444094E-13</v>
      </c>
      <c r="CB129" s="22">
        <f t="shared" si="64"/>
        <v>1.0676332069095257E-12</v>
      </c>
      <c r="CC129" s="62">
        <f t="shared" si="65"/>
        <v>285.04616884794723</v>
      </c>
      <c r="CD129" s="62">
        <f ca="1">AVERAGE(OFFSET($CC$3,0,0,'Données projet'!$E$12+1,1))-AVERAGE(OFFSET($H$3,0,0,'Données projet'!$E$12+1,1))</f>
        <v>211.76609132110815</v>
      </c>
      <c r="CE129" s="62">
        <f t="shared" si="94"/>
        <v>363.07965692095752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1.4756828683490231</v>
      </c>
      <c r="CL129" s="23">
        <f>EXP(-LN(2)/25)*CL128+(1-EXP(-LN(2)/25))/(LN(2)/25)*Calculateur!CG129*Calculateur!CI129*VLOOKUP('Données projet'!$B$12,Paramètres!$A$1:$I$89,3,0)*0.475*44/12</f>
        <v>0.37987193491809274</v>
      </c>
      <c r="CM129" s="23">
        <f>EXP(-LN(2)/2)*CM128+(1-EXP(-LN(2)/2))/(LN(2)/2)*CG129*CJ129*VLOOKUP('Données projet'!$B$12,Paramètres!$A$1:$I$89,3,0)*0.475*44/12</f>
        <v>8.3769933045311301E-15</v>
      </c>
      <c r="CN129" s="24">
        <f t="shared" si="66"/>
        <v>1.8555548032671243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-5.1431925385259088E-14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374.91250349988451</v>
      </c>
      <c r="CZ129" s="62">
        <f t="shared" si="96"/>
        <v>529.46825265662869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1.5812563080740962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1.5812563080740962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4.9658410716801891E-14</v>
      </c>
      <c r="DQ129" s="14">
        <f t="shared" si="97"/>
        <v>8.0934058173791862E-13</v>
      </c>
      <c r="DR129" s="22">
        <f t="shared" si="70"/>
        <v>1.4960899118586383E-12</v>
      </c>
      <c r="DS129" s="62">
        <f t="shared" si="71"/>
        <v>285.04616884794763</v>
      </c>
      <c r="DT129" s="62">
        <f ca="1">AVERAGE(OFFSET($DS$3,0,0,'Données projet'!$E$14+1,1))-AVERAGE(OFFSET($H$3,0,0,'Données projet'!$E$14+1,1))</f>
        <v>289.18543665577761</v>
      </c>
      <c r="DU129" s="62">
        <f t="shared" si="98"/>
        <v>291.40065947222843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0.77747931378332757</v>
      </c>
      <c r="EC129" s="23">
        <f>EXP(-LN(2)/2)*EC128+(1-EXP(-LN(2)/2))/(LN(2)/2)*DW129*DZ129*VLOOKUP('Données projet'!$B$14,Paramètres!$A$1:$I$89,3,0)*0.475*44/12</f>
        <v>3.7184827254781203E-14</v>
      </c>
      <c r="ED129" s="24">
        <f t="shared" si="72"/>
        <v>0.77747931378336477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514.72748286045442</v>
      </c>
      <c r="EP129" s="62">
        <f t="shared" si="100"/>
        <v>322.28702110656116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0.71453238543367947</v>
      </c>
      <c r="EX129" s="23">
        <f>EXP(-LN(2)/2)*EX128+(1-EXP(-LN(2)/2))/(LN(2)/2)*ER129*EU129*VLOOKUP('Données projet'!$B$15,Paramètres!$A$1:$I$89,3,0)*0.475*44/12</f>
        <v>5.9363110711912592E-14</v>
      </c>
      <c r="EY129" s="24">
        <f t="shared" si="75"/>
        <v>0.71453238543373887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67.739864231258039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4.0999999999999996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15.033333333333331</v>
      </c>
      <c r="H130" s="70">
        <f t="shared" si="56"/>
        <v>196.53333333333333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70.794576398719499</v>
      </c>
      <c r="T130" s="62">
        <f t="shared" si="88"/>
        <v>328.91236364911629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3.376981203444634E-16</v>
      </c>
      <c r="AC130" s="24">
        <f t="shared" si="57"/>
        <v>3.376981203444634E-16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466.75323833427217</v>
      </c>
      <c r="AO130" s="62">
        <f t="shared" si="90"/>
        <v>293.88550076209378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0.62014801026377686</v>
      </c>
      <c r="AW130" s="23">
        <f>EXP(-LN(2)/2)*AW129+(1-EXP(-LN(2)/2))/(LN(2)/2)*AQ130*AT130*VLOOKUP('Données projet'!$B$10,Paramètres!$A$1:$I$89,3,0)*0.475*44/12</f>
        <v>3.7455559568151265E-14</v>
      </c>
      <c r="AX130" s="23">
        <f t="shared" si="60"/>
        <v>0.62014801026381428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68.47741055388687</v>
      </c>
      <c r="BJ130" s="62">
        <f t="shared" si="92"/>
        <v>335.34467252166542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7.5318498824558784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1.5607719593213804E-15</v>
      </c>
      <c r="BS130" s="24">
        <f t="shared" si="63"/>
        <v>7.5318498824558802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3.3992364478763198E-14</v>
      </c>
      <c r="CA130" s="14">
        <f t="shared" si="93"/>
        <v>5.790027782444094E-13</v>
      </c>
      <c r="CB130" s="22">
        <f t="shared" si="64"/>
        <v>1.0676332069095257E-12</v>
      </c>
      <c r="CC130" s="62">
        <f t="shared" si="65"/>
        <v>285.18993262444451</v>
      </c>
      <c r="CD130" s="62">
        <f ca="1">AVERAGE(OFFSET($CC$3,0,0,'Données projet'!$E$12+1,1))-AVERAGE(OFFSET($H$3,0,0,'Données projet'!$E$12+1,1))</f>
        <v>211.76609132110815</v>
      </c>
      <c r="CE130" s="62">
        <f t="shared" si="94"/>
        <v>363.07965692095752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1.4467456273783732</v>
      </c>
      <c r="CL130" s="23">
        <f>EXP(-LN(2)/25)*CL129+(1-EXP(-LN(2)/25))/(LN(2)/25)*Calculateur!CG130*Calculateur!CI130*VLOOKUP('Données projet'!$B$12,Paramètres!$A$1:$I$89,3,0)*0.475*44/12</f>
        <v>0.36948431688116062</v>
      </c>
      <c r="CM130" s="23">
        <f>EXP(-LN(2)/2)*CM129+(1-EXP(-LN(2)/2))/(LN(2)/2)*CG130*CJ130*VLOOKUP('Données projet'!$B$12,Paramètres!$A$1:$I$89,3,0)*0.475*44/12</f>
        <v>5.9234287715882676E-15</v>
      </c>
      <c r="CN130" s="24">
        <f t="shared" si="66"/>
        <v>1.8162299442595398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-5.1431925385259088E-14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374.91250349988451</v>
      </c>
      <c r="CZ130" s="62">
        <f t="shared" si="96"/>
        <v>529.46825265662869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1.5502488363438776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1.5502488363438776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4.9658410716801891E-14</v>
      </c>
      <c r="DQ130" s="14">
        <f t="shared" si="97"/>
        <v>8.0934058173791862E-13</v>
      </c>
      <c r="DR130" s="22">
        <f t="shared" si="70"/>
        <v>1.4960899118586383E-12</v>
      </c>
      <c r="DS130" s="62">
        <f t="shared" si="71"/>
        <v>285.18993262444491</v>
      </c>
      <c r="DT130" s="62">
        <f ca="1">AVERAGE(OFFSET($DS$3,0,0,'Données projet'!$E$14+1,1))-AVERAGE(OFFSET($H$3,0,0,'Données projet'!$E$14+1,1))</f>
        <v>289.18543665577761</v>
      </c>
      <c r="DU130" s="62">
        <f t="shared" si="98"/>
        <v>291.40065947222843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0.75621910106206236</v>
      </c>
      <c r="EC130" s="23">
        <f>EXP(-LN(2)/2)*EC129+(1-EXP(-LN(2)/2))/(LN(2)/2)*DW130*DZ130*VLOOKUP('Données projet'!$B$14,Paramètres!$A$1:$I$89,3,0)*0.475*44/12</f>
        <v>2.6293643509106141E-14</v>
      </c>
      <c r="ED130" s="24">
        <f t="shared" si="72"/>
        <v>0.75621910106208867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514.72748286045442</v>
      </c>
      <c r="EP130" s="62">
        <f t="shared" si="100"/>
        <v>322.28702110656116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0.69499345977837046</v>
      </c>
      <c r="EX130" s="23">
        <f>EXP(-LN(2)/2)*EX129+(1-EXP(-LN(2)/2))/(LN(2)/2)*ER130*EU130*VLOOKUP('Données projet'!$B$15,Paramètres!$A$1:$I$89,3,0)*0.475*44/12</f>
        <v>4.1976058136721173E-14</v>
      </c>
      <c r="EY130" s="24">
        <f t="shared" si="75"/>
        <v>0.69499345977841243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67.779072533939114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4.0999999999999996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15.033333333333331</v>
      </c>
      <c r="H131" s="70">
        <f t="shared" si="56"/>
        <v>196.53333333333333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70.794576398719499</v>
      </c>
      <c r="T131" s="62">
        <f t="shared" si="88"/>
        <v>328.91236364911629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2.3878863088952087E-16</v>
      </c>
      <c r="AC131" s="24">
        <f t="shared" si="57"/>
        <v>2.3878863088952087E-16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466.75323833427217</v>
      </c>
      <c r="AO131" s="62">
        <f t="shared" si="90"/>
        <v>293.88550076209378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0.60319003031094742</v>
      </c>
      <c r="AW131" s="23">
        <f>EXP(-LN(2)/2)*AW130+(1-EXP(-LN(2)/2))/(LN(2)/2)*AQ131*AT131*VLOOKUP('Données projet'!$B$10,Paramètres!$A$1:$I$89,3,0)*0.475*44/12</f>
        <v>2.6485080163776433E-14</v>
      </c>
      <c r="AX131" s="23">
        <f t="shared" si="60"/>
        <v>0.60319003031097396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68.47741055388687</v>
      </c>
      <c r="BJ131" s="62">
        <f t="shared" si="92"/>
        <v>335.34467252166542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7.3841549002357292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1.1036324363219624E-15</v>
      </c>
      <c r="BS131" s="24">
        <f t="shared" si="63"/>
        <v>7.3841549002357301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3.3992364478763198E-14</v>
      </c>
      <c r="CA131" s="14">
        <f t="shared" si="93"/>
        <v>5.790027782444094E-13</v>
      </c>
      <c r="CB131" s="22">
        <f t="shared" si="64"/>
        <v>1.0676332069095257E-12</v>
      </c>
      <c r="CC131" s="62">
        <f t="shared" si="65"/>
        <v>285.33120242082725</v>
      </c>
      <c r="CD131" s="62">
        <f ca="1">AVERAGE(OFFSET($CC$3,0,0,'Données projet'!$E$12+1,1))-AVERAGE(OFFSET($H$3,0,0,'Données projet'!$E$12+1,1))</f>
        <v>211.76609132110815</v>
      </c>
      <c r="CE131" s="62">
        <f t="shared" si="94"/>
        <v>363.07965692095752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1.4183758280531835</v>
      </c>
      <c r="CL131" s="23">
        <f>EXP(-LN(2)/25)*CL130+(1-EXP(-LN(2)/25))/(LN(2)/25)*Calculateur!CG131*Calculateur!CI131*VLOOKUP('Données projet'!$B$12,Paramètres!$A$1:$I$89,3,0)*0.475*44/12</f>
        <v>0.35938074880570953</v>
      </c>
      <c r="CM131" s="23">
        <f>EXP(-LN(2)/2)*CM130+(1-EXP(-LN(2)/2))/(LN(2)/2)*CG131*CJ131*VLOOKUP('Données projet'!$B$12,Paramètres!$A$1:$I$89,3,0)*0.475*44/12</f>
        <v>4.1884966522655651E-15</v>
      </c>
      <c r="CN131" s="24">
        <f t="shared" si="66"/>
        <v>1.7777565768588972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-5.1431925385259088E-14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374.91250349988451</v>
      </c>
      <c r="CZ131" s="62">
        <f t="shared" si="96"/>
        <v>529.46825265662869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1.5198494022215983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1.5198494022215983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4.9658410716801891E-14</v>
      </c>
      <c r="DQ131" s="14">
        <f t="shared" si="97"/>
        <v>8.0934058173791862E-13</v>
      </c>
      <c r="DR131" s="22">
        <f t="shared" si="70"/>
        <v>1.4960899118586383E-12</v>
      </c>
      <c r="DS131" s="62">
        <f t="shared" si="71"/>
        <v>285.33120242082765</v>
      </c>
      <c r="DT131" s="62">
        <f ca="1">AVERAGE(OFFSET($DS$3,0,0,'Données projet'!$E$14+1,1))-AVERAGE(OFFSET($H$3,0,0,'Données projet'!$E$14+1,1))</f>
        <v>289.18543665577761</v>
      </c>
      <c r="DU131" s="62">
        <f t="shared" si="98"/>
        <v>291.40065947222843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0.73554024997568612</v>
      </c>
      <c r="EC131" s="23">
        <f>EXP(-LN(2)/2)*EC130+(1-EXP(-LN(2)/2))/(LN(2)/2)*DW131*DZ131*VLOOKUP('Données projet'!$B$14,Paramètres!$A$1:$I$89,3,0)*0.475*44/12</f>
        <v>1.8592413627390602E-14</v>
      </c>
      <c r="ED131" s="24">
        <f t="shared" si="72"/>
        <v>0.73554024997570466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514.72748286045442</v>
      </c>
      <c r="EP131" s="62">
        <f t="shared" si="100"/>
        <v>322.28702110656116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0.67598882707261332</v>
      </c>
      <c r="EX131" s="23">
        <f>EXP(-LN(2)/2)*EX130+(1-EXP(-LN(2)/2))/(LN(2)/2)*ER131*EU131*VLOOKUP('Données projet'!$B$15,Paramètres!$A$1:$I$89,3,0)*0.475*44/12</f>
        <v>2.9681555355956296E-14</v>
      </c>
      <c r="EY131" s="24">
        <f t="shared" si="75"/>
        <v>0.67598882707264296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67.81760066022531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4.0999999999999996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15.033333333333331</v>
      </c>
      <c r="H132" s="70">
        <f t="shared" ref="H132:H195" si="110">(B132+E132+F132)*44/12+(C132+D132)*0.475*44/12</f>
        <v>196.53333333333333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70.794576398719499</v>
      </c>
      <c r="T132" s="62">
        <f t="shared" si="88"/>
        <v>328.91236364911629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1.688490601722317E-16</v>
      </c>
      <c r="AC132" s="24">
        <f t="shared" ref="AC132:AC153" si="111">SUM(Z132:AB132)</f>
        <v>1.688490601722317E-16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466.75323833427217</v>
      </c>
      <c r="AO132" s="62">
        <f t="shared" si="90"/>
        <v>293.88550076209378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0.58669576721170946</v>
      </c>
      <c r="AW132" s="23">
        <f>EXP(-LN(2)/2)*AW131+(1-EXP(-LN(2)/2))/(LN(2)/2)*AQ132*AT132*VLOOKUP('Données projet'!$B$10,Paramètres!$A$1:$I$89,3,0)*0.475*44/12</f>
        <v>1.8727779784075633E-14</v>
      </c>
      <c r="AX132" s="23">
        <f t="shared" ref="AX132:AX153" si="114">SUM(AU132:AW132)</f>
        <v>0.58669576721172823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68.47741055388687</v>
      </c>
      <c r="BJ132" s="62">
        <f t="shared" si="92"/>
        <v>335.34467252166542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7.2393561265318738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7.803859796606902E-16</v>
      </c>
      <c r="BS132" s="24">
        <f t="shared" ref="BS132:BS153" si="117">SUM(BP132:BR132)</f>
        <v>7.2393561265318747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3.3992364478763198E-14</v>
      </c>
      <c r="CA132" s="14">
        <f t="shared" si="93"/>
        <v>5.790027782444094E-13</v>
      </c>
      <c r="CB132" s="22">
        <f t="shared" ref="CB132:CB153" si="118">(BZ132+CA132)*0.475*44/12</f>
        <v>1.0676332069095257E-12</v>
      </c>
      <c r="CC132" s="62">
        <f t="shared" ref="CC132:CC195" si="119">CB132+(BT132+BU132)*44/12</f>
        <v>285.47002150207464</v>
      </c>
      <c r="CD132" s="62">
        <f ca="1">AVERAGE(OFFSET($CC$3,0,0,'Données projet'!$E$12+1,1))-AVERAGE(OFFSET($H$3,0,0,'Données projet'!$E$12+1,1))</f>
        <v>211.76609132110815</v>
      </c>
      <c r="CE132" s="62">
        <f t="shared" si="94"/>
        <v>363.07965692095752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1.3905623431888918</v>
      </c>
      <c r="CL132" s="23">
        <f>EXP(-LN(2)/25)*CL131+(1-EXP(-LN(2)/25))/(LN(2)/25)*Calculateur!CG132*Calculateur!CI132*VLOOKUP('Données projet'!$B$12,Paramètres!$A$1:$I$89,3,0)*0.475*44/12</f>
        <v>0.34955346333060522</v>
      </c>
      <c r="CM132" s="23">
        <f>EXP(-LN(2)/2)*CM131+(1-EXP(-LN(2)/2))/(LN(2)/2)*CG132*CJ132*VLOOKUP('Données projet'!$B$12,Paramètres!$A$1:$I$89,3,0)*0.475*44/12</f>
        <v>2.9617143857941338E-15</v>
      </c>
      <c r="CN132" s="24">
        <f t="shared" ref="CN132:CN153" si="120">SUM(CK132:CM132)</f>
        <v>1.7401158065194999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-5.1431925385259088E-14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374.91250349988451</v>
      </c>
      <c r="CZ132" s="62">
        <f t="shared" si="96"/>
        <v>529.46825265662869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1.4900460824606327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1.4900460824606327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4.9658410716801891E-14</v>
      </c>
      <c r="DQ132" s="14">
        <f t="shared" si="97"/>
        <v>8.0934058173791862E-13</v>
      </c>
      <c r="DR132" s="22">
        <f t="shared" ref="DR132:DR153" si="124">(DP132+DQ132)*0.475*44/12</f>
        <v>1.4960899118586383E-12</v>
      </c>
      <c r="DS132" s="62">
        <f t="shared" ref="DS132:DS195" si="125">DR132+(DJ132+DK132)*44/12</f>
        <v>285.47002150207504</v>
      </c>
      <c r="DT132" s="62">
        <f ca="1">AVERAGE(OFFSET($DS$3,0,0,'Données projet'!$E$14+1,1))-AVERAGE(OFFSET($H$3,0,0,'Données projet'!$E$14+1,1))</f>
        <v>289.18543665577761</v>
      </c>
      <c r="DU132" s="62">
        <f t="shared" si="98"/>
        <v>291.40065947222843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0.71542686315972037</v>
      </c>
      <c r="EC132" s="23">
        <f>EXP(-LN(2)/2)*EC131+(1-EXP(-LN(2)/2))/(LN(2)/2)*DW132*DZ132*VLOOKUP('Données projet'!$B$14,Paramètres!$A$1:$I$89,3,0)*0.475*44/12</f>
        <v>1.3146821754553071E-14</v>
      </c>
      <c r="ED132" s="24">
        <f t="shared" ref="ED132:ED153" si="126">SUM(EA132:EC132)</f>
        <v>0.71542686315973347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514.72748286045442</v>
      </c>
      <c r="EP132" s="62">
        <f t="shared" si="100"/>
        <v>322.28702110656116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0.65750387704760527</v>
      </c>
      <c r="EX132" s="23">
        <f>EXP(-LN(2)/2)*EX131+(1-EXP(-LN(2)/2))/(LN(2)/2)*ER132*EU132*VLOOKUP('Données projet'!$B$15,Paramètres!$A$1:$I$89,3,0)*0.475*44/12</f>
        <v>2.0988029068360587E-14</v>
      </c>
      <c r="EY132" s="24">
        <f t="shared" ref="EY132:EY153" si="129">SUM(EV132:EX132)</f>
        <v>0.65750387704762625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67.85546040965643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4.0999999999999996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15.033333333333331</v>
      </c>
      <c r="H133" s="70">
        <f t="shared" si="110"/>
        <v>196.53333333333333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70.794576398719499</v>
      </c>
      <c r="T133" s="62">
        <f t="shared" ref="T133:T196" si="142">$T$3</f>
        <v>328.91236364911629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1.1939431544476043E-16</v>
      </c>
      <c r="AC133" s="24">
        <f t="shared" si="111"/>
        <v>1.1939431544476043E-16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466.75323833427217</v>
      </c>
      <c r="AO133" s="62">
        <f t="shared" ref="AO133:AO196" si="144">$AO$3</f>
        <v>293.88550076209378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0.57065254060431581</v>
      </c>
      <c r="AW133" s="23">
        <f>EXP(-LN(2)/2)*AW132+(1-EXP(-LN(2)/2))/(LN(2)/2)*AQ133*AT133*VLOOKUP('Données projet'!$B$10,Paramètres!$A$1:$I$89,3,0)*0.475*44/12</f>
        <v>1.3242540081888217E-14</v>
      </c>
      <c r="AX133" s="23">
        <f t="shared" si="114"/>
        <v>0.57065254060432902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68.47741055388687</v>
      </c>
      <c r="BJ133" s="62">
        <f t="shared" ref="BJ133:BJ196" si="146">$BJ$3</f>
        <v>335.34467252166542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7.0973967684618193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5.5181621816098118E-16</v>
      </c>
      <c r="BS133" s="24">
        <f t="shared" si="117"/>
        <v>7.0973967684618202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3.3992364478763198E-14</v>
      </c>
      <c r="CA133" s="14">
        <f t="shared" ref="CA133:CA153" si="147">EXP(-1.0587+0.8836*LN(BZ133)+0.284)</f>
        <v>5.790027782444094E-13</v>
      </c>
      <c r="CB133" s="22">
        <f t="shared" si="118"/>
        <v>1.0676332069095257E-12</v>
      </c>
      <c r="CC133" s="62">
        <f t="shared" si="119"/>
        <v>285.60643238261537</v>
      </c>
      <c r="CD133" s="62">
        <f ca="1">AVERAGE(OFFSET($CC$3,0,0,'Données projet'!$E$12+1,1))-AVERAGE(OFFSET($H$3,0,0,'Données projet'!$E$12+1,1))</f>
        <v>211.76609132110815</v>
      </c>
      <c r="CE133" s="62">
        <f t="shared" ref="CE133:CE196" si="148">$CE$3</f>
        <v>363.07965692095752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1.3632942637982381</v>
      </c>
      <c r="CL133" s="23">
        <f>EXP(-LN(2)/25)*CL132+(1-EXP(-LN(2)/25))/(LN(2)/25)*Calculateur!CG133*Calculateur!CI133*VLOOKUP('Données projet'!$B$12,Paramètres!$A$1:$I$89,3,0)*0.475*44/12</f>
        <v>0.33999490549361211</v>
      </c>
      <c r="CM133" s="23">
        <f>EXP(-LN(2)/2)*CM132+(1-EXP(-LN(2)/2))/(LN(2)/2)*CG133*CJ133*VLOOKUP('Données projet'!$B$12,Paramètres!$A$1:$I$89,3,0)*0.475*44/12</f>
        <v>2.0942483261327825E-15</v>
      </c>
      <c r="CN133" s="24">
        <f t="shared" si="120"/>
        <v>1.7032891692918521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-5.1431925385259088E-14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374.91250349988451</v>
      </c>
      <c r="CZ133" s="62">
        <f t="shared" ref="CZ133:CZ196" si="150">$CZ$3</f>
        <v>529.46825265662869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1.4608271876219496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1.4608271876219496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4.9658410716801891E-14</v>
      </c>
      <c r="DQ133" s="14">
        <f t="shared" ref="DQ133:DQ153" si="151">EXP(-1.0587+0.8836*LN(DP133)+0.284)</f>
        <v>8.0934058173791862E-13</v>
      </c>
      <c r="DR133" s="22">
        <f t="shared" si="124"/>
        <v>1.4960899118586383E-12</v>
      </c>
      <c r="DS133" s="62">
        <f t="shared" si="125"/>
        <v>285.60643238261576</v>
      </c>
      <c r="DT133" s="62">
        <f ca="1">AVERAGE(OFFSET($DS$3,0,0,'Données projet'!$E$14+1,1))-AVERAGE(OFFSET($H$3,0,0,'Données projet'!$E$14+1,1))</f>
        <v>289.18543665577761</v>
      </c>
      <c r="DU133" s="62">
        <f t="shared" ref="DU133:DU196" si="152">$DU$3</f>
        <v>291.40065947222843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0.6958634779639542</v>
      </c>
      <c r="EC133" s="23">
        <f>EXP(-LN(2)/2)*EC132+(1-EXP(-LN(2)/2))/(LN(2)/2)*DW133*DZ133*VLOOKUP('Données projet'!$B$14,Paramètres!$A$1:$I$89,3,0)*0.475*44/12</f>
        <v>9.2962068136953008E-15</v>
      </c>
      <c r="ED133" s="24">
        <f t="shared" si="126"/>
        <v>0.69586347796396353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514.72748286045442</v>
      </c>
      <c r="EP133" s="62">
        <f t="shared" ref="EP133:EP196" si="154">$EP$3</f>
        <v>322.28702110656116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0.63952439895311231</v>
      </c>
      <c r="EX133" s="23">
        <f>EXP(-LN(2)/2)*EX132+(1-EXP(-LN(2)/2))/(LN(2)/2)*ER133*EU133*VLOOKUP('Données projet'!$B$15,Paramètres!$A$1:$I$89,3,0)*0.475*44/12</f>
        <v>1.4840777677978148E-14</v>
      </c>
      <c r="EY133" s="24">
        <f t="shared" si="129"/>
        <v>0.63952439895312718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67.89266337707663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4.0999999999999996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15.033333333333331</v>
      </c>
      <c r="H134" s="70">
        <f t="shared" si="110"/>
        <v>196.53333333333333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70.794576398719499</v>
      </c>
      <c r="T134" s="62">
        <f t="shared" si="142"/>
        <v>328.91236364911629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8.442453008611585E-17</v>
      </c>
      <c r="AC134" s="24">
        <f t="shared" si="111"/>
        <v>8.442453008611585E-17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466.75323833427217</v>
      </c>
      <c r="AO134" s="62">
        <f t="shared" si="144"/>
        <v>293.88550076209378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0.55504801687217797</v>
      </c>
      <c r="AW134" s="23">
        <f>EXP(-LN(2)/2)*AW133+(1-EXP(-LN(2)/2))/(LN(2)/2)*AQ134*AT134*VLOOKUP('Données projet'!$B$10,Paramètres!$A$1:$I$89,3,0)*0.475*44/12</f>
        <v>9.3638898920378163E-15</v>
      </c>
      <c r="AX134" s="23">
        <f t="shared" si="114"/>
        <v>0.5550480168721873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68.47741055388687</v>
      </c>
      <c r="BJ134" s="62">
        <f t="shared" si="146"/>
        <v>335.34467252166542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6.95822114681686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3.901929898303451E-16</v>
      </c>
      <c r="BS134" s="24">
        <f t="shared" si="117"/>
        <v>6.95822114681686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3.3992364478763198E-14</v>
      </c>
      <c r="CA134" s="14">
        <f t="shared" si="147"/>
        <v>5.790027782444094E-13</v>
      </c>
      <c r="CB134" s="22">
        <f t="shared" si="118"/>
        <v>1.0676332069095257E-12</v>
      </c>
      <c r="CC134" s="62">
        <f t="shared" si="119"/>
        <v>285.74047683934776</v>
      </c>
      <c r="CD134" s="62">
        <f ca="1">AVERAGE(OFFSET($CC$3,0,0,'Données projet'!$E$12+1,1))-AVERAGE(OFFSET($H$3,0,0,'Données projet'!$E$12+1,1))</f>
        <v>211.76609132110815</v>
      </c>
      <c r="CE134" s="62">
        <f t="shared" si="148"/>
        <v>363.07965692095752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1.3365608948125491</v>
      </c>
      <c r="CL134" s="23">
        <f>EXP(-LN(2)/25)*CL133+(1-EXP(-LN(2)/25))/(LN(2)/25)*Calculateur!CG134*Calculateur!CI134*VLOOKUP('Données projet'!$B$12,Paramètres!$A$1:$I$89,3,0)*0.475*44/12</f>
        <v>0.33069772692333427</v>
      </c>
      <c r="CM134" s="23">
        <f>EXP(-LN(2)/2)*CM133+(1-EXP(-LN(2)/2))/(LN(2)/2)*CG134*CJ134*VLOOKUP('Données projet'!$B$12,Paramètres!$A$1:$I$89,3,0)*0.475*44/12</f>
        <v>1.4808571928970669E-15</v>
      </c>
      <c r="CN134" s="24">
        <f t="shared" si="120"/>
        <v>1.6672586217358849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-5.1431925385259088E-14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374.91250349988451</v>
      </c>
      <c r="CZ134" s="62">
        <f t="shared" si="150"/>
        <v>529.46825265662869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1.4321812574892872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1.4321812574892872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4.9658410716801891E-14</v>
      </c>
      <c r="DQ134" s="14">
        <f t="shared" si="151"/>
        <v>8.0934058173791862E-13</v>
      </c>
      <c r="DR134" s="22">
        <f t="shared" si="124"/>
        <v>1.4960899118586383E-12</v>
      </c>
      <c r="DS134" s="62">
        <f t="shared" si="125"/>
        <v>285.74047683934816</v>
      </c>
      <c r="DT134" s="62">
        <f ca="1">AVERAGE(OFFSET($DS$3,0,0,'Données projet'!$E$14+1,1))-AVERAGE(OFFSET($H$3,0,0,'Données projet'!$E$14+1,1))</f>
        <v>289.18543665577761</v>
      </c>
      <c r="DU134" s="62">
        <f t="shared" si="152"/>
        <v>291.40065947222843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0.67683505456516002</v>
      </c>
      <c r="EC134" s="23">
        <f>EXP(-LN(2)/2)*EC133+(1-EXP(-LN(2)/2))/(LN(2)/2)*DW134*DZ134*VLOOKUP('Données projet'!$B$14,Paramètres!$A$1:$I$89,3,0)*0.475*44/12</f>
        <v>6.5734108772765353E-15</v>
      </c>
      <c r="ED134" s="24">
        <f t="shared" si="126"/>
        <v>0.67683505456516657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514.72748286045442</v>
      </c>
      <c r="EP134" s="62">
        <f t="shared" si="154"/>
        <v>322.28702110656116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0.62203657063261297</v>
      </c>
      <c r="EX134" s="23">
        <f>EXP(-LN(2)/2)*EX133+(1-EXP(-LN(2)/2))/(LN(2)/2)*ER134*EU134*VLOOKUP('Données projet'!$B$15,Paramètres!$A$1:$I$89,3,0)*0.475*44/12</f>
        <v>1.0494014534180293E-14</v>
      </c>
      <c r="EY134" s="24">
        <f t="shared" si="129"/>
        <v>0.62203657063262352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67.929220956185461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4.0999999999999996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15.033333333333331</v>
      </c>
      <c r="H135" s="70">
        <f t="shared" si="110"/>
        <v>196.53333333333333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70.794576398719499</v>
      </c>
      <c r="T135" s="62">
        <f t="shared" si="142"/>
        <v>328.91236364911629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5.9697157722380217E-17</v>
      </c>
      <c r="AC135" s="24">
        <f t="shared" si="111"/>
        <v>5.9697157722380217E-17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466.75323833427217</v>
      </c>
      <c r="AO135" s="62">
        <f t="shared" si="144"/>
        <v>293.88550076209378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0.53987019966210159</v>
      </c>
      <c r="AW135" s="23">
        <f>EXP(-LN(2)/2)*AW134+(1-EXP(-LN(2)/2))/(LN(2)/2)*AQ135*AT135*VLOOKUP('Données projet'!$B$10,Paramètres!$A$1:$I$89,3,0)*0.475*44/12</f>
        <v>6.6212700409441083E-15</v>
      </c>
      <c r="AX135" s="23">
        <f t="shared" si="114"/>
        <v>0.53987019966210825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68.47741055388687</v>
      </c>
      <c r="BJ135" s="62">
        <f t="shared" si="146"/>
        <v>335.34467252166542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6.8217746742236116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2.7590810908049059E-16</v>
      </c>
      <c r="BS135" s="24">
        <f t="shared" si="117"/>
        <v>6.8217746742236116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3.3992364478763198E-14</v>
      </c>
      <c r="CA135" s="14">
        <f t="shared" si="147"/>
        <v>5.790027782444094E-13</v>
      </c>
      <c r="CB135" s="22">
        <f t="shared" si="118"/>
        <v>1.0676332069095257E-12</v>
      </c>
      <c r="CC135" s="62">
        <f t="shared" si="119"/>
        <v>285.87219592443438</v>
      </c>
      <c r="CD135" s="62">
        <f ca="1">AVERAGE(OFFSET($CC$3,0,0,'Données projet'!$E$12+1,1))-AVERAGE(OFFSET($H$3,0,0,'Données projet'!$E$12+1,1))</f>
        <v>211.76609132110815</v>
      </c>
      <c r="CE135" s="62">
        <f t="shared" si="148"/>
        <v>363.07965692095752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1.3103517508869245</v>
      </c>
      <c r="CL135" s="23">
        <f>EXP(-LN(2)/25)*CL134+(1-EXP(-LN(2)/25))/(LN(2)/25)*Calculateur!CG135*Calculateur!CI135*VLOOKUP('Données projet'!$B$12,Paramètres!$A$1:$I$89,3,0)*0.475*44/12</f>
        <v>0.32165478018997806</v>
      </c>
      <c r="CM135" s="23">
        <f>EXP(-LN(2)/2)*CM134+(1-EXP(-LN(2)/2))/(LN(2)/2)*CG135*CJ135*VLOOKUP('Données projet'!$B$12,Paramètres!$A$1:$I$89,3,0)*0.475*44/12</f>
        <v>1.0471241630663913E-15</v>
      </c>
      <c r="CN135" s="24">
        <f t="shared" si="120"/>
        <v>1.6320065310769036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-5.1431925385259088E-14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374.91250349988451</v>
      </c>
      <c r="CZ135" s="62">
        <f t="shared" si="150"/>
        <v>529.46825265662869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1.4040970565742339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1.4040970565742339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4.9658410716801891E-14</v>
      </c>
      <c r="DQ135" s="14">
        <f t="shared" si="151"/>
        <v>8.0934058173791862E-13</v>
      </c>
      <c r="DR135" s="22">
        <f t="shared" si="124"/>
        <v>1.4960899118586383E-12</v>
      </c>
      <c r="DS135" s="62">
        <f t="shared" si="125"/>
        <v>285.87219592443478</v>
      </c>
      <c r="DT135" s="62">
        <f ca="1">AVERAGE(OFFSET($DS$3,0,0,'Données projet'!$E$14+1,1))-AVERAGE(OFFSET($H$3,0,0,'Données projet'!$E$14+1,1))</f>
        <v>289.18543665577761</v>
      </c>
      <c r="DU135" s="62">
        <f t="shared" si="152"/>
        <v>291.40065947222843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0.65832696440486715</v>
      </c>
      <c r="EC135" s="23">
        <f>EXP(-LN(2)/2)*EC134+(1-EXP(-LN(2)/2))/(LN(2)/2)*DW135*DZ135*VLOOKUP('Données projet'!$B$14,Paramètres!$A$1:$I$89,3,0)*0.475*44/12</f>
        <v>4.6481034068476504E-15</v>
      </c>
      <c r="ED135" s="24">
        <f t="shared" si="126"/>
        <v>0.65832696440487182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514.72748286045442</v>
      </c>
      <c r="EP135" s="62">
        <f t="shared" si="154"/>
        <v>322.28702110656116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0.60502694789718259</v>
      </c>
      <c r="EX135" s="23">
        <f>EXP(-LN(2)/2)*EX134+(1-EXP(-LN(2)/2))/(LN(2)/2)*ER135*EU135*VLOOKUP('Données projet'!$B$15,Paramètres!$A$1:$I$89,3,0)*0.475*44/12</f>
        <v>7.420388838989074E-15</v>
      </c>
      <c r="EY135" s="24">
        <f t="shared" si="129"/>
        <v>0.60502694789719003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67.965144343027262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4.0999999999999996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15.033333333333331</v>
      </c>
      <c r="H136" s="70">
        <f t="shared" si="110"/>
        <v>196.53333333333333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70.794576398719499</v>
      </c>
      <c r="T136" s="62">
        <f t="shared" si="142"/>
        <v>328.91236364911629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4.2212265043057925E-17</v>
      </c>
      <c r="AC136" s="24">
        <f t="shared" si="111"/>
        <v>4.2212265043057925E-17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466.75323833427217</v>
      </c>
      <c r="AO136" s="62">
        <f t="shared" si="144"/>
        <v>293.88550076209378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0.52510742066180149</v>
      </c>
      <c r="AW136" s="23">
        <f>EXP(-LN(2)/2)*AW135+(1-EXP(-LN(2)/2))/(LN(2)/2)*AQ136*AT136*VLOOKUP('Données projet'!$B$10,Paramètres!$A$1:$I$89,3,0)*0.475*44/12</f>
        <v>4.6819449460189081E-15</v>
      </c>
      <c r="AX136" s="23">
        <f t="shared" si="114"/>
        <v>0.52510742066180616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68.47741055388687</v>
      </c>
      <c r="BJ136" s="62">
        <f t="shared" si="146"/>
        <v>335.34467252166542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6.6880038337337862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1.9509649491517255E-16</v>
      </c>
      <c r="BS136" s="24">
        <f t="shared" si="117"/>
        <v>6.6880038337337862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3.3992364478763198E-14</v>
      </c>
      <c r="CA136" s="14">
        <f t="shared" si="147"/>
        <v>5.790027782444094E-13</v>
      </c>
      <c r="CB136" s="22">
        <f t="shared" si="118"/>
        <v>1.0676332069095257E-12</v>
      </c>
      <c r="CC136" s="62">
        <f t="shared" si="119"/>
        <v>286.00162997787447</v>
      </c>
      <c r="CD136" s="62">
        <f ca="1">AVERAGE(OFFSET($CC$3,0,0,'Données projet'!$E$12+1,1))-AVERAGE(OFFSET($H$3,0,0,'Données projet'!$E$12+1,1))</f>
        <v>211.76609132110815</v>
      </c>
      <c r="CE136" s="62">
        <f t="shared" si="148"/>
        <v>363.07965692095752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1.2846565522876821</v>
      </c>
      <c r="CL136" s="23">
        <f>EXP(-LN(2)/25)*CL135+(1-EXP(-LN(2)/25))/(LN(2)/25)*Calculateur!CG136*Calculateur!CI136*VLOOKUP('Données projet'!$B$12,Paramètres!$A$1:$I$89,3,0)*0.475*44/12</f>
        <v>0.31285911331059335</v>
      </c>
      <c r="CM136" s="23">
        <f>EXP(-LN(2)/2)*CM135+(1-EXP(-LN(2)/2))/(LN(2)/2)*CG136*CJ136*VLOOKUP('Données projet'!$B$12,Paramètres!$A$1:$I$89,3,0)*0.475*44/12</f>
        <v>7.4042859644853345E-16</v>
      </c>
      <c r="CN136" s="24">
        <f t="shared" si="120"/>
        <v>1.5975156655982761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-5.1431925385259088E-14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374.91250349988451</v>
      </c>
      <c r="CZ136" s="62">
        <f t="shared" si="150"/>
        <v>529.46825265662869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1.3765635697094538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1.3765635697094538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4.9658410716801891E-14</v>
      </c>
      <c r="DQ136" s="14">
        <f t="shared" si="151"/>
        <v>8.0934058173791862E-13</v>
      </c>
      <c r="DR136" s="22">
        <f t="shared" si="124"/>
        <v>1.4960899118586383E-12</v>
      </c>
      <c r="DS136" s="62">
        <f t="shared" si="125"/>
        <v>286.00162997787487</v>
      </c>
      <c r="DT136" s="62">
        <f ca="1">AVERAGE(OFFSET($DS$3,0,0,'Données projet'!$E$14+1,1))-AVERAGE(OFFSET($H$3,0,0,'Données projet'!$E$14+1,1))</f>
        <v>289.18543665577761</v>
      </c>
      <c r="DU136" s="62">
        <f t="shared" si="152"/>
        <v>291.40065947222843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0.64032497894330564</v>
      </c>
      <c r="EC136" s="23">
        <f>EXP(-LN(2)/2)*EC135+(1-EXP(-LN(2)/2))/(LN(2)/2)*DW136*DZ136*VLOOKUP('Données projet'!$B$14,Paramètres!$A$1:$I$89,3,0)*0.475*44/12</f>
        <v>3.2867054386382677E-15</v>
      </c>
      <c r="ED136" s="24">
        <f t="shared" si="126"/>
        <v>0.64032497894330898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514.72748286045442</v>
      </c>
      <c r="EP136" s="62">
        <f t="shared" si="154"/>
        <v>322.28702110656116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0.58848245418994971</v>
      </c>
      <c r="EX136" s="23">
        <f>EXP(-LN(2)/2)*EX135+(1-EXP(-LN(2)/2))/(LN(2)/2)*ER136*EU136*VLOOKUP('Données projet'!$B$15,Paramètres!$A$1:$I$89,3,0)*0.475*44/12</f>
        <v>5.2470072670901467E-15</v>
      </c>
      <c r="EY136" s="24">
        <f t="shared" si="129"/>
        <v>0.58848245418995493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68.000444539420016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4.0999999999999996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15.033333333333331</v>
      </c>
      <c r="H137" s="70">
        <f t="shared" si="110"/>
        <v>196.53333333333333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70.794576398719499</v>
      </c>
      <c r="T137" s="62">
        <f t="shared" si="142"/>
        <v>328.91236364911629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2.9848578861190109E-17</v>
      </c>
      <c r="AC137" s="24">
        <f t="shared" si="111"/>
        <v>2.9848578861190109E-17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466.75323833427217</v>
      </c>
      <c r="AO137" s="62">
        <f t="shared" si="144"/>
        <v>293.88550076209378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0.51074833062960545</v>
      </c>
      <c r="AW137" s="23">
        <f>EXP(-LN(2)/2)*AW136+(1-EXP(-LN(2)/2))/(LN(2)/2)*AQ137*AT137*VLOOKUP('Données projet'!$B$10,Paramètres!$A$1:$I$89,3,0)*0.475*44/12</f>
        <v>3.3106350204720542E-15</v>
      </c>
      <c r="AX137" s="23">
        <f t="shared" si="114"/>
        <v>0.51074833062960878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68.47741055388687</v>
      </c>
      <c r="BJ137" s="62">
        <f t="shared" si="146"/>
        <v>335.34467252166542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6.5568561578338098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1.379540545402453E-16</v>
      </c>
      <c r="BS137" s="24">
        <f t="shared" si="117"/>
        <v>6.5568561578338098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3.3992364478763198E-14</v>
      </c>
      <c r="CA137" s="14">
        <f t="shared" si="147"/>
        <v>5.790027782444094E-13</v>
      </c>
      <c r="CB137" s="22">
        <f t="shared" si="118"/>
        <v>1.0676332069095257E-12</v>
      </c>
      <c r="CC137" s="62">
        <f t="shared" si="119"/>
        <v>286.12881863985854</v>
      </c>
      <c r="CD137" s="62">
        <f ca="1">AVERAGE(OFFSET($CC$3,0,0,'Données projet'!$E$12+1,1))-AVERAGE(OFFSET($H$3,0,0,'Données projet'!$E$12+1,1))</f>
        <v>211.76609132110815</v>
      </c>
      <c r="CE137" s="62">
        <f t="shared" si="148"/>
        <v>363.07965692095752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1.2594652208604471</v>
      </c>
      <c r="CL137" s="23">
        <f>EXP(-LN(2)/25)*CL136+(1-EXP(-LN(2)/25))/(LN(2)/25)*Calculateur!CG137*Calculateur!CI137*VLOOKUP('Données projet'!$B$12,Paramètres!$A$1:$I$89,3,0)*0.475*44/12</f>
        <v>0.30430396440456947</v>
      </c>
      <c r="CM137" s="23">
        <f>EXP(-LN(2)/2)*CM136+(1-EXP(-LN(2)/2))/(LN(2)/2)*CG137*CJ137*VLOOKUP('Données projet'!$B$12,Paramètres!$A$1:$I$89,3,0)*0.475*44/12</f>
        <v>5.2356208153319563E-16</v>
      </c>
      <c r="CN137" s="24">
        <f t="shared" si="120"/>
        <v>1.5637691852650171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-5.1431925385259088E-14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374.91250349988451</v>
      </c>
      <c r="CZ137" s="62">
        <f t="shared" si="150"/>
        <v>529.46825265662869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1.3495699977283233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1.3495699977283233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4.9658410716801891E-14</v>
      </c>
      <c r="DQ137" s="14">
        <f t="shared" si="151"/>
        <v>8.0934058173791862E-13</v>
      </c>
      <c r="DR137" s="22">
        <f t="shared" si="124"/>
        <v>1.4960899118586383E-12</v>
      </c>
      <c r="DS137" s="62">
        <f t="shared" si="125"/>
        <v>286.12881863985893</v>
      </c>
      <c r="DT137" s="62">
        <f ca="1">AVERAGE(OFFSET($DS$3,0,0,'Données projet'!$E$14+1,1))-AVERAGE(OFFSET($H$3,0,0,'Données projet'!$E$14+1,1))</f>
        <v>289.18543665577761</v>
      </c>
      <c r="DU137" s="62">
        <f t="shared" si="152"/>
        <v>291.40065947222843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0.62281525872087384</v>
      </c>
      <c r="EC137" s="23">
        <f>EXP(-LN(2)/2)*EC136+(1-EXP(-LN(2)/2))/(LN(2)/2)*DW137*DZ137*VLOOKUP('Données projet'!$B$14,Paramètres!$A$1:$I$89,3,0)*0.475*44/12</f>
        <v>2.3240517034238252E-15</v>
      </c>
      <c r="ED137" s="24">
        <f t="shared" si="126"/>
        <v>0.62281525872087617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514.72748286045442</v>
      </c>
      <c r="EP137" s="62">
        <f t="shared" si="154"/>
        <v>322.28702110656116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0.57239037053317832</v>
      </c>
      <c r="EX137" s="23">
        <f>EXP(-LN(2)/2)*EX136+(1-EXP(-LN(2)/2))/(LN(2)/2)*ER137*EU137*VLOOKUP('Données projet'!$B$15,Paramètres!$A$1:$I$89,3,0)*0.475*44/12</f>
        <v>3.710194419494537E-15</v>
      </c>
      <c r="EY137" s="24">
        <f t="shared" si="129"/>
        <v>0.57239037053318198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68.035132356324766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4.0999999999999996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15.033333333333331</v>
      </c>
      <c r="H138" s="70">
        <f t="shared" si="110"/>
        <v>196.53333333333333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70.794576398719499</v>
      </c>
      <c r="T138" s="62">
        <f t="shared" si="142"/>
        <v>328.91236364911629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2.1106132521528962E-17</v>
      </c>
      <c r="AC138" s="24">
        <f t="shared" si="111"/>
        <v>2.1106132521528962E-17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466.75323833427217</v>
      </c>
      <c r="AO138" s="62">
        <f t="shared" si="144"/>
        <v>293.88550076209378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0.4967818906694515</v>
      </c>
      <c r="AW138" s="23">
        <f>EXP(-LN(2)/2)*AW137+(1-EXP(-LN(2)/2))/(LN(2)/2)*AQ138*AT138*VLOOKUP('Données projet'!$B$10,Paramètres!$A$1:$I$89,3,0)*0.475*44/12</f>
        <v>2.3409724730094541E-15</v>
      </c>
      <c r="AX138" s="23">
        <f t="shared" si="114"/>
        <v>0.49678189066945383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68.47741055388687</v>
      </c>
      <c r="BJ138" s="62">
        <f t="shared" si="146"/>
        <v>335.34467252166542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6.4282802078660479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9.7548247457586275E-17</v>
      </c>
      <c r="BS138" s="24">
        <f t="shared" si="117"/>
        <v>6.4282802078660479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3.3992364478763198E-14</v>
      </c>
      <c r="CA138" s="14">
        <f t="shared" si="147"/>
        <v>5.790027782444094E-13</v>
      </c>
      <c r="CB138" s="22">
        <f t="shared" si="118"/>
        <v>1.0676332069095257E-12</v>
      </c>
      <c r="CC138" s="62">
        <f t="shared" si="119"/>
        <v>286.25380086290846</v>
      </c>
      <c r="CD138" s="62">
        <f ca="1">AVERAGE(OFFSET($CC$3,0,0,'Données projet'!$E$12+1,1))-AVERAGE(OFFSET($H$3,0,0,'Données projet'!$E$12+1,1))</f>
        <v>211.76609132110815</v>
      </c>
      <c r="CE138" s="62">
        <f t="shared" si="148"/>
        <v>363.07965692095752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1.2347678760773053</v>
      </c>
      <c r="CL138" s="23">
        <f>EXP(-LN(2)/25)*CL137+(1-EXP(-LN(2)/25))/(LN(2)/25)*Calculateur!CG138*Calculateur!CI138*VLOOKUP('Données projet'!$B$12,Paramètres!$A$1:$I$89,3,0)*0.475*44/12</f>
        <v>0.2959827564952765</v>
      </c>
      <c r="CM138" s="23">
        <f>EXP(-LN(2)/2)*CM137+(1-EXP(-LN(2)/2))/(LN(2)/2)*CG138*CJ138*VLOOKUP('Données projet'!$B$12,Paramètres!$A$1:$I$89,3,0)*0.475*44/12</f>
        <v>3.7021429822426673E-16</v>
      </c>
      <c r="CN138" s="24">
        <f t="shared" si="120"/>
        <v>1.5307506325725821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-5.1431925385259088E-14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374.91250349988451</v>
      </c>
      <c r="CZ138" s="62">
        <f t="shared" si="150"/>
        <v>529.46825265662869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1.3231057532292896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1.3231057532292896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4.9658410716801891E-14</v>
      </c>
      <c r="DQ138" s="14">
        <f t="shared" si="151"/>
        <v>8.0934058173791862E-13</v>
      </c>
      <c r="DR138" s="22">
        <f t="shared" si="124"/>
        <v>1.4960899118586383E-12</v>
      </c>
      <c r="DS138" s="62">
        <f t="shared" si="125"/>
        <v>286.25380086290886</v>
      </c>
      <c r="DT138" s="62">
        <f ca="1">AVERAGE(OFFSET($DS$3,0,0,'Données projet'!$E$14+1,1))-AVERAGE(OFFSET($H$3,0,0,'Données projet'!$E$14+1,1))</f>
        <v>289.18543665577761</v>
      </c>
      <c r="DU138" s="62">
        <f t="shared" si="152"/>
        <v>291.40065947222843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0.6057843427187205</v>
      </c>
      <c r="EC138" s="23">
        <f>EXP(-LN(2)/2)*EC137+(1-EXP(-LN(2)/2))/(LN(2)/2)*DW138*DZ138*VLOOKUP('Données projet'!$B$14,Paramètres!$A$1:$I$89,3,0)*0.475*44/12</f>
        <v>1.6433527193191338E-15</v>
      </c>
      <c r="ED138" s="24">
        <f t="shared" si="126"/>
        <v>0.60578434271872217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514.72748286045442</v>
      </c>
      <c r="EP138" s="62">
        <f t="shared" si="154"/>
        <v>322.28702110656116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0.55673832575024718</v>
      </c>
      <c r="EX138" s="23">
        <f>EXP(-LN(2)/2)*EX137+(1-EXP(-LN(2)/2))/(LN(2)/2)*ER138*EU138*VLOOKUP('Données projet'!$B$15,Paramètres!$A$1:$I$89,3,0)*0.475*44/12</f>
        <v>2.6235036335450733E-15</v>
      </c>
      <c r="EY138" s="24">
        <f t="shared" si="129"/>
        <v>0.55673832575024984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68.069218417156563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4.0999999999999996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15.033333333333331</v>
      </c>
      <c r="H139" s="70">
        <f t="shared" si="110"/>
        <v>196.53333333333333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70.794576398719499</v>
      </c>
      <c r="T139" s="62">
        <f t="shared" si="142"/>
        <v>328.91236364911629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1.4924289430595054E-17</v>
      </c>
      <c r="AC139" s="24">
        <f t="shared" si="111"/>
        <v>1.4924289430595054E-17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466.75323833427217</v>
      </c>
      <c r="AO139" s="62">
        <f t="shared" si="144"/>
        <v>293.88550076209378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0.48319736374447114</v>
      </c>
      <c r="AW139" s="23">
        <f>EXP(-LN(2)/2)*AW138+(1-EXP(-LN(2)/2))/(LN(2)/2)*AQ139*AT139*VLOOKUP('Données projet'!$B$10,Paramètres!$A$1:$I$89,3,0)*0.475*44/12</f>
        <v>1.6553175102360271E-15</v>
      </c>
      <c r="AX139" s="23">
        <f t="shared" si="114"/>
        <v>0.48319736374447281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68.47741055388687</v>
      </c>
      <c r="BJ139" s="62">
        <f t="shared" si="146"/>
        <v>335.34467252166542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6.3022255538535683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6.8977027270122648E-17</v>
      </c>
      <c r="BS139" s="24">
        <f t="shared" si="117"/>
        <v>6.3022255538535683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3.3992364478763198E-14</v>
      </c>
      <c r="CA139" s="14">
        <f t="shared" si="147"/>
        <v>5.790027782444094E-13</v>
      </c>
      <c r="CB139" s="22">
        <f t="shared" si="118"/>
        <v>1.0676332069095257E-12</v>
      </c>
      <c r="CC139" s="62">
        <f t="shared" si="119"/>
        <v>286.37661492380693</v>
      </c>
      <c r="CD139" s="62">
        <f ca="1">AVERAGE(OFFSET($CC$3,0,0,'Données projet'!$E$12+1,1))-AVERAGE(OFFSET($H$3,0,0,'Données projet'!$E$12+1,1))</f>
        <v>211.76609132110815</v>
      </c>
      <c r="CE139" s="62">
        <f t="shared" si="148"/>
        <v>363.07965692095752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1.210554831161468</v>
      </c>
      <c r="CL139" s="23">
        <f>EXP(-LN(2)/25)*CL138+(1-EXP(-LN(2)/25))/(LN(2)/25)*Calculateur!CG139*Calculateur!CI139*VLOOKUP('Données projet'!$B$12,Paramètres!$A$1:$I$89,3,0)*0.475*44/12</f>
        <v>0.28788909245385647</v>
      </c>
      <c r="CM139" s="23">
        <f>EXP(-LN(2)/2)*CM138+(1-EXP(-LN(2)/2))/(LN(2)/2)*CG139*CJ139*VLOOKUP('Données projet'!$B$12,Paramètres!$A$1:$I$89,3,0)*0.475*44/12</f>
        <v>2.6178104076659782E-16</v>
      </c>
      <c r="CN139" s="24">
        <f t="shared" si="120"/>
        <v>1.4984439236153246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-5.1431925385259088E-14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374.91250349988451</v>
      </c>
      <c r="CZ139" s="62">
        <f t="shared" si="150"/>
        <v>529.46825265662869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1.2971604564232866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1.2971604564232866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4.9658410716801891E-14</v>
      </c>
      <c r="DQ139" s="14">
        <f t="shared" si="151"/>
        <v>8.0934058173791862E-13</v>
      </c>
      <c r="DR139" s="22">
        <f t="shared" si="124"/>
        <v>1.4960899118586383E-12</v>
      </c>
      <c r="DS139" s="62">
        <f t="shared" si="125"/>
        <v>286.37661492380732</v>
      </c>
      <c r="DT139" s="62">
        <f ca="1">AVERAGE(OFFSET($DS$3,0,0,'Données projet'!$E$14+1,1))-AVERAGE(OFFSET($H$3,0,0,'Données projet'!$E$14+1,1))</f>
        <v>289.18543665577761</v>
      </c>
      <c r="DU139" s="62">
        <f t="shared" si="152"/>
        <v>291.40065947222843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0.58921913801026304</v>
      </c>
      <c r="EC139" s="23">
        <f>EXP(-LN(2)/2)*EC138+(1-EXP(-LN(2)/2))/(LN(2)/2)*DW139*DZ139*VLOOKUP('Données projet'!$B$14,Paramètres!$A$1:$I$89,3,0)*0.475*44/12</f>
        <v>1.1620258517119126E-15</v>
      </c>
      <c r="ED139" s="24">
        <f t="shared" si="126"/>
        <v>0.58921913801026415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514.72748286045442</v>
      </c>
      <c r="EP139" s="62">
        <f t="shared" si="154"/>
        <v>322.28702110656116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0.54151428695501058</v>
      </c>
      <c r="EX139" s="23">
        <f>EXP(-LN(2)/2)*EX138+(1-EXP(-LN(2)/2))/(LN(2)/2)*ER139*EU139*VLOOKUP('Données projet'!$B$15,Paramètres!$A$1:$I$89,3,0)*0.475*44/12</f>
        <v>1.8550972097472685E-15</v>
      </c>
      <c r="EY139" s="24">
        <f t="shared" si="129"/>
        <v>0.54151428695501247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68.102713161037954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4.0999999999999996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15.033333333333331</v>
      </c>
      <c r="H140" s="70">
        <f t="shared" si="110"/>
        <v>196.53333333333333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70.794576398719499</v>
      </c>
      <c r="T140" s="62">
        <f t="shared" si="142"/>
        <v>328.91236364911629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1.0553066260764481E-17</v>
      </c>
      <c r="AC140" s="24">
        <f t="shared" si="111"/>
        <v>1.0553066260764481E-17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466.75323833427217</v>
      </c>
      <c r="AO140" s="62">
        <f t="shared" si="144"/>
        <v>293.88550076209378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0.46998430642263356</v>
      </c>
      <c r="AW140" s="23">
        <f>EXP(-LN(2)/2)*AW139+(1-EXP(-LN(2)/2))/(LN(2)/2)*AQ140*AT140*VLOOKUP('Données projet'!$B$10,Paramètres!$A$1:$I$89,3,0)*0.475*44/12</f>
        <v>1.170486236504727E-15</v>
      </c>
      <c r="AX140" s="23">
        <f t="shared" si="114"/>
        <v>0.46998430642263472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68.47741055388687</v>
      </c>
      <c r="BJ140" s="62">
        <f t="shared" si="146"/>
        <v>335.34467252166542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6.178642754720526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4.8774123728793137E-17</v>
      </c>
      <c r="BS140" s="24">
        <f t="shared" si="117"/>
        <v>6.178642754720526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3.3992364478763198E-14</v>
      </c>
      <c r="CA140" s="14">
        <f t="shared" si="147"/>
        <v>5.790027782444094E-13</v>
      </c>
      <c r="CB140" s="22">
        <f t="shared" si="118"/>
        <v>1.0676332069095257E-12</v>
      </c>
      <c r="CC140" s="62">
        <f t="shared" si="119"/>
        <v>286.49729843531986</v>
      </c>
      <c r="CD140" s="62">
        <f ca="1">AVERAGE(OFFSET($CC$3,0,0,'Données projet'!$E$12+1,1))-AVERAGE(OFFSET($H$3,0,0,'Données projet'!$E$12+1,1))</f>
        <v>211.76609132110815</v>
      </c>
      <c r="CE140" s="62">
        <f t="shared" si="148"/>
        <v>363.07965692095752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1.186816589287931</v>
      </c>
      <c r="CL140" s="23">
        <f>EXP(-LN(2)/25)*CL139+(1-EXP(-LN(2)/25))/(LN(2)/25)*Calculateur!CG140*Calculateur!CI140*VLOOKUP('Données projet'!$B$12,Paramètres!$A$1:$I$89,3,0)*0.475*44/12</f>
        <v>0.28001675008127636</v>
      </c>
      <c r="CM140" s="23">
        <f>EXP(-LN(2)/2)*CM139+(1-EXP(-LN(2)/2))/(LN(2)/2)*CG140*CJ140*VLOOKUP('Données projet'!$B$12,Paramètres!$A$1:$I$89,3,0)*0.475*44/12</f>
        <v>1.8510714911213336E-16</v>
      </c>
      <c r="CN140" s="24">
        <f t="shared" si="120"/>
        <v>1.4668333393692075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-5.1431925385259088E-14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374.91250349988451</v>
      </c>
      <c r="CZ140" s="62">
        <f t="shared" si="150"/>
        <v>529.46825265662869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1.2717239310625807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1.2717239310625807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4.9658410716801891E-14</v>
      </c>
      <c r="DQ140" s="14">
        <f t="shared" si="151"/>
        <v>8.0934058173791862E-13</v>
      </c>
      <c r="DR140" s="22">
        <f t="shared" si="124"/>
        <v>1.4960899118586383E-12</v>
      </c>
      <c r="DS140" s="62">
        <f t="shared" si="125"/>
        <v>286.49729843532026</v>
      </c>
      <c r="DT140" s="62">
        <f ca="1">AVERAGE(OFFSET($DS$3,0,0,'Données projet'!$E$14+1,1))-AVERAGE(OFFSET($H$3,0,0,'Données projet'!$E$14+1,1))</f>
        <v>289.18543665577761</v>
      </c>
      <c r="DU140" s="62">
        <f t="shared" si="152"/>
        <v>291.40065947222843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0.57310690969568456</v>
      </c>
      <c r="EC140" s="23">
        <f>EXP(-LN(2)/2)*EC139+(1-EXP(-LN(2)/2))/(LN(2)/2)*DW140*DZ140*VLOOKUP('Données projet'!$B$14,Paramètres!$A$1:$I$89,3,0)*0.475*44/12</f>
        <v>8.2167635965956692E-16</v>
      </c>
      <c r="ED140" s="24">
        <f t="shared" si="126"/>
        <v>0.57310690969568534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514.72748286045442</v>
      </c>
      <c r="EP140" s="62">
        <f t="shared" si="154"/>
        <v>322.28702110656116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0.52670655030122715</v>
      </c>
      <c r="EX140" s="23">
        <f>EXP(-LN(2)/2)*EX139+(1-EXP(-LN(2)/2))/(LN(2)/2)*ER140*EU140*VLOOKUP('Données projet'!$B$15,Paramètres!$A$1:$I$89,3,0)*0.475*44/12</f>
        <v>1.3117518167725367E-15</v>
      </c>
      <c r="EY140" s="24">
        <f t="shared" si="129"/>
        <v>0.52670655030122848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68.135626845996029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4.0999999999999996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15.033333333333331</v>
      </c>
      <c r="H141" s="70">
        <f t="shared" si="110"/>
        <v>196.53333333333333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70.794576398719499</v>
      </c>
      <c r="T141" s="62">
        <f t="shared" si="142"/>
        <v>328.91236364911629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7.4621447152975272E-18</v>
      </c>
      <c r="AC141" s="24">
        <f t="shared" si="111"/>
        <v>7.4621447152975272E-18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466.75323833427217</v>
      </c>
      <c r="AO141" s="62">
        <f t="shared" si="144"/>
        <v>293.88550076209378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0.45713256084810611</v>
      </c>
      <c r="AW141" s="23">
        <f>EXP(-LN(2)/2)*AW140+(1-EXP(-LN(2)/2))/(LN(2)/2)*AQ141*AT141*VLOOKUP('Données projet'!$B$10,Paramètres!$A$1:$I$89,3,0)*0.475*44/12</f>
        <v>8.2765875511801354E-16</v>
      </c>
      <c r="AX141" s="23">
        <f t="shared" si="114"/>
        <v>0.45713256084810694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68.47741055388687</v>
      </c>
      <c r="BJ141" s="62">
        <f t="shared" si="146"/>
        <v>335.34467252166542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6.0574833389004183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3.4488513635061324E-17</v>
      </c>
      <c r="BS141" s="24">
        <f t="shared" si="117"/>
        <v>6.0574833389004183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3.3992364478763198E-14</v>
      </c>
      <c r="CA141" s="14">
        <f t="shared" si="147"/>
        <v>5.790027782444094E-13</v>
      </c>
      <c r="CB141" s="22">
        <f t="shared" si="118"/>
        <v>1.0676332069095257E-12</v>
      </c>
      <c r="CC141" s="62">
        <f t="shared" si="119"/>
        <v>286.61588835771596</v>
      </c>
      <c r="CD141" s="62">
        <f ca="1">AVERAGE(OFFSET($CC$3,0,0,'Données projet'!$E$12+1,1))-AVERAGE(OFFSET($H$3,0,0,'Données projet'!$E$12+1,1))</f>
        <v>211.76609132110815</v>
      </c>
      <c r="CE141" s="62">
        <f t="shared" si="148"/>
        <v>363.07965692095752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1.1635438398586362</v>
      </c>
      <c r="CL141" s="23">
        <f>EXP(-LN(2)/25)*CL140+(1-EXP(-LN(2)/25))/(LN(2)/25)*Calculateur!CG141*Calculateur!CI141*VLOOKUP('Données projet'!$B$12,Paramètres!$A$1:$I$89,3,0)*0.475*44/12</f>
        <v>0.27235967732486294</v>
      </c>
      <c r="CM141" s="23">
        <f>EXP(-LN(2)/2)*CM140+(1-EXP(-LN(2)/2))/(LN(2)/2)*CG141*CJ141*VLOOKUP('Données projet'!$B$12,Paramètres!$A$1:$I$89,3,0)*0.475*44/12</f>
        <v>1.3089052038329891E-16</v>
      </c>
      <c r="CN141" s="24">
        <f t="shared" si="120"/>
        <v>1.4359035171834993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-5.1431925385259088E-14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374.91250349988451</v>
      </c>
      <c r="CZ141" s="62">
        <f t="shared" si="150"/>
        <v>529.46825265662869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1.2467862004494499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1.2467862004494499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4.9658410716801891E-14</v>
      </c>
      <c r="DQ141" s="14">
        <f t="shared" si="151"/>
        <v>8.0934058173791862E-13</v>
      </c>
      <c r="DR141" s="22">
        <f t="shared" si="124"/>
        <v>1.4960899118586383E-12</v>
      </c>
      <c r="DS141" s="62">
        <f t="shared" si="125"/>
        <v>286.61588835771636</v>
      </c>
      <c r="DT141" s="62">
        <f ca="1">AVERAGE(OFFSET($DS$3,0,0,'Données projet'!$E$14+1,1))-AVERAGE(OFFSET($H$3,0,0,'Données projet'!$E$14+1,1))</f>
        <v>289.18543665577761</v>
      </c>
      <c r="DU141" s="62">
        <f t="shared" si="152"/>
        <v>291.40065947222843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0.55743527111167357</v>
      </c>
      <c r="EC141" s="23">
        <f>EXP(-LN(2)/2)*EC140+(1-EXP(-LN(2)/2))/(LN(2)/2)*DW141*DZ141*VLOOKUP('Données projet'!$B$14,Paramètres!$A$1:$I$89,3,0)*0.475*44/12</f>
        <v>5.810129258559563E-16</v>
      </c>
      <c r="ED141" s="24">
        <f t="shared" si="126"/>
        <v>0.55743527111167412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514.72748286045442</v>
      </c>
      <c r="EP141" s="62">
        <f t="shared" si="154"/>
        <v>322.28702110656116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0.51230373198494639</v>
      </c>
      <c r="EX141" s="23">
        <f>EXP(-LN(2)/2)*EX140+(1-EXP(-LN(2)/2))/(LN(2)/2)*ER141*EU141*VLOOKUP('Données projet'!$B$15,Paramètres!$A$1:$I$89,3,0)*0.475*44/12</f>
        <v>9.2754860487363425E-16</v>
      </c>
      <c r="EY141" s="24">
        <f t="shared" si="129"/>
        <v>0.51230373198494727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68.167969552104054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4.0999999999999996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15.033333333333331</v>
      </c>
      <c r="H142" s="70">
        <f t="shared" si="110"/>
        <v>196.53333333333333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70.794576398719499</v>
      </c>
      <c r="T142" s="62">
        <f t="shared" si="142"/>
        <v>328.91236364911629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5.2765331303822406E-18</v>
      </c>
      <c r="AC142" s="24">
        <f t="shared" si="111"/>
        <v>5.2765331303822406E-18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466.75323833427217</v>
      </c>
      <c r="AO142" s="62">
        <f t="shared" si="144"/>
        <v>293.88550076209378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0.44463224693215808</v>
      </c>
      <c r="AW142" s="23">
        <f>EXP(-LN(2)/2)*AW141+(1-EXP(-LN(2)/2))/(LN(2)/2)*AQ142*AT142*VLOOKUP('Données projet'!$B$10,Paramètres!$A$1:$I$89,3,0)*0.475*44/12</f>
        <v>5.8524311825236352E-16</v>
      </c>
      <c r="AX142" s="23">
        <f t="shared" si="114"/>
        <v>0.44463224693215869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68.47741055388687</v>
      </c>
      <c r="BJ142" s="62">
        <f t="shared" si="146"/>
        <v>335.34467252166542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5.9386997853245962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2.4387061864396569E-17</v>
      </c>
      <c r="BS142" s="24">
        <f t="shared" si="117"/>
        <v>5.9386997853245962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3.3992364478763198E-14</v>
      </c>
      <c r="CA142" s="14">
        <f t="shared" si="147"/>
        <v>5.790027782444094E-13</v>
      </c>
      <c r="CB142" s="22">
        <f t="shared" si="118"/>
        <v>1.0676332069095257E-12</v>
      </c>
      <c r="CC142" s="62">
        <f t="shared" si="119"/>
        <v>286.73242101008583</v>
      </c>
      <c r="CD142" s="62">
        <f ca="1">AVERAGE(OFFSET($CC$3,0,0,'Données projet'!$E$12+1,1))-AVERAGE(OFFSET($H$3,0,0,'Données projet'!$E$12+1,1))</f>
        <v>211.76609132110815</v>
      </c>
      <c r="CE142" s="62">
        <f t="shared" si="148"/>
        <v>363.07965692095752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1.1407274548506745</v>
      </c>
      <c r="CL142" s="23">
        <f>EXP(-LN(2)/25)*CL141+(1-EXP(-LN(2)/25))/(LN(2)/25)*Calculateur!CG142*Calculateur!CI142*VLOOKUP('Données projet'!$B$12,Paramètres!$A$1:$I$89,3,0)*0.475*44/12</f>
        <v>0.26491198762564161</v>
      </c>
      <c r="CM142" s="23">
        <f>EXP(-LN(2)/2)*CM141+(1-EXP(-LN(2)/2))/(LN(2)/2)*CG142*CJ142*VLOOKUP('Données projet'!$B$12,Paramètres!$A$1:$I$89,3,0)*0.475*44/12</f>
        <v>9.2553574556066682E-17</v>
      </c>
      <c r="CN142" s="24">
        <f t="shared" si="120"/>
        <v>1.4056394424763161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-5.1431925385259088E-14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374.91250349988451</v>
      </c>
      <c r="CZ142" s="62">
        <f t="shared" si="150"/>
        <v>529.46825265662869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1.2223374835231289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1.2223374835231289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4.9658410716801891E-14</v>
      </c>
      <c r="DQ142" s="14">
        <f t="shared" si="151"/>
        <v>8.0934058173791862E-13</v>
      </c>
      <c r="DR142" s="22">
        <f t="shared" si="124"/>
        <v>1.4960899118586383E-12</v>
      </c>
      <c r="DS142" s="62">
        <f t="shared" si="125"/>
        <v>286.73242101008623</v>
      </c>
      <c r="DT142" s="62">
        <f ca="1">AVERAGE(OFFSET($DS$3,0,0,'Données projet'!$E$14+1,1))-AVERAGE(OFFSET($H$3,0,0,'Données projet'!$E$14+1,1))</f>
        <v>289.18543665577761</v>
      </c>
      <c r="DU142" s="62">
        <f t="shared" si="152"/>
        <v>291.40065947222843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0.54219217430887801</v>
      </c>
      <c r="EC142" s="23">
        <f>EXP(-LN(2)/2)*EC141+(1-EXP(-LN(2)/2))/(LN(2)/2)*DW142*DZ142*VLOOKUP('Données projet'!$B$14,Paramètres!$A$1:$I$89,3,0)*0.475*44/12</f>
        <v>4.1083817982978346E-16</v>
      </c>
      <c r="ED142" s="24">
        <f t="shared" si="126"/>
        <v>0.54219217430887845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514.72748286045442</v>
      </c>
      <c r="EP142" s="62">
        <f t="shared" si="154"/>
        <v>322.28702110656116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0.49829475949293567</v>
      </c>
      <c r="EX142" s="23">
        <f>EXP(-LN(2)/2)*EX141+(1-EXP(-LN(2)/2))/(LN(2)/2)*ER142*EU142*VLOOKUP('Données projet'!$B$15,Paramètres!$A$1:$I$89,3,0)*0.475*44/12</f>
        <v>6.5587590838626833E-16</v>
      </c>
      <c r="EY142" s="24">
        <f t="shared" si="129"/>
        <v>0.49829475949293633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68.199751184568569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4.0999999999999996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15.033333333333331</v>
      </c>
      <c r="H143" s="70">
        <f t="shared" si="110"/>
        <v>196.53333333333333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70.794576398719499</v>
      </c>
      <c r="T143" s="62">
        <f t="shared" si="142"/>
        <v>328.91236364911629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3.7310723576487636E-18</v>
      </c>
      <c r="AC143" s="24">
        <f t="shared" si="111"/>
        <v>3.7310723576487636E-18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466.75323833427217</v>
      </c>
      <c r="AO143" s="62">
        <f t="shared" si="144"/>
        <v>293.88550076209378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0.43247375475760458</v>
      </c>
      <c r="AW143" s="23">
        <f>EXP(-LN(2)/2)*AW142+(1-EXP(-LN(2)/2))/(LN(2)/2)*AQ143*AT143*VLOOKUP('Données projet'!$B$10,Paramètres!$A$1:$I$89,3,0)*0.475*44/12</f>
        <v>4.1382937755900677E-16</v>
      </c>
      <c r="AX143" s="23">
        <f t="shared" si="114"/>
        <v>0.43247375475760497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68.47741055388687</v>
      </c>
      <c r="BJ143" s="62">
        <f t="shared" si="146"/>
        <v>335.34467252166542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5.8222455047835826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1.7244256817530662E-17</v>
      </c>
      <c r="BS143" s="24">
        <f t="shared" si="117"/>
        <v>5.8222455047835826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3.3992364478763198E-14</v>
      </c>
      <c r="CA143" s="14">
        <f t="shared" si="147"/>
        <v>5.790027782444094E-13</v>
      </c>
      <c r="CB143" s="22">
        <f t="shared" si="118"/>
        <v>1.0676332069095257E-12</v>
      </c>
      <c r="CC143" s="62">
        <f t="shared" si="119"/>
        <v>286.84693208146507</v>
      </c>
      <c r="CD143" s="62">
        <f ca="1">AVERAGE(OFFSET($CC$3,0,0,'Données projet'!$E$12+1,1))-AVERAGE(OFFSET($H$3,0,0,'Données projet'!$E$12+1,1))</f>
        <v>211.76609132110815</v>
      </c>
      <c r="CE143" s="62">
        <f t="shared" si="148"/>
        <v>363.07965692095752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1.1183584852360982</v>
      </c>
      <c r="CL143" s="23">
        <f>EXP(-LN(2)/25)*CL142+(1-EXP(-LN(2)/25))/(LN(2)/25)*Calculateur!CG143*Calculateur!CI143*VLOOKUP('Données projet'!$B$12,Paramètres!$A$1:$I$89,3,0)*0.475*44/12</f>
        <v>0.25766795539290249</v>
      </c>
      <c r="CM143" s="23">
        <f>EXP(-LN(2)/2)*CM142+(1-EXP(-LN(2)/2))/(LN(2)/2)*CG143*CJ143*VLOOKUP('Données projet'!$B$12,Paramètres!$A$1:$I$89,3,0)*0.475*44/12</f>
        <v>6.5445260191649454E-17</v>
      </c>
      <c r="CN143" s="24">
        <f t="shared" si="120"/>
        <v>1.3760264406290006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-5.1431925385259088E-14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374.91250349988451</v>
      </c>
      <c r="CZ143" s="62">
        <f t="shared" si="150"/>
        <v>529.46825265662869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1.198368191023488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1.198368191023488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4.9658410716801891E-14</v>
      </c>
      <c r="DQ143" s="14">
        <f t="shared" si="151"/>
        <v>8.0934058173791862E-13</v>
      </c>
      <c r="DR143" s="22">
        <f t="shared" si="124"/>
        <v>1.4960899118586383E-12</v>
      </c>
      <c r="DS143" s="62">
        <f t="shared" si="125"/>
        <v>286.84693208146547</v>
      </c>
      <c r="DT143" s="62">
        <f ca="1">AVERAGE(OFFSET($DS$3,0,0,'Données projet'!$E$14+1,1))-AVERAGE(OFFSET($H$3,0,0,'Données projet'!$E$14+1,1))</f>
        <v>289.18543665577761</v>
      </c>
      <c r="DU143" s="62">
        <f t="shared" si="152"/>
        <v>291.40065947222843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0.52736590078975454</v>
      </c>
      <c r="EC143" s="23">
        <f>EXP(-LN(2)/2)*EC142+(1-EXP(-LN(2)/2))/(LN(2)/2)*DW143*DZ143*VLOOKUP('Données projet'!$B$14,Paramètres!$A$1:$I$89,3,0)*0.475*44/12</f>
        <v>2.9050646292797815E-16</v>
      </c>
      <c r="ED143" s="24">
        <f t="shared" si="126"/>
        <v>0.52736590078975487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514.72748286045442</v>
      </c>
      <c r="EP143" s="62">
        <f t="shared" si="154"/>
        <v>322.28702110656116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0.48466886309041879</v>
      </c>
      <c r="EX143" s="23">
        <f>EXP(-LN(2)/2)*EX142+(1-EXP(-LN(2)/2))/(LN(2)/2)*ER143*EU143*VLOOKUP('Données projet'!$B$15,Paramètres!$A$1:$I$89,3,0)*0.475*44/12</f>
        <v>4.6377430243681713E-16</v>
      </c>
      <c r="EY143" s="24">
        <f t="shared" si="129"/>
        <v>0.48466886309041923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68.230981476762906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4.0999999999999996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15.033333333333331</v>
      </c>
      <c r="H144" s="70">
        <f t="shared" si="110"/>
        <v>196.53333333333333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70.794576398719499</v>
      </c>
      <c r="T144" s="62">
        <f t="shared" si="142"/>
        <v>328.91236364911629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2.6382665651911203E-18</v>
      </c>
      <c r="AC144" s="24">
        <f t="shared" si="111"/>
        <v>2.6382665651911203E-18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466.75323833427217</v>
      </c>
      <c r="AO144" s="62">
        <f t="shared" si="144"/>
        <v>293.88550076209378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0.42064773719095155</v>
      </c>
      <c r="AW144" s="23">
        <f>EXP(-LN(2)/2)*AW143+(1-EXP(-LN(2)/2))/(LN(2)/2)*AQ144*AT144*VLOOKUP('Données projet'!$B$10,Paramètres!$A$1:$I$89,3,0)*0.475*44/12</f>
        <v>2.9262155912618176E-16</v>
      </c>
      <c r="AX144" s="23">
        <f t="shared" si="114"/>
        <v>0.42064773719095183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68.47741055388687</v>
      </c>
      <c r="BJ144" s="62">
        <f t="shared" si="146"/>
        <v>335.34467252166542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5.7080748216538808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1.2193530932198284E-17</v>
      </c>
      <c r="BS144" s="24">
        <f t="shared" si="117"/>
        <v>5.7080748216538808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3.3992364478763198E-14</v>
      </c>
      <c r="CA144" s="14">
        <f t="shared" si="147"/>
        <v>5.790027782444094E-13</v>
      </c>
      <c r="CB144" s="22">
        <f t="shared" si="118"/>
        <v>1.0676332069095257E-12</v>
      </c>
      <c r="CC144" s="62">
        <f t="shared" si="119"/>
        <v>286.95945664176423</v>
      </c>
      <c r="CD144" s="62">
        <f ca="1">AVERAGE(OFFSET($CC$3,0,0,'Données projet'!$E$12+1,1))-AVERAGE(OFFSET($H$3,0,0,'Données projet'!$E$12+1,1))</f>
        <v>211.76609132110815</v>
      </c>
      <c r="CE144" s="62">
        <f t="shared" si="148"/>
        <v>363.07965692095752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1.0964281574719394</v>
      </c>
      <c r="CL144" s="23">
        <f>EXP(-LN(2)/25)*CL143+(1-EXP(-LN(2)/25))/(LN(2)/25)*Calculateur!CG144*Calculateur!CI144*VLOOKUP('Données projet'!$B$12,Paramètres!$A$1:$I$89,3,0)*0.475*44/12</f>
        <v>0.25062201160251468</v>
      </c>
      <c r="CM144" s="23">
        <f>EXP(-LN(2)/2)*CM143+(1-EXP(-LN(2)/2))/(LN(2)/2)*CG144*CJ144*VLOOKUP('Données projet'!$B$12,Paramètres!$A$1:$I$89,3,0)*0.475*44/12</f>
        <v>4.6276787278033341E-17</v>
      </c>
      <c r="CN144" s="24">
        <f t="shared" si="120"/>
        <v>1.3470501690744541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-5.1431925385259088E-14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374.91250349988451</v>
      </c>
      <c r="CZ144" s="62">
        <f t="shared" si="150"/>
        <v>529.46825265662869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1.1748689217299404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1.1748689217299404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4.9658410716801891E-14</v>
      </c>
      <c r="DQ144" s="14">
        <f t="shared" si="151"/>
        <v>8.0934058173791862E-13</v>
      </c>
      <c r="DR144" s="22">
        <f t="shared" si="124"/>
        <v>1.4960899118586383E-12</v>
      </c>
      <c r="DS144" s="62">
        <f t="shared" si="125"/>
        <v>286.95945664176463</v>
      </c>
      <c r="DT144" s="62">
        <f ca="1">AVERAGE(OFFSET($DS$3,0,0,'Données projet'!$E$14+1,1))-AVERAGE(OFFSET($H$3,0,0,'Données projet'!$E$14+1,1))</f>
        <v>289.18543665577761</v>
      </c>
      <c r="DU144" s="62">
        <f t="shared" si="152"/>
        <v>291.40065947222843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0.51294505249969125</v>
      </c>
      <c r="EC144" s="23">
        <f>EXP(-LN(2)/2)*EC143+(1-EXP(-LN(2)/2))/(LN(2)/2)*DW144*DZ144*VLOOKUP('Données projet'!$B$14,Paramètres!$A$1:$I$89,3,0)*0.475*44/12</f>
        <v>2.0541908991489173E-16</v>
      </c>
      <c r="ED144" s="24">
        <f t="shared" si="126"/>
        <v>0.51294505249969147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514.72748286045442</v>
      </c>
      <c r="EP144" s="62">
        <f t="shared" si="154"/>
        <v>322.28702110656116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0.47141556754158348</v>
      </c>
      <c r="EX144" s="23">
        <f>EXP(-LN(2)/2)*EX143+(1-EXP(-LN(2)/2))/(LN(2)/2)*ER144*EU144*VLOOKUP('Données projet'!$B$15,Paramètres!$A$1:$I$89,3,0)*0.475*44/12</f>
        <v>3.2793795419313417E-16</v>
      </c>
      <c r="EY144" s="24">
        <f t="shared" si="129"/>
        <v>0.47141556754158381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68.26166999320813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4.0999999999999996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15.033333333333331</v>
      </c>
      <c r="H145" s="70">
        <f t="shared" si="110"/>
        <v>196.53333333333333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70.794576398719499</v>
      </c>
      <c r="T145" s="62">
        <f t="shared" si="142"/>
        <v>328.91236364911629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1.8655361788243818E-18</v>
      </c>
      <c r="AC145" s="24">
        <f t="shared" si="111"/>
        <v>1.8655361788243818E-18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466.75323833427217</v>
      </c>
      <c r="AO145" s="62">
        <f t="shared" si="144"/>
        <v>293.88550076209378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0.4091451026965619</v>
      </c>
      <c r="AW145" s="23">
        <f>EXP(-LN(2)/2)*AW144+(1-EXP(-LN(2)/2))/(LN(2)/2)*AQ145*AT145*VLOOKUP('Données projet'!$B$10,Paramètres!$A$1:$I$89,3,0)*0.475*44/12</f>
        <v>2.0691468877950339E-16</v>
      </c>
      <c r="AX145" s="23">
        <f t="shared" si="114"/>
        <v>0.40914510269656212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68.47741055388687</v>
      </c>
      <c r="BJ145" s="62">
        <f t="shared" si="146"/>
        <v>335.34467252166542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5.5961429559831117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8.6221284087653309E-18</v>
      </c>
      <c r="BS145" s="24">
        <f t="shared" si="117"/>
        <v>5.5961429559831117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3.3992364478763198E-14</v>
      </c>
      <c r="CA145" s="14">
        <f t="shared" si="147"/>
        <v>5.790027782444094E-13</v>
      </c>
      <c r="CB145" s="22">
        <f t="shared" si="118"/>
        <v>1.0676332069095257E-12</v>
      </c>
      <c r="CC145" s="62">
        <f t="shared" si="119"/>
        <v>287.07002915250951</v>
      </c>
      <c r="CD145" s="62">
        <f ca="1">AVERAGE(OFFSET($CC$3,0,0,'Données projet'!$E$12+1,1))-AVERAGE(OFFSET($H$3,0,0,'Données projet'!$E$12+1,1))</f>
        <v>211.76609132110815</v>
      </c>
      <c r="CE145" s="62">
        <f t="shared" si="148"/>
        <v>363.07965692095752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1.0749278700590568</v>
      </c>
      <c r="CL145" s="23">
        <f>EXP(-LN(2)/25)*CL144+(1-EXP(-LN(2)/25))/(LN(2)/25)*Calculateur!CG145*Calculateur!CI145*VLOOKUP('Données projet'!$B$12,Paramètres!$A$1:$I$89,3,0)*0.475*44/12</f>
        <v>0.24376873951560513</v>
      </c>
      <c r="CM145" s="23">
        <f>EXP(-LN(2)/2)*CM144+(1-EXP(-LN(2)/2))/(LN(2)/2)*CG145*CJ145*VLOOKUP('Données projet'!$B$12,Paramètres!$A$1:$I$89,3,0)*0.475*44/12</f>
        <v>3.2722630095824727E-17</v>
      </c>
      <c r="CN145" s="24">
        <f t="shared" si="120"/>
        <v>1.3186966095746619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-5.1431925385259088E-14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374.91250349988451</v>
      </c>
      <c r="CZ145" s="62">
        <f t="shared" si="150"/>
        <v>529.46825265662869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1.1518304587741002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1.1518304587741002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4.9658410716801891E-14</v>
      </c>
      <c r="DQ145" s="14">
        <f t="shared" si="151"/>
        <v>8.0934058173791862E-13</v>
      </c>
      <c r="DR145" s="22">
        <f t="shared" si="124"/>
        <v>1.4960899118586383E-12</v>
      </c>
      <c r="DS145" s="62">
        <f t="shared" si="125"/>
        <v>287.0700291525099</v>
      </c>
      <c r="DT145" s="62">
        <f ca="1">AVERAGE(OFFSET($DS$3,0,0,'Données projet'!$E$14+1,1))-AVERAGE(OFFSET($H$3,0,0,'Données projet'!$E$14+1,1))</f>
        <v>289.18543665577761</v>
      </c>
      <c r="DU145" s="62">
        <f t="shared" si="152"/>
        <v>291.40065947222843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0.49891854306447925</v>
      </c>
      <c r="EC145" s="23">
        <f>EXP(-LN(2)/2)*EC144+(1-EXP(-LN(2)/2))/(LN(2)/2)*DW145*DZ145*VLOOKUP('Données projet'!$B$14,Paramètres!$A$1:$I$89,3,0)*0.475*44/12</f>
        <v>1.4525323146398908E-16</v>
      </c>
      <c r="ED145" s="24">
        <f t="shared" si="126"/>
        <v>0.49891854306447941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514.72748286045442</v>
      </c>
      <c r="EP145" s="62">
        <f t="shared" si="154"/>
        <v>322.28702110656116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0.4585246840564916</v>
      </c>
      <c r="EX145" s="23">
        <f>EXP(-LN(2)/2)*EX144+(1-EXP(-LN(2)/2))/(LN(2)/2)*ER145*EU145*VLOOKUP('Données projet'!$B$15,Paramètres!$A$1:$I$89,3,0)*0.475*44/12</f>
        <v>2.3188715121840856E-16</v>
      </c>
      <c r="EY145" s="24">
        <f t="shared" si="129"/>
        <v>0.45852468405649183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68.291826132502294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4.0999999999999996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15.033333333333331</v>
      </c>
      <c r="H146" s="70">
        <f t="shared" si="110"/>
        <v>196.53333333333333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70.794576398719499</v>
      </c>
      <c r="T146" s="62">
        <f t="shared" si="142"/>
        <v>328.91236364911629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1.3191332825955602E-18</v>
      </c>
      <c r="AC146" s="24">
        <f t="shared" si="111"/>
        <v>1.3191332825955602E-18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466.75323833427217</v>
      </c>
      <c r="AO146" s="62">
        <f t="shared" si="144"/>
        <v>293.88550076209378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0.39795700834731856</v>
      </c>
      <c r="AW146" s="23">
        <f>EXP(-LN(2)/2)*AW145+(1-EXP(-LN(2)/2))/(LN(2)/2)*AQ146*AT146*VLOOKUP('Données projet'!$B$10,Paramètres!$A$1:$I$89,3,0)*0.475*44/12</f>
        <v>1.4631077956309088E-16</v>
      </c>
      <c r="AX146" s="23">
        <f t="shared" si="114"/>
        <v>0.39795700834731873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68.47741055388687</v>
      </c>
      <c r="BJ146" s="62">
        <f t="shared" si="146"/>
        <v>335.34467252166542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5.4864060059264501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6.0967654660991422E-18</v>
      </c>
      <c r="BS146" s="24">
        <f t="shared" si="117"/>
        <v>5.4864060059264501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3.3992364478763198E-14</v>
      </c>
      <c r="CA146" s="14">
        <f t="shared" si="147"/>
        <v>5.790027782444094E-13</v>
      </c>
      <c r="CB146" s="22">
        <f t="shared" si="118"/>
        <v>1.0676332069095257E-12</v>
      </c>
      <c r="CC146" s="62">
        <f t="shared" si="119"/>
        <v>287.17868347739642</v>
      </c>
      <c r="CD146" s="62">
        <f ca="1">AVERAGE(OFFSET($CC$3,0,0,'Données projet'!$E$12+1,1))-AVERAGE(OFFSET($H$3,0,0,'Données projet'!$E$12+1,1))</f>
        <v>211.76609132110815</v>
      </c>
      <c r="CE146" s="62">
        <f t="shared" si="148"/>
        <v>363.07965692095752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1.0538491901684601</v>
      </c>
      <c r="CL146" s="23">
        <f>EXP(-LN(2)/25)*CL145+(1-EXP(-LN(2)/25))/(LN(2)/25)*Calculateur!CG146*Calculateur!CI146*VLOOKUP('Données projet'!$B$12,Paramètres!$A$1:$I$89,3,0)*0.475*44/12</f>
        <v>0.23710287051431003</v>
      </c>
      <c r="CM146" s="23">
        <f>EXP(-LN(2)/2)*CM145+(1-EXP(-LN(2)/2))/(LN(2)/2)*CG146*CJ146*VLOOKUP('Données projet'!$B$12,Paramètres!$A$1:$I$89,3,0)*0.475*44/12</f>
        <v>2.313839363901667E-17</v>
      </c>
      <c r="CN146" s="24">
        <f t="shared" si="120"/>
        <v>1.2909520606827702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-5.1431925385259088E-14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374.91250349988451</v>
      </c>
      <c r="CZ146" s="62">
        <f t="shared" si="150"/>
        <v>529.46825265662869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1.1292437660247492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1.1292437660247492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4.9658410716801891E-14</v>
      </c>
      <c r="DQ146" s="14">
        <f t="shared" si="151"/>
        <v>8.0934058173791862E-13</v>
      </c>
      <c r="DR146" s="22">
        <f t="shared" si="124"/>
        <v>1.4960899118586383E-12</v>
      </c>
      <c r="DS146" s="62">
        <f t="shared" si="125"/>
        <v>287.17868347739682</v>
      </c>
      <c r="DT146" s="62">
        <f ca="1">AVERAGE(OFFSET($DS$3,0,0,'Données projet'!$E$14+1,1))-AVERAGE(OFFSET($H$3,0,0,'Données projet'!$E$14+1,1))</f>
        <v>289.18543665577761</v>
      </c>
      <c r="DU146" s="62">
        <f t="shared" si="152"/>
        <v>291.40065947222843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0.48527558926739517</v>
      </c>
      <c r="EC146" s="23">
        <f>EXP(-LN(2)/2)*EC145+(1-EXP(-LN(2)/2))/(LN(2)/2)*DW146*DZ146*VLOOKUP('Données projet'!$B$14,Paramètres!$A$1:$I$89,3,0)*0.475*44/12</f>
        <v>1.0270954495744586E-16</v>
      </c>
      <c r="ED146" s="24">
        <f t="shared" si="126"/>
        <v>0.48527558926739528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514.72748286045442</v>
      </c>
      <c r="EP146" s="62">
        <f t="shared" si="154"/>
        <v>322.28702110656116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0.4459863024582017</v>
      </c>
      <c r="EX146" s="23">
        <f>EXP(-LN(2)/2)*EX145+(1-EXP(-LN(2)/2))/(LN(2)/2)*ER146*EU146*VLOOKUP('Données projet'!$B$15,Paramètres!$A$1:$I$89,3,0)*0.475*44/12</f>
        <v>1.6396897709656708E-16</v>
      </c>
      <c r="EY146" s="24">
        <f t="shared" si="129"/>
        <v>0.44598630245820187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68.321459130198733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4.0999999999999996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15.033333333333331</v>
      </c>
      <c r="H147" s="70">
        <f t="shared" si="110"/>
        <v>196.53333333333333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70.794576398719499</v>
      </c>
      <c r="T147" s="62">
        <f t="shared" si="142"/>
        <v>328.91236364911629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9.327680894121909E-19</v>
      </c>
      <c r="AC147" s="24">
        <f t="shared" si="111"/>
        <v>9.327680894121909E-19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466.75323833427217</v>
      </c>
      <c r="AO147" s="62">
        <f t="shared" si="144"/>
        <v>293.88550076209378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0.38707485302641159</v>
      </c>
      <c r="AW147" s="23">
        <f>EXP(-LN(2)/2)*AW146+(1-EXP(-LN(2)/2))/(LN(2)/2)*AQ147*AT147*VLOOKUP('Données projet'!$B$10,Paramètres!$A$1:$I$89,3,0)*0.475*44/12</f>
        <v>1.0345734438975169E-16</v>
      </c>
      <c r="AX147" s="23">
        <f t="shared" si="114"/>
        <v>0.3870748530264117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68.47741055388687</v>
      </c>
      <c r="BJ147" s="62">
        <f t="shared" si="146"/>
        <v>335.34467252166542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5.3788209305274686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4.3110642043826655E-18</v>
      </c>
      <c r="BS147" s="24">
        <f t="shared" si="117"/>
        <v>5.3788209305274686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3.3992364478763198E-14</v>
      </c>
      <c r="CA147" s="14">
        <f t="shared" si="147"/>
        <v>5.790027782444094E-13</v>
      </c>
      <c r="CB147" s="22">
        <f t="shared" si="118"/>
        <v>1.0676332069095257E-12</v>
      </c>
      <c r="CC147" s="62">
        <f t="shared" si="119"/>
        <v>287.28545289266117</v>
      </c>
      <c r="CD147" s="62">
        <f ca="1">AVERAGE(OFFSET($CC$3,0,0,'Données projet'!$E$12+1,1))-AVERAGE(OFFSET($H$3,0,0,'Données projet'!$E$12+1,1))</f>
        <v>211.76609132110815</v>
      </c>
      <c r="CE147" s="62">
        <f t="shared" si="148"/>
        <v>363.07965692095752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1.0331838503337929</v>
      </c>
      <c r="CL147" s="23">
        <f>EXP(-LN(2)/25)*CL146+(1-EXP(-LN(2)/25))/(LN(2)/25)*Calculateur!CG147*Calculateur!CI147*VLOOKUP('Données projet'!$B$12,Paramètres!$A$1:$I$89,3,0)*0.475*44/12</f>
        <v>0.23061928005139817</v>
      </c>
      <c r="CM147" s="23">
        <f>EXP(-LN(2)/2)*CM146+(1-EXP(-LN(2)/2))/(LN(2)/2)*CG147*CJ147*VLOOKUP('Données projet'!$B$12,Paramètres!$A$1:$I$89,3,0)*0.475*44/12</f>
        <v>1.6361315047912364E-17</v>
      </c>
      <c r="CN147" s="24">
        <f t="shared" si="120"/>
        <v>1.2638031303851911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-5.1431925385259088E-14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374.91250349988451</v>
      </c>
      <c r="CZ147" s="62">
        <f t="shared" si="150"/>
        <v>529.46825265662869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1.1070999845436906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1.1070999845436906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4.9658410716801891E-14</v>
      </c>
      <c r="DQ147" s="14">
        <f t="shared" si="151"/>
        <v>8.0934058173791862E-13</v>
      </c>
      <c r="DR147" s="22">
        <f t="shared" si="124"/>
        <v>1.4960899118586383E-12</v>
      </c>
      <c r="DS147" s="62">
        <f t="shared" si="125"/>
        <v>287.28545289266157</v>
      </c>
      <c r="DT147" s="62">
        <f ca="1">AVERAGE(OFFSET($DS$3,0,0,'Données projet'!$E$14+1,1))-AVERAGE(OFFSET($H$3,0,0,'Données projet'!$E$14+1,1))</f>
        <v>289.18543665577761</v>
      </c>
      <c r="DU147" s="62">
        <f t="shared" si="152"/>
        <v>291.40065947222843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0.47200570275934411</v>
      </c>
      <c r="EC147" s="23">
        <f>EXP(-LN(2)/2)*EC146+(1-EXP(-LN(2)/2))/(LN(2)/2)*DW147*DZ147*VLOOKUP('Données projet'!$B$14,Paramètres!$A$1:$I$89,3,0)*0.475*44/12</f>
        <v>7.2626615731994538E-17</v>
      </c>
      <c r="ED147" s="24">
        <f t="shared" si="126"/>
        <v>0.47200570275934417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514.72748286045442</v>
      </c>
      <c r="EP147" s="62">
        <f t="shared" si="154"/>
        <v>322.28702110656116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0.43379078356408185</v>
      </c>
      <c r="EX147" s="23">
        <f>EXP(-LN(2)/2)*EX146+(1-EXP(-LN(2)/2))/(LN(2)/2)*ER147*EU147*VLOOKUP('Données projet'!$B$15,Paramètres!$A$1:$I$89,3,0)*0.475*44/12</f>
        <v>1.1594357560920428E-16</v>
      </c>
      <c r="EY147" s="24">
        <f t="shared" si="129"/>
        <v>0.43379078356408196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68.350578061634579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4.0999999999999996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15.033333333333331</v>
      </c>
      <c r="H148" s="70">
        <f t="shared" si="110"/>
        <v>196.53333333333333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70.794576398719499</v>
      </c>
      <c r="T148" s="62">
        <f t="shared" si="142"/>
        <v>328.91236364911629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6.5956664129778008E-19</v>
      </c>
      <c r="AC148" s="24">
        <f t="shared" si="111"/>
        <v>6.5956664129778008E-19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466.75323833427217</v>
      </c>
      <c r="AO148" s="62">
        <f t="shared" si="144"/>
        <v>293.88550076209378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0.37649027081502251</v>
      </c>
      <c r="AW148" s="23">
        <f>EXP(-LN(2)/2)*AW147+(1-EXP(-LN(2)/2))/(LN(2)/2)*AQ148*AT148*VLOOKUP('Données projet'!$B$10,Paramètres!$A$1:$I$89,3,0)*0.475*44/12</f>
        <v>7.315538978154544E-17</v>
      </c>
      <c r="AX148" s="23">
        <f t="shared" si="114"/>
        <v>0.37649027081502257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68.47741055388687</v>
      </c>
      <c r="BJ148" s="62">
        <f t="shared" si="146"/>
        <v>335.34467252166542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5.273345532836645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3.0483827330495711E-18</v>
      </c>
      <c r="BS148" s="24">
        <f t="shared" si="117"/>
        <v>5.273345532836645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3.3992364478763198E-14</v>
      </c>
      <c r="CA148" s="14">
        <f t="shared" si="147"/>
        <v>5.790027782444094E-13</v>
      </c>
      <c r="CB148" s="22">
        <f t="shared" si="118"/>
        <v>1.0676332069095257E-12</v>
      </c>
      <c r="CC148" s="62">
        <f t="shared" si="119"/>
        <v>287.39037009727178</v>
      </c>
      <c r="CD148" s="62">
        <f ca="1">AVERAGE(OFFSET($CC$3,0,0,'Données projet'!$E$12+1,1))-AVERAGE(OFFSET($H$3,0,0,'Données projet'!$E$12+1,1))</f>
        <v>211.76609132110815</v>
      </c>
      <c r="CE148" s="62">
        <f t="shared" si="148"/>
        <v>363.07965692095752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1.0129237452086708</v>
      </c>
      <c r="CL148" s="23">
        <f>EXP(-LN(2)/25)*CL147+(1-EXP(-LN(2)/25))/(LN(2)/25)*Calculateur!CG148*Calculateur!CI148*VLOOKUP('Données projet'!$B$12,Paramètres!$A$1:$I$89,3,0)*0.475*44/12</f>
        <v>0.22431298371065184</v>
      </c>
      <c r="CM148" s="23">
        <f>EXP(-LN(2)/2)*CM147+(1-EXP(-LN(2)/2))/(LN(2)/2)*CG148*CJ148*VLOOKUP('Données projet'!$B$12,Paramètres!$A$1:$I$89,3,0)*0.475*44/12</f>
        <v>1.1569196819508335E-17</v>
      </c>
      <c r="CN148" s="24">
        <f t="shared" si="120"/>
        <v>1.2372367289193227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-5.1431925385259088E-14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374.91250349988451</v>
      </c>
      <c r="CZ148" s="62">
        <f t="shared" si="150"/>
        <v>529.46825265662869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1.0853904291111025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1.0853904291111025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4.9658410716801891E-14</v>
      </c>
      <c r="DQ148" s="14">
        <f t="shared" si="151"/>
        <v>8.0934058173791862E-13</v>
      </c>
      <c r="DR148" s="22">
        <f t="shared" si="124"/>
        <v>1.4960899118586383E-12</v>
      </c>
      <c r="DS148" s="62">
        <f t="shared" si="125"/>
        <v>287.39037009727218</v>
      </c>
      <c r="DT148" s="62">
        <f ca="1">AVERAGE(OFFSET($DS$3,0,0,'Données projet'!$E$14+1,1))-AVERAGE(OFFSET($H$3,0,0,'Données projet'!$E$14+1,1))</f>
        <v>289.18543665577761</v>
      </c>
      <c r="DU148" s="62">
        <f t="shared" si="152"/>
        <v>291.40065947222843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0.45909868199568871</v>
      </c>
      <c r="EC148" s="23">
        <f>EXP(-LN(2)/2)*EC147+(1-EXP(-LN(2)/2))/(LN(2)/2)*DW148*DZ148*VLOOKUP('Données projet'!$B$14,Paramètres!$A$1:$I$89,3,0)*0.475*44/12</f>
        <v>5.1354772478722932E-17</v>
      </c>
      <c r="ED148" s="24">
        <f t="shared" si="126"/>
        <v>0.45909868199568876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514.72748286045442</v>
      </c>
      <c r="EP148" s="62">
        <f t="shared" si="154"/>
        <v>322.28702110656116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0.42192875177545619</v>
      </c>
      <c r="EX148" s="23">
        <f>EXP(-LN(2)/2)*EX147+(1-EXP(-LN(2)/2))/(LN(2)/2)*ER148*EU148*VLOOKUP('Données projet'!$B$15,Paramètres!$A$1:$I$89,3,0)*0.475*44/12</f>
        <v>8.1984488548283542E-17</v>
      </c>
      <c r="EY148" s="24">
        <f t="shared" si="129"/>
        <v>0.42192875177545625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68.379191844710192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4.0999999999999996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15.033333333333331</v>
      </c>
      <c r="H149" s="70">
        <f t="shared" si="110"/>
        <v>196.53333333333333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70.794576398719499</v>
      </c>
      <c r="T149" s="62">
        <f t="shared" si="142"/>
        <v>328.91236364911629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4.6638404470609545E-19</v>
      </c>
      <c r="AC149" s="24">
        <f t="shared" si="111"/>
        <v>4.6638404470609545E-19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466.75323833427217</v>
      </c>
      <c r="AO149" s="62">
        <f t="shared" si="144"/>
        <v>293.88550076209378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0.36619512456082287</v>
      </c>
      <c r="AW149" s="23">
        <f>EXP(-LN(2)/2)*AW148+(1-EXP(-LN(2)/2))/(LN(2)/2)*AQ149*AT149*VLOOKUP('Données projet'!$B$10,Paramètres!$A$1:$I$89,3,0)*0.475*44/12</f>
        <v>5.1728672194875846E-17</v>
      </c>
      <c r="AX149" s="23">
        <f t="shared" si="114"/>
        <v>0.36619512456082293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68.47741055388687</v>
      </c>
      <c r="BJ149" s="62">
        <f t="shared" si="146"/>
        <v>335.34467252166542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5.1699384433608984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2.1555321021913327E-18</v>
      </c>
      <c r="BS149" s="24">
        <f t="shared" si="117"/>
        <v>5.1699384433608984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3.3992364478763198E-14</v>
      </c>
      <c r="CA149" s="14">
        <f t="shared" si="147"/>
        <v>5.790027782444094E-13</v>
      </c>
      <c r="CB149" s="22">
        <f t="shared" si="118"/>
        <v>1.0676332069095257E-12</v>
      </c>
      <c r="CC149" s="62">
        <f t="shared" si="119"/>
        <v>287.49346722294217</v>
      </c>
      <c r="CD149" s="62">
        <f ca="1">AVERAGE(OFFSET($CC$3,0,0,'Données projet'!$E$12+1,1))-AVERAGE(OFFSET($H$3,0,0,'Données projet'!$E$12+1,1))</f>
        <v>211.76609132110815</v>
      </c>
      <c r="CE149" s="62">
        <f t="shared" si="148"/>
        <v>363.07965692095752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0.9930609283876084</v>
      </c>
      <c r="CL149" s="23">
        <f>EXP(-LN(2)/25)*CL148+(1-EXP(-LN(2)/25))/(LN(2)/25)*Calculateur!CG149*Calculateur!CI149*VLOOKUP('Données projet'!$B$12,Paramètres!$A$1:$I$89,3,0)*0.475*44/12</f>
        <v>0.21817913337497694</v>
      </c>
      <c r="CM149" s="23">
        <f>EXP(-LN(2)/2)*CM148+(1-EXP(-LN(2)/2))/(LN(2)/2)*CG149*CJ149*VLOOKUP('Données projet'!$B$12,Paramètres!$A$1:$I$89,3,0)*0.475*44/12</f>
        <v>8.1806575239561818E-18</v>
      </c>
      <c r="CN149" s="24">
        <f t="shared" si="120"/>
        <v>1.2112400617625854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-5.1431925385259088E-14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374.91250349988451</v>
      </c>
      <c r="CZ149" s="62">
        <f t="shared" si="150"/>
        <v>529.46825265662869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1.0641065848190263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1.0641065848190263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4.9658410716801891E-14</v>
      </c>
      <c r="DQ149" s="14">
        <f t="shared" si="151"/>
        <v>8.0934058173791862E-13</v>
      </c>
      <c r="DR149" s="22">
        <f t="shared" si="124"/>
        <v>1.4960899118586383E-12</v>
      </c>
      <c r="DS149" s="62">
        <f t="shared" si="125"/>
        <v>287.49346722294257</v>
      </c>
      <c r="DT149" s="62">
        <f ca="1">AVERAGE(OFFSET($DS$3,0,0,'Données projet'!$E$14+1,1))-AVERAGE(OFFSET($H$3,0,0,'Données projet'!$E$14+1,1))</f>
        <v>289.18543665577761</v>
      </c>
      <c r="DU149" s="62">
        <f t="shared" si="152"/>
        <v>291.40065947222843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0.44654460439356619</v>
      </c>
      <c r="EC149" s="23">
        <f>EXP(-LN(2)/2)*EC148+(1-EXP(-LN(2)/2))/(LN(2)/2)*DW149*DZ149*VLOOKUP('Données projet'!$B$14,Paramètres!$A$1:$I$89,3,0)*0.475*44/12</f>
        <v>3.6313307865997269E-17</v>
      </c>
      <c r="ED149" s="24">
        <f t="shared" si="126"/>
        <v>0.44654460439356625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514.72748286045442</v>
      </c>
      <c r="EP149" s="62">
        <f t="shared" si="154"/>
        <v>322.28702110656116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0.41039108786988759</v>
      </c>
      <c r="EX149" s="23">
        <f>EXP(-LN(2)/2)*EX148+(1-EXP(-LN(2)/2))/(LN(2)/2)*ER149*EU149*VLOOKUP('Données projet'!$B$15,Paramètres!$A$1:$I$89,3,0)*0.475*44/12</f>
        <v>5.7971787804602141E-17</v>
      </c>
      <c r="EY149" s="24">
        <f t="shared" si="129"/>
        <v>0.41039108786988765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68.4073092426203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4.0999999999999996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15.033333333333331</v>
      </c>
      <c r="H150" s="70">
        <f t="shared" si="110"/>
        <v>196.53333333333333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70.794576398719499</v>
      </c>
      <c r="T150" s="62">
        <f t="shared" si="142"/>
        <v>328.91236364911629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3.2978332064889004E-19</v>
      </c>
      <c r="AC150" s="24">
        <f t="shared" si="111"/>
        <v>3.2978332064889004E-19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466.75323833427217</v>
      </c>
      <c r="AO150" s="62">
        <f t="shared" si="144"/>
        <v>293.88550076209378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0.35618149962234252</v>
      </c>
      <c r="AW150" s="23">
        <f>EXP(-LN(2)/2)*AW149+(1-EXP(-LN(2)/2))/(LN(2)/2)*AQ150*AT150*VLOOKUP('Données projet'!$B$10,Paramètres!$A$1:$I$89,3,0)*0.475*44/12</f>
        <v>3.657769489077272E-17</v>
      </c>
      <c r="AX150" s="23">
        <f t="shared" si="114"/>
        <v>0.35618149962234258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68.47741055388687</v>
      </c>
      <c r="BJ150" s="62">
        <f t="shared" si="146"/>
        <v>335.34467252166542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5.0685591038376741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1.5241913665247855E-18</v>
      </c>
      <c r="BS150" s="24">
        <f t="shared" si="117"/>
        <v>5.0685591038376741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3.3992364478763198E-14</v>
      </c>
      <c r="CA150" s="14">
        <f t="shared" si="147"/>
        <v>5.790027782444094E-13</v>
      </c>
      <c r="CB150" s="22">
        <f t="shared" si="118"/>
        <v>1.0676332069095257E-12</v>
      </c>
      <c r="CC150" s="62">
        <f t="shared" si="119"/>
        <v>287.5947758439728</v>
      </c>
      <c r="CD150" s="62">
        <f ca="1">AVERAGE(OFFSET($CC$3,0,0,'Données projet'!$E$12+1,1))-AVERAGE(OFFSET($H$3,0,0,'Données projet'!$E$12+1,1))</f>
        <v>211.76609132110815</v>
      </c>
      <c r="CE150" s="62">
        <f t="shared" si="148"/>
        <v>363.07965692095752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0.97358760928928512</v>
      </c>
      <c r="CL150" s="23">
        <f>EXP(-LN(2)/25)*CL149+(1-EXP(-LN(2)/25))/(LN(2)/25)*Calculateur!CG150*Calculateur!CI150*VLOOKUP('Données projet'!$B$12,Paramètres!$A$1:$I$89,3,0)*0.475*44/12</f>
        <v>0.21221301349929622</v>
      </c>
      <c r="CM150" s="23">
        <f>EXP(-LN(2)/2)*CM149+(1-EXP(-LN(2)/2))/(LN(2)/2)*CG150*CJ150*VLOOKUP('Données projet'!$B$12,Paramètres!$A$1:$I$89,3,0)*0.475*44/12</f>
        <v>5.7845984097541676E-18</v>
      </c>
      <c r="CN150" s="24">
        <f t="shared" si="120"/>
        <v>1.1858006227885813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-5.1431925385259088E-14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374.91250349988451</v>
      </c>
      <c r="CZ150" s="62">
        <f t="shared" si="150"/>
        <v>529.46825265662869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1.0432401037316545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1.0432401037316545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4.9658410716801891E-14</v>
      </c>
      <c r="DQ150" s="14">
        <f t="shared" si="151"/>
        <v>8.0934058173791862E-13</v>
      </c>
      <c r="DR150" s="22">
        <f t="shared" si="124"/>
        <v>1.4960899118586383E-12</v>
      </c>
      <c r="DS150" s="62">
        <f t="shared" si="125"/>
        <v>287.5947758439732</v>
      </c>
      <c r="DT150" s="62">
        <f ca="1">AVERAGE(OFFSET($DS$3,0,0,'Données projet'!$E$14+1,1))-AVERAGE(OFFSET($H$3,0,0,'Données projet'!$E$14+1,1))</f>
        <v>289.18543665577761</v>
      </c>
      <c r="DU150" s="62">
        <f t="shared" si="152"/>
        <v>291.40065947222843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0.43433381870366394</v>
      </c>
      <c r="EC150" s="23">
        <f>EXP(-LN(2)/2)*EC149+(1-EXP(-LN(2)/2))/(LN(2)/2)*DW150*DZ150*VLOOKUP('Données projet'!$B$14,Paramètres!$A$1:$I$89,3,0)*0.475*44/12</f>
        <v>2.5677386239361466E-17</v>
      </c>
      <c r="ED150" s="24">
        <f t="shared" si="126"/>
        <v>0.43433381870366394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514.72748286045442</v>
      </c>
      <c r="EP150" s="62">
        <f t="shared" si="154"/>
        <v>322.28702110656116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0.39916892199055615</v>
      </c>
      <c r="EX150" s="23">
        <f>EXP(-LN(2)/2)*EX149+(1-EXP(-LN(2)/2))/(LN(2)/2)*ER150*EU150*VLOOKUP('Données projet'!$B$15,Paramètres!$A$1:$I$89,3,0)*0.475*44/12</f>
        <v>4.0992244274141771E-17</v>
      </c>
      <c r="EY150" s="24">
        <f t="shared" si="129"/>
        <v>0.3991689219905562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68.434938866537735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4.0999999999999996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15.033333333333331</v>
      </c>
      <c r="H151" s="70">
        <f t="shared" si="110"/>
        <v>196.53333333333333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70.794576398719499</v>
      </c>
      <c r="T151" s="62">
        <f t="shared" si="142"/>
        <v>328.91236364911629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2.3319202235304772E-19</v>
      </c>
      <c r="AC151" s="24">
        <f t="shared" si="111"/>
        <v>2.3319202235304772E-19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466.75323833427217</v>
      </c>
      <c r="AO151" s="62">
        <f t="shared" si="144"/>
        <v>293.88550076209378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0.34644169778439854</v>
      </c>
      <c r="AW151" s="23">
        <f>EXP(-LN(2)/2)*AW150+(1-EXP(-LN(2)/2))/(LN(2)/2)*AQ151*AT151*VLOOKUP('Données projet'!$B$10,Paramètres!$A$1:$I$89,3,0)*0.475*44/12</f>
        <v>2.5864336097437923E-17</v>
      </c>
      <c r="AX151" s="23">
        <f t="shared" si="114"/>
        <v>0.34644169778439854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68.47741055388687</v>
      </c>
      <c r="BJ151" s="62">
        <f t="shared" si="146"/>
        <v>335.34467252166542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4.969167751327209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1.0777660510956664E-18</v>
      </c>
      <c r="BS151" s="24">
        <f t="shared" si="117"/>
        <v>4.969167751327209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3.3992364478763198E-14</v>
      </c>
      <c r="CA151" s="14">
        <f t="shared" si="147"/>
        <v>5.790027782444094E-13</v>
      </c>
      <c r="CB151" s="22">
        <f t="shared" si="118"/>
        <v>1.0676332069095257E-12</v>
      </c>
      <c r="CC151" s="62">
        <f t="shared" si="119"/>
        <v>287.69432698692066</v>
      </c>
      <c r="CD151" s="62">
        <f ca="1">AVERAGE(OFFSET($CC$3,0,0,'Données projet'!$E$12+1,1))-AVERAGE(OFFSET($H$3,0,0,'Données projet'!$E$12+1,1))</f>
        <v>211.76609132110815</v>
      </c>
      <c r="CE151" s="62">
        <f t="shared" si="148"/>
        <v>363.07965692095752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0.95449615010092803</v>
      </c>
      <c r="CL151" s="23">
        <f>EXP(-LN(2)/25)*CL150+(1-EXP(-LN(2)/25))/(LN(2)/25)*Calculateur!CG151*Calculateur!CI151*VLOOKUP('Données projet'!$B$12,Paramètres!$A$1:$I$89,3,0)*0.475*44/12</f>
        <v>0.2064100374853606</v>
      </c>
      <c r="CM151" s="23">
        <f>EXP(-LN(2)/2)*CM150+(1-EXP(-LN(2)/2))/(LN(2)/2)*CG151*CJ151*VLOOKUP('Données projet'!$B$12,Paramètres!$A$1:$I$89,3,0)*0.475*44/12</f>
        <v>4.0903287619780909E-18</v>
      </c>
      <c r="CN151" s="24">
        <f t="shared" si="120"/>
        <v>1.1609061875862887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-5.1431925385259088E-14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374.91250349988451</v>
      </c>
      <c r="CZ151" s="62">
        <f t="shared" si="150"/>
        <v>529.46825265662869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1.0227828016111093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1.0227828016111093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4.9658410716801891E-14</v>
      </c>
      <c r="DQ151" s="14">
        <f t="shared" si="151"/>
        <v>8.0934058173791862E-13</v>
      </c>
      <c r="DR151" s="22">
        <f t="shared" si="124"/>
        <v>1.4960899118586383E-12</v>
      </c>
      <c r="DS151" s="62">
        <f t="shared" si="125"/>
        <v>287.69432698692106</v>
      </c>
      <c r="DT151" s="62">
        <f ca="1">AVERAGE(OFFSET($DS$3,0,0,'Données projet'!$E$14+1,1))-AVERAGE(OFFSET($H$3,0,0,'Données projet'!$E$14+1,1))</f>
        <v>289.18543665577761</v>
      </c>
      <c r="DU151" s="62">
        <f t="shared" si="152"/>
        <v>291.40065947222843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0.42245693759058939</v>
      </c>
      <c r="EC151" s="23">
        <f>EXP(-LN(2)/2)*EC150+(1-EXP(-LN(2)/2))/(LN(2)/2)*DW151*DZ151*VLOOKUP('Données projet'!$B$14,Paramètres!$A$1:$I$89,3,0)*0.475*44/12</f>
        <v>1.8156653932998634E-17</v>
      </c>
      <c r="ED151" s="24">
        <f t="shared" si="126"/>
        <v>0.42245693759058939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514.72748286045442</v>
      </c>
      <c r="EP151" s="62">
        <f t="shared" si="154"/>
        <v>322.28702110656116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0.3882536268273431</v>
      </c>
      <c r="EX151" s="23">
        <f>EXP(-LN(2)/2)*EX150+(1-EXP(-LN(2)/2))/(LN(2)/2)*ER151*EU151*VLOOKUP('Données projet'!$B$15,Paramètres!$A$1:$I$89,3,0)*0.475*44/12</f>
        <v>2.898589390230107E-17</v>
      </c>
      <c r="EY151" s="24">
        <f t="shared" si="129"/>
        <v>0.38825362682734316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68.462089178250793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4.0999999999999996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15.033333333333331</v>
      </c>
      <c r="H152" s="70">
        <f t="shared" si="110"/>
        <v>196.53333333333333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70.794576398719499</v>
      </c>
      <c r="T152" s="62">
        <f t="shared" si="142"/>
        <v>328.91236364911629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1.6489166032444502E-19</v>
      </c>
      <c r="AC152" s="24">
        <f t="shared" si="111"/>
        <v>1.6489166032444502E-19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466.75323833427217</v>
      </c>
      <c r="AO152" s="62">
        <f t="shared" si="144"/>
        <v>293.88550076209378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0.33696823133990705</v>
      </c>
      <c r="AW152" s="23">
        <f>EXP(-LN(2)/2)*AW151+(1-EXP(-LN(2)/2))/(LN(2)/2)*AQ152*AT152*VLOOKUP('Données projet'!$B$10,Paramètres!$A$1:$I$89,3,0)*0.475*44/12</f>
        <v>1.828884744538636E-17</v>
      </c>
      <c r="AX152" s="23">
        <f t="shared" si="114"/>
        <v>0.33696823133990705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68.47741055388687</v>
      </c>
      <c r="BJ152" s="62">
        <f t="shared" si="146"/>
        <v>335.34467252166542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4.8717254026167351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7.6209568326239277E-19</v>
      </c>
      <c r="BS152" s="24">
        <f t="shared" si="117"/>
        <v>4.8717254026167351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3.3992364478763198E-14</v>
      </c>
      <c r="CA152" s="14">
        <f t="shared" si="147"/>
        <v>5.790027782444094E-13</v>
      </c>
      <c r="CB152" s="22">
        <f t="shared" si="118"/>
        <v>1.0676332069095257E-12</v>
      </c>
      <c r="CC152" s="62">
        <f t="shared" si="119"/>
        <v>287.7921511401014</v>
      </c>
      <c r="CD152" s="62">
        <f ca="1">AVERAGE(OFFSET($CC$3,0,0,'Données projet'!$E$12+1,1))-AVERAGE(OFFSET($H$3,0,0,'Données projet'!$E$12+1,1))</f>
        <v>211.76609132110815</v>
      </c>
      <c r="CE152" s="62">
        <f t="shared" si="148"/>
        <v>363.07965692095752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0.93577906278261436</v>
      </c>
      <c r="CL152" s="23">
        <f>EXP(-LN(2)/25)*CL151+(1-EXP(-LN(2)/25))/(LN(2)/25)*Calculateur!CG152*Calculateur!CI152*VLOOKUP('Données projet'!$B$12,Paramètres!$A$1:$I$89,3,0)*0.475*44/12</f>
        <v>0.20076574415569129</v>
      </c>
      <c r="CM152" s="23">
        <f>EXP(-LN(2)/2)*CM151+(1-EXP(-LN(2)/2))/(LN(2)/2)*CG152*CJ152*VLOOKUP('Données projet'!$B$12,Paramètres!$A$1:$I$89,3,0)*0.475*44/12</f>
        <v>2.8922992048770838E-18</v>
      </c>
      <c r="CN152" s="24">
        <f t="shared" si="120"/>
        <v>1.1365448069383057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-5.1431925385259088E-14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374.91250349988451</v>
      </c>
      <c r="CZ152" s="62">
        <f t="shared" si="150"/>
        <v>529.46825265662869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1.0027266547074258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1.0027266547074258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4.9658410716801891E-14</v>
      </c>
      <c r="DQ152" s="14">
        <f t="shared" si="151"/>
        <v>8.0934058173791862E-13</v>
      </c>
      <c r="DR152" s="22">
        <f t="shared" si="124"/>
        <v>1.4960899118586383E-12</v>
      </c>
      <c r="DS152" s="62">
        <f t="shared" si="125"/>
        <v>287.79215114010179</v>
      </c>
      <c r="DT152" s="62">
        <f ca="1">AVERAGE(OFFSET($DS$3,0,0,'Données projet'!$E$14+1,1))-AVERAGE(OFFSET($H$3,0,0,'Données projet'!$E$14+1,1))</f>
        <v>289.18543665577761</v>
      </c>
      <c r="DU152" s="62">
        <f t="shared" si="152"/>
        <v>291.40065947222843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0.41090483041612991</v>
      </c>
      <c r="EC152" s="23">
        <f>EXP(-LN(2)/2)*EC151+(1-EXP(-LN(2)/2))/(LN(2)/2)*DW152*DZ152*VLOOKUP('Données projet'!$B$14,Paramètres!$A$1:$I$89,3,0)*0.475*44/12</f>
        <v>1.2838693119680733E-17</v>
      </c>
      <c r="ED152" s="24">
        <f t="shared" si="126"/>
        <v>0.41090483041612991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514.72748286045442</v>
      </c>
      <c r="EP152" s="62">
        <f t="shared" si="154"/>
        <v>322.28702110656116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0.37763681098437851</v>
      </c>
      <c r="EX152" s="23">
        <f>EXP(-LN(2)/2)*EX151+(1-EXP(-LN(2)/2))/(LN(2)/2)*ER152*EU152*VLOOKUP('Données projet'!$B$15,Paramètres!$A$1:$I$89,3,0)*0.475*44/12</f>
        <v>2.0496122137070885E-17</v>
      </c>
      <c r="EY152" s="24">
        <f t="shared" si="129"/>
        <v>0.37763681098437851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68.48876849275463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4.0999999999999996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15.033333333333331</v>
      </c>
      <c r="H153" s="70">
        <f t="shared" si="110"/>
        <v>196.53333333333333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70.794576398719499</v>
      </c>
      <c r="T153" s="62">
        <f t="shared" si="142"/>
        <v>328.91236364911629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1.1659601117652386E-19</v>
      </c>
      <c r="AC153" s="24">
        <f t="shared" si="111"/>
        <v>1.1659601117652386E-19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466.75323833427217</v>
      </c>
      <c r="AO153" s="62">
        <f t="shared" si="144"/>
        <v>293.88550076209378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0.32775381733352815</v>
      </c>
      <c r="AW153" s="23">
        <f>EXP(-LN(2)/2)*AW152+(1-EXP(-LN(2)/2))/(LN(2)/2)*AQ153*AT153*VLOOKUP('Données projet'!$B$10,Paramètres!$A$1:$I$89,3,0)*0.475*44/12</f>
        <v>1.2932168048718962E-17</v>
      </c>
      <c r="AX153" s="23">
        <f t="shared" si="114"/>
        <v>0.32775381733352815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68.47741055388687</v>
      </c>
      <c r="BJ153" s="62">
        <f t="shared" si="146"/>
        <v>335.34467252166542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4.7761938389305092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5.3888302554783318E-19</v>
      </c>
      <c r="BS153" s="24">
        <f t="shared" si="117"/>
        <v>4.7761938389305092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3.3992364478763198E-14</v>
      </c>
      <c r="CA153" s="14">
        <f t="shared" si="147"/>
        <v>5.790027782444094E-13</v>
      </c>
      <c r="CB153" s="22">
        <f t="shared" si="118"/>
        <v>1.0676332069095257E-12</v>
      </c>
      <c r="CC153" s="62">
        <f t="shared" si="119"/>
        <v>287.88827826292652</v>
      </c>
      <c r="CD153" s="62">
        <f ca="1">AVERAGE(OFFSET($CC$3,0,0,'Données projet'!$E$12+1,1))-AVERAGE(OFFSET($H$3,0,0,'Données projet'!$E$12+1,1))</f>
        <v>211.76609132110815</v>
      </c>
      <c r="CE153" s="62">
        <f t="shared" si="148"/>
        <v>363.07965692095752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0.91742900613031686</v>
      </c>
      <c r="CL153" s="23">
        <f>EXP(-LN(2)/25)*CL152+(1-EXP(-LN(2)/25))/(LN(2)/25)*Calculateur!CG153*Calculateur!CI153*VLOOKUP('Données projet'!$B$12,Paramètres!$A$1:$I$89,3,0)*0.475*44/12</f>
        <v>0.19527579432394229</v>
      </c>
      <c r="CM153" s="23">
        <f>EXP(-LN(2)/2)*CM152+(1-EXP(-LN(2)/2))/(LN(2)/2)*CG153*CJ153*VLOOKUP('Données projet'!$B$12,Paramètres!$A$1:$I$89,3,0)*0.475*44/12</f>
        <v>2.0451643809890454E-18</v>
      </c>
      <c r="CN153" s="24">
        <f t="shared" si="120"/>
        <v>1.1127048004542592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-5.1431925385259088E-14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374.91250349988451</v>
      </c>
      <c r="CZ153" s="62">
        <f t="shared" si="150"/>
        <v>529.46825265662869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0.9830637966114818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0.9830637966114818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4.9658410716801891E-14</v>
      </c>
      <c r="DQ153" s="14">
        <f t="shared" si="151"/>
        <v>8.0934058173791862E-13</v>
      </c>
      <c r="DR153" s="22">
        <f t="shared" si="124"/>
        <v>1.4960899118586383E-12</v>
      </c>
      <c r="DS153" s="62">
        <f t="shared" si="125"/>
        <v>287.88827826292692</v>
      </c>
      <c r="DT153" s="62">
        <f ca="1">AVERAGE(OFFSET($DS$3,0,0,'Données projet'!$E$14+1,1))-AVERAGE(OFFSET($H$3,0,0,'Données projet'!$E$14+1,1))</f>
        <v>289.18543665577761</v>
      </c>
      <c r="DU153" s="62">
        <f t="shared" si="152"/>
        <v>291.40065947222843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0.39966861621985494</v>
      </c>
      <c r="EC153" s="23">
        <f>EXP(-LN(2)/2)*EC152+(1-EXP(-LN(2)/2))/(LN(2)/2)*DW153*DZ153*VLOOKUP('Données projet'!$B$14,Paramètres!$A$1:$I$89,3,0)*0.475*44/12</f>
        <v>9.0783269664993172E-18</v>
      </c>
      <c r="ED153" s="24">
        <f t="shared" si="126"/>
        <v>0.39966861621985494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514.72748286045442</v>
      </c>
      <c r="EP153" s="62">
        <f t="shared" si="154"/>
        <v>322.28702110656116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0.36731031252895391</v>
      </c>
      <c r="EX153" s="23">
        <f>EXP(-LN(2)/2)*EX152+(1-EXP(-LN(2)/2))/(LN(2)/2)*ER153*EU153*VLOOKUP('Données projet'!$B$15,Paramètres!$A$1:$I$89,3,0)*0.475*44/12</f>
        <v>1.4492946951150535E-17</v>
      </c>
      <c r="EY153" s="24">
        <f t="shared" si="129"/>
        <v>0.36731031252895391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68.514984980797848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4.0999999999999996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15.033333333333331</v>
      </c>
      <c r="H154" s="70">
        <f t="shared" si="110"/>
        <v>196.53333333333333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70.794576398719499</v>
      </c>
      <c r="T154" s="62">
        <f t="shared" si="142"/>
        <v>328.91236364911629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8.244583016222251E-20</v>
      </c>
      <c r="AC154" s="24">
        <f t="shared" ref="AC154:AC203" si="163">SUM(Z154:AB154)</f>
        <v>8.244583016222251E-20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466.75323833427217</v>
      </c>
      <c r="AO154" s="62">
        <f t="shared" si="144"/>
        <v>293.88550076209378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0.31879137196271867</v>
      </c>
      <c r="AW154" s="23">
        <f>EXP(-LN(2)/2)*AW153+(1-EXP(-LN(2)/2))/(LN(2)/2)*AQ154*AT154*VLOOKUP('Données projet'!$B$10,Paramètres!$A$1:$I$89,3,0)*0.475*44/12</f>
        <v>9.1444237226931799E-18</v>
      </c>
      <c r="AX154" s="23">
        <f t="shared" ref="AX154:AX203" si="166">SUM(AU154:AW154)</f>
        <v>0.31879137196271867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68.47741055388687</v>
      </c>
      <c r="BJ154" s="62">
        <f t="shared" si="146"/>
        <v>335.34467252166542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4.6825355909396702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3.8104784163119639E-19</v>
      </c>
      <c r="BS154" s="24">
        <f t="shared" ref="BS154:BS203" si="169">SUM(BP154:BR154)</f>
        <v>4.6825355909396702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3.3992364478763198E-14</v>
      </c>
      <c r="CA154" s="14">
        <f t="shared" ref="CA154:CA203" si="170">EXP(-1.0587+0.8836*LN(BZ154)+0.284)</f>
        <v>5.790027782444094E-13</v>
      </c>
      <c r="CB154" s="22">
        <f t="shared" ref="CB154:CB203" si="171">(BZ154+CA154)*0.475*44/12</f>
        <v>1.0676332069095257E-12</v>
      </c>
      <c r="CC154" s="62">
        <f t="shared" si="119"/>
        <v>287.98273779507861</v>
      </c>
      <c r="CD154" s="62">
        <f ca="1">AVERAGE(OFFSET($CC$3,0,0,'Données projet'!$E$12+1,1))-AVERAGE(OFFSET($H$3,0,0,'Données projet'!$E$12+1,1))</f>
        <v>211.76609132110815</v>
      </c>
      <c r="CE154" s="62">
        <f t="shared" si="148"/>
        <v>363.07965692095752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0.89943878289654156</v>
      </c>
      <c r="CL154" s="23">
        <f>EXP(-LN(2)/25)*CL153+(1-EXP(-LN(2)/25))/(LN(2)/25)*Calculateur!CG154*Calculateur!CI154*VLOOKUP('Données projet'!$B$12,Paramètres!$A$1:$I$89,3,0)*0.475*44/12</f>
        <v>0.18993596745904637</v>
      </c>
      <c r="CM154" s="23">
        <f>EXP(-LN(2)/2)*CM153+(1-EXP(-LN(2)/2))/(LN(2)/2)*CG154*CJ154*VLOOKUP('Données projet'!$B$12,Paramètres!$A$1:$I$89,3,0)*0.475*44/12</f>
        <v>1.4461496024385419E-18</v>
      </c>
      <c r="CN154" s="24">
        <f t="shared" ref="CN154:CN203" si="172">SUM(CK154:CM154)</f>
        <v>1.089374750355588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-5.1431925385259088E-14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374.91250349988451</v>
      </c>
      <c r="CZ154" s="62">
        <f t="shared" si="150"/>
        <v>529.46825265662869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0.96378651516963998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0.96378651516963998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4.9658410716801891E-14</v>
      </c>
      <c r="DQ154" s="14">
        <f t="shared" ref="DQ154:DQ203" si="176">EXP(-1.0587+0.8836*LN(DP154)+0.284)</f>
        <v>8.0934058173791862E-13</v>
      </c>
      <c r="DR154" s="22">
        <f t="shared" ref="DR154:DR203" si="177">(DP154+DQ154)*0.475*44/12</f>
        <v>1.4960899118586383E-12</v>
      </c>
      <c r="DS154" s="62">
        <f t="shared" si="125"/>
        <v>287.982737795079</v>
      </c>
      <c r="DT154" s="62">
        <f ca="1">AVERAGE(OFFSET($DS$3,0,0,'Données projet'!$E$14+1,1))-AVERAGE(OFFSET($H$3,0,0,'Données projet'!$E$14+1,1))</f>
        <v>289.18543665577761</v>
      </c>
      <c r="DU154" s="62">
        <f t="shared" si="152"/>
        <v>291.40065947222843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0.38873965689166395</v>
      </c>
      <c r="EC154" s="23">
        <f>EXP(-LN(2)/2)*EC153+(1-EXP(-LN(2)/2))/(LN(2)/2)*DW154*DZ154*VLOOKUP('Données projet'!$B$14,Paramètres!$A$1:$I$89,3,0)*0.475*44/12</f>
        <v>6.4193465598403665E-18</v>
      </c>
      <c r="ED154" s="24">
        <f t="shared" ref="ED154:ED203" si="178">SUM(EA154:EC154)</f>
        <v>0.38873965689166395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514.72748286045442</v>
      </c>
      <c r="EP154" s="62">
        <f t="shared" si="154"/>
        <v>322.28702110656116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0.35726619271683985</v>
      </c>
      <c r="EX154" s="23">
        <f>EXP(-LN(2)/2)*EX153+(1-EXP(-LN(2)/2))/(LN(2)/2)*ER154*EU154*VLOOKUP('Données projet'!$B$15,Paramètres!$A$1:$I$89,3,0)*0.475*44/12</f>
        <v>1.0248061068535443E-17</v>
      </c>
      <c r="EY154" s="24">
        <f t="shared" ref="EY154:EY203" si="181">SUM(EV154:EX154)</f>
        <v>0.35726619271683985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68.540746671384781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4.0999999999999996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15.033333333333331</v>
      </c>
      <c r="H155" s="70">
        <f t="shared" si="110"/>
        <v>196.53333333333333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70.794576398719499</v>
      </c>
      <c r="T155" s="62">
        <f t="shared" si="142"/>
        <v>328.91236364911629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5.8298005588261931E-20</v>
      </c>
      <c r="AC155" s="24">
        <f t="shared" si="163"/>
        <v>5.8298005588261931E-20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466.75323833427217</v>
      </c>
      <c r="AO155" s="62">
        <f t="shared" si="144"/>
        <v>293.88550076209378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0.31007400513188849</v>
      </c>
      <c r="AW155" s="23">
        <f>EXP(-LN(2)/2)*AW154+(1-EXP(-LN(2)/2))/(LN(2)/2)*AQ155*AT155*VLOOKUP('Données projet'!$B$10,Paramètres!$A$1:$I$89,3,0)*0.475*44/12</f>
        <v>6.4660840243594808E-18</v>
      </c>
      <c r="AX155" s="23">
        <f t="shared" si="166"/>
        <v>0.31007400513188849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68.47741055388687</v>
      </c>
      <c r="BJ155" s="62">
        <f t="shared" si="146"/>
        <v>335.34467252166542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4.5907139240660406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2.6944151277391659E-19</v>
      </c>
      <c r="BS155" s="24">
        <f t="shared" si="169"/>
        <v>4.5907139240660406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3.3992364478763198E-14</v>
      </c>
      <c r="CA155" s="14">
        <f t="shared" si="170"/>
        <v>5.790027782444094E-13</v>
      </c>
      <c r="CB155" s="22">
        <f t="shared" si="171"/>
        <v>1.0676332069095257E-12</v>
      </c>
      <c r="CC155" s="62">
        <f t="shared" si="119"/>
        <v>288.07555866552775</v>
      </c>
      <c r="CD155" s="62">
        <f ca="1">AVERAGE(OFFSET($CC$3,0,0,'Données projet'!$E$12+1,1))-AVERAGE(OFFSET($H$3,0,0,'Données projet'!$E$12+1,1))</f>
        <v>211.76609132110815</v>
      </c>
      <c r="CE155" s="62">
        <f t="shared" si="148"/>
        <v>363.07965692095752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0.8818013369674278</v>
      </c>
      <c r="CL155" s="23">
        <f>EXP(-LN(2)/25)*CL154+(1-EXP(-LN(2)/25))/(LN(2)/25)*Calculateur!CG155*Calculateur!CI155*VLOOKUP('Données projet'!$B$12,Paramètres!$A$1:$I$89,3,0)*0.475*44/12</f>
        <v>0.18474215844058031</v>
      </c>
      <c r="CM155" s="23">
        <f>EXP(-LN(2)/2)*CM154+(1-EXP(-LN(2)/2))/(LN(2)/2)*CG155*CJ155*VLOOKUP('Données projet'!$B$12,Paramètres!$A$1:$I$89,3,0)*0.475*44/12</f>
        <v>1.0225821904945227E-18</v>
      </c>
      <c r="CN155" s="24">
        <f t="shared" si="172"/>
        <v>1.0665434954080082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-5.1431925385259088E-14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374.91250349988451</v>
      </c>
      <c r="CZ155" s="62">
        <f t="shared" si="150"/>
        <v>529.46825265662869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0.94488724945889202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0.94488724945889202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4.9658410716801891E-14</v>
      </c>
      <c r="DQ155" s="14">
        <f t="shared" si="176"/>
        <v>8.0934058173791862E-13</v>
      </c>
      <c r="DR155" s="22">
        <f t="shared" si="177"/>
        <v>1.4960899118586383E-12</v>
      </c>
      <c r="DS155" s="62">
        <f t="shared" si="125"/>
        <v>288.07555866552815</v>
      </c>
      <c r="DT155" s="62">
        <f ca="1">AVERAGE(OFFSET($DS$3,0,0,'Données projet'!$E$14+1,1))-AVERAGE(OFFSET($H$3,0,0,'Données projet'!$E$14+1,1))</f>
        <v>289.18543665577761</v>
      </c>
      <c r="DU155" s="62">
        <f t="shared" si="152"/>
        <v>291.40065947222843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0.37810955053103135</v>
      </c>
      <c r="EC155" s="23">
        <f>EXP(-LN(2)/2)*EC154+(1-EXP(-LN(2)/2))/(LN(2)/2)*DW155*DZ155*VLOOKUP('Données projet'!$B$14,Paramètres!$A$1:$I$89,3,0)*0.475*44/12</f>
        <v>4.5391634832496586E-18</v>
      </c>
      <c r="ED155" s="24">
        <f t="shared" si="178"/>
        <v>0.37810955053103135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514.72748286045442</v>
      </c>
      <c r="EP155" s="62">
        <f t="shared" si="154"/>
        <v>322.28702110656116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0.34749672988918534</v>
      </c>
      <c r="EX155" s="23">
        <f>EXP(-LN(2)/2)*EX154+(1-EXP(-LN(2)/2))/(LN(2)/2)*ER155*EU155*VLOOKUP('Données projet'!$B$15,Paramètres!$A$1:$I$89,3,0)*0.475*44/12</f>
        <v>7.2464734755752676E-18</v>
      </c>
      <c r="EY155" s="24">
        <f t="shared" si="181"/>
        <v>0.34749672988918534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68.566061454234557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4.0999999999999996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15.033333333333331</v>
      </c>
      <c r="H156" s="70">
        <f t="shared" si="110"/>
        <v>196.53333333333333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70.794576398719499</v>
      </c>
      <c r="T156" s="62">
        <f t="shared" si="142"/>
        <v>328.91236364911629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4.1222915081111255E-20</v>
      </c>
      <c r="AC156" s="24">
        <f t="shared" si="163"/>
        <v>4.1222915081111255E-20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466.75323833427217</v>
      </c>
      <c r="AO156" s="62">
        <f t="shared" si="144"/>
        <v>293.88550076209378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0.30159501515547377</v>
      </c>
      <c r="AW156" s="23">
        <f>EXP(-LN(2)/2)*AW155+(1-EXP(-LN(2)/2))/(LN(2)/2)*AQ156*AT156*VLOOKUP('Données projet'!$B$10,Paramètres!$A$1:$I$89,3,0)*0.475*44/12</f>
        <v>4.57221186134659E-18</v>
      </c>
      <c r="AX156" s="23">
        <f t="shared" si="166"/>
        <v>0.30159501515547377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68.47741055388687</v>
      </c>
      <c r="BJ156" s="62">
        <f t="shared" si="146"/>
        <v>335.34467252166542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4.5006928240741164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1.9052392081559819E-19</v>
      </c>
      <c r="BS156" s="24">
        <f t="shared" si="169"/>
        <v>4.5006928240741164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3.3992364478763198E-14</v>
      </c>
      <c r="CA156" s="14">
        <f t="shared" si="170"/>
        <v>5.790027782444094E-13</v>
      </c>
      <c r="CB156" s="22">
        <f t="shared" si="171"/>
        <v>1.0676332069095257E-12</v>
      </c>
      <c r="CC156" s="62">
        <f t="shared" si="119"/>
        <v>288.16676930139107</v>
      </c>
      <c r="CD156" s="62">
        <f ca="1">AVERAGE(OFFSET($CC$3,0,0,'Données projet'!$E$12+1,1))-AVERAGE(OFFSET($H$3,0,0,'Données projet'!$E$12+1,1))</f>
        <v>211.76609132110815</v>
      </c>
      <c r="CE156" s="62">
        <f t="shared" si="148"/>
        <v>363.07965692095752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0.86450975059520418</v>
      </c>
      <c r="CL156" s="23">
        <f>EXP(-LN(2)/25)*CL155+(1-EXP(-LN(2)/25))/(LN(2)/25)*Calculateur!CG156*Calculateur!CI156*VLOOKUP('Données projet'!$B$12,Paramètres!$A$1:$I$89,3,0)*0.475*44/12</f>
        <v>0.17969037440285476</v>
      </c>
      <c r="CM156" s="23">
        <f>EXP(-LN(2)/2)*CM155+(1-EXP(-LN(2)/2))/(LN(2)/2)*CG156*CJ156*VLOOKUP('Données projet'!$B$12,Paramètres!$A$1:$I$89,3,0)*0.475*44/12</f>
        <v>7.2307480121927095E-19</v>
      </c>
      <c r="CN156" s="24">
        <f t="shared" si="172"/>
        <v>1.044200124998059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-5.1431925385259088E-14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374.91250349988451</v>
      </c>
      <c r="CZ156" s="62">
        <f t="shared" si="150"/>
        <v>529.46825265662869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0.926358586821318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0.926358586821318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4.9658410716801891E-14</v>
      </c>
      <c r="DQ156" s="14">
        <f t="shared" si="176"/>
        <v>8.0934058173791862E-13</v>
      </c>
      <c r="DR156" s="22">
        <f t="shared" si="177"/>
        <v>1.4960899118586383E-12</v>
      </c>
      <c r="DS156" s="62">
        <f t="shared" si="125"/>
        <v>288.16676930139147</v>
      </c>
      <c r="DT156" s="62">
        <f ca="1">AVERAGE(OFFSET($DS$3,0,0,'Données projet'!$E$14+1,1))-AVERAGE(OFFSET($H$3,0,0,'Données projet'!$E$14+1,1))</f>
        <v>289.18543665577761</v>
      </c>
      <c r="DU156" s="62">
        <f t="shared" si="152"/>
        <v>291.40065947222843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0.36777012498784323</v>
      </c>
      <c r="EC156" s="23">
        <f>EXP(-LN(2)/2)*EC155+(1-EXP(-LN(2)/2))/(LN(2)/2)*DW156*DZ156*VLOOKUP('Données projet'!$B$14,Paramètres!$A$1:$I$89,3,0)*0.475*44/12</f>
        <v>3.2096732799201833E-18</v>
      </c>
      <c r="ED156" s="24">
        <f t="shared" si="178"/>
        <v>0.36777012498784323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514.72748286045442</v>
      </c>
      <c r="EP156" s="62">
        <f t="shared" si="154"/>
        <v>322.28702110656116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0.33799441353630677</v>
      </c>
      <c r="EX156" s="23">
        <f>EXP(-LN(2)/2)*EX155+(1-EXP(-LN(2)/2))/(LN(2)/2)*ER156*EU156*VLOOKUP('Données projet'!$B$15,Paramètres!$A$1:$I$89,3,0)*0.475*44/12</f>
        <v>5.1240305342677214E-18</v>
      </c>
      <c r="EY156" s="24">
        <f t="shared" si="181"/>
        <v>0.33799441353630677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68.590937082197271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4.0999999999999996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15.033333333333331</v>
      </c>
      <c r="H157" s="70">
        <f t="shared" si="110"/>
        <v>196.53333333333333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70.794576398719499</v>
      </c>
      <c r="T157" s="62">
        <f t="shared" si="142"/>
        <v>328.91236364911629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2.9149002794130965E-20</v>
      </c>
      <c r="AC157" s="24">
        <f t="shared" si="163"/>
        <v>2.9149002794130965E-20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466.75323833427217</v>
      </c>
      <c r="AO157" s="62">
        <f t="shared" si="144"/>
        <v>293.88550076209378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0.29334788360585479</v>
      </c>
      <c r="AW157" s="23">
        <f>EXP(-LN(2)/2)*AW156+(1-EXP(-LN(2)/2))/(LN(2)/2)*AQ157*AT157*VLOOKUP('Données projet'!$B$10,Paramètres!$A$1:$I$89,3,0)*0.475*44/12</f>
        <v>3.2330420121797404E-18</v>
      </c>
      <c r="AX157" s="23">
        <f t="shared" si="166"/>
        <v>0.29334788360585479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68.47741055388687</v>
      </c>
      <c r="BJ157" s="62">
        <f t="shared" si="146"/>
        <v>335.34467252166542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4.4124369829455841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1.347207563869583E-19</v>
      </c>
      <c r="BS157" s="24">
        <f t="shared" si="169"/>
        <v>4.4124369829455841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3.3992364478763198E-14</v>
      </c>
      <c r="CA157" s="14">
        <f t="shared" si="170"/>
        <v>5.790027782444094E-13</v>
      </c>
      <c r="CB157" s="22">
        <f t="shared" si="171"/>
        <v>1.0676332069095257E-12</v>
      </c>
      <c r="CC157" s="62">
        <f t="shared" si="119"/>
        <v>288.25639763663855</v>
      </c>
      <c r="CD157" s="62">
        <f ca="1">AVERAGE(OFFSET($CC$3,0,0,'Données projet'!$E$12+1,1))-AVERAGE(OFFSET($H$3,0,0,'Données projet'!$E$12+1,1))</f>
        <v>211.76609132110815</v>
      </c>
      <c r="CE157" s="62">
        <f t="shared" si="148"/>
        <v>363.07965692095752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0.84755724168491364</v>
      </c>
      <c r="CL157" s="23">
        <f>EXP(-LN(2)/25)*CL156+(1-EXP(-LN(2)/25))/(LN(2)/25)*Calculateur!CG157*Calculateur!CI157*VLOOKUP('Données projet'!$B$12,Paramètres!$A$1:$I$89,3,0)*0.475*44/12</f>
        <v>0.17477673166530261</v>
      </c>
      <c r="CM157" s="23">
        <f>EXP(-LN(2)/2)*CM156+(1-EXP(-LN(2)/2))/(LN(2)/2)*CG157*CJ157*VLOOKUP('Données projet'!$B$12,Paramètres!$A$1:$I$89,3,0)*0.475*44/12</f>
        <v>5.1129109524726136E-19</v>
      </c>
      <c r="CN157" s="24">
        <f t="shared" si="172"/>
        <v>1.0223339733502161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-5.1431925385259088E-14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374.91250349988451</v>
      </c>
      <c r="CZ157" s="62">
        <f t="shared" si="150"/>
        <v>529.46825265662869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0.90819325995669853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0.90819325995669853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4.9658410716801891E-14</v>
      </c>
      <c r="DQ157" s="14">
        <f t="shared" si="176"/>
        <v>8.0934058173791862E-13</v>
      </c>
      <c r="DR157" s="22">
        <f t="shared" si="177"/>
        <v>1.4960899118586383E-12</v>
      </c>
      <c r="DS157" s="62">
        <f t="shared" si="125"/>
        <v>288.25639763663895</v>
      </c>
      <c r="DT157" s="62">
        <f ca="1">AVERAGE(OFFSET($DS$3,0,0,'Données projet'!$E$14+1,1))-AVERAGE(OFFSET($H$3,0,0,'Données projet'!$E$14+1,1))</f>
        <v>289.18543665577761</v>
      </c>
      <c r="DU157" s="62">
        <f t="shared" si="152"/>
        <v>291.40065947222843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0.35771343157986035</v>
      </c>
      <c r="EC157" s="23">
        <f>EXP(-LN(2)/2)*EC156+(1-EXP(-LN(2)/2))/(LN(2)/2)*DW157*DZ157*VLOOKUP('Données projet'!$B$14,Paramètres!$A$1:$I$89,3,0)*0.475*44/12</f>
        <v>2.2695817416248293E-18</v>
      </c>
      <c r="ED157" s="24">
        <f t="shared" si="178"/>
        <v>0.35771343157986035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514.72748286045442</v>
      </c>
      <c r="EP157" s="62">
        <f t="shared" si="154"/>
        <v>322.28702110656116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0.32875193852380274</v>
      </c>
      <c r="EX157" s="23">
        <f>EXP(-LN(2)/2)*EX156+(1-EXP(-LN(2)/2))/(LN(2)/2)*ER157*EU157*VLOOKUP('Données projet'!$B$15,Paramètres!$A$1:$I$89,3,0)*0.475*44/12</f>
        <v>3.6232367377876338E-18</v>
      </c>
      <c r="EY157" s="24">
        <f t="shared" si="181"/>
        <v>0.32875193852380274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68.615381173628393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4.0999999999999996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15.033333333333331</v>
      </c>
      <c r="H158" s="70">
        <f t="shared" si="110"/>
        <v>196.53333333333333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70.794576398719499</v>
      </c>
      <c r="T158" s="62">
        <f t="shared" si="142"/>
        <v>328.91236364911629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2.0611457540555627E-20</v>
      </c>
      <c r="AC158" s="24">
        <f t="shared" si="163"/>
        <v>2.0611457540555627E-20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466.75323833427217</v>
      </c>
      <c r="AO158" s="62">
        <f t="shared" si="144"/>
        <v>293.88550076209378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0.28532627030215796</v>
      </c>
      <c r="AW158" s="23">
        <f>EXP(-LN(2)/2)*AW157+(1-EXP(-LN(2)/2))/(LN(2)/2)*AQ158*AT158*VLOOKUP('Données projet'!$B$10,Paramètres!$A$1:$I$89,3,0)*0.475*44/12</f>
        <v>2.286105930673295E-18</v>
      </c>
      <c r="AX158" s="23">
        <f t="shared" si="166"/>
        <v>0.28532627030215796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68.47741055388687</v>
      </c>
      <c r="BJ158" s="62">
        <f t="shared" si="146"/>
        <v>335.34467252166542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4.3259117850308346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9.5261960407799096E-20</v>
      </c>
      <c r="BS158" s="24">
        <f t="shared" si="169"/>
        <v>4.3259117850308346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3.3992364478763198E-14</v>
      </c>
      <c r="CA158" s="14">
        <f t="shared" si="170"/>
        <v>5.790027782444094E-13</v>
      </c>
      <c r="CB158" s="22">
        <f t="shared" si="171"/>
        <v>1.0676332069095257E-12</v>
      </c>
      <c r="CC158" s="62">
        <f t="shared" si="119"/>
        <v>288.34447112064834</v>
      </c>
      <c r="CD158" s="62">
        <f ca="1">AVERAGE(OFFSET($CC$3,0,0,'Données projet'!$E$12+1,1))-AVERAGE(OFFSET($H$3,0,0,'Données projet'!$E$12+1,1))</f>
        <v>211.76609132110815</v>
      </c>
      <c r="CE158" s="62">
        <f t="shared" si="148"/>
        <v>363.07965692095752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0.83093716113434446</v>
      </c>
      <c r="CL158" s="23">
        <f>EXP(-LN(2)/25)*CL157+(1-EXP(-LN(2)/25))/(LN(2)/25)*Calculateur!CG158*Calculateur!CI158*VLOOKUP('Données projet'!$B$12,Paramètres!$A$1:$I$89,3,0)*0.475*44/12</f>
        <v>0.16999745274680605</v>
      </c>
      <c r="CM158" s="23">
        <f>EXP(-LN(2)/2)*CM157+(1-EXP(-LN(2)/2))/(LN(2)/2)*CG158*CJ158*VLOOKUP('Données projet'!$B$12,Paramètres!$A$1:$I$89,3,0)*0.475*44/12</f>
        <v>3.6153740060963547E-19</v>
      </c>
      <c r="CN158" s="24">
        <f t="shared" si="172"/>
        <v>1.0009346138811506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-5.1431925385259088E-14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374.91250349988451</v>
      </c>
      <c r="CZ158" s="62">
        <f t="shared" si="150"/>
        <v>529.46825265662869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0.89038414407213895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0.89038414407213895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4.9658410716801891E-14</v>
      </c>
      <c r="DQ158" s="14">
        <f t="shared" si="176"/>
        <v>8.0934058173791862E-13</v>
      </c>
      <c r="DR158" s="22">
        <f t="shared" si="177"/>
        <v>1.4960899118586383E-12</v>
      </c>
      <c r="DS158" s="62">
        <f t="shared" si="125"/>
        <v>288.34447112064873</v>
      </c>
      <c r="DT158" s="62">
        <f ca="1">AVERAGE(OFFSET($DS$3,0,0,'Données projet'!$E$14+1,1))-AVERAGE(OFFSET($H$3,0,0,'Données projet'!$E$14+1,1))</f>
        <v>289.18543665577761</v>
      </c>
      <c r="DU158" s="62">
        <f t="shared" si="152"/>
        <v>291.40065947222843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0.34793173898197727</v>
      </c>
      <c r="EC158" s="23">
        <f>EXP(-LN(2)/2)*EC157+(1-EXP(-LN(2)/2))/(LN(2)/2)*DW158*DZ158*VLOOKUP('Données projet'!$B$14,Paramètres!$A$1:$I$89,3,0)*0.475*44/12</f>
        <v>1.6048366399600916E-18</v>
      </c>
      <c r="ED158" s="24">
        <f t="shared" si="178"/>
        <v>0.34793173898197727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514.72748286045442</v>
      </c>
      <c r="EP158" s="62">
        <f t="shared" si="154"/>
        <v>322.28702110656116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0.31976219947655626</v>
      </c>
      <c r="EX158" s="23">
        <f>EXP(-LN(2)/2)*EX157+(1-EXP(-LN(2)/2))/(LN(2)/2)*ER158*EU158*VLOOKUP('Données projet'!$B$15,Paramètres!$A$1:$I$89,3,0)*0.475*44/12</f>
        <v>2.5620152671338607E-18</v>
      </c>
      <c r="EY158" s="24">
        <f t="shared" si="181"/>
        <v>0.31976219947655626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68.639401214721985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4.0999999999999996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15.033333333333331</v>
      </c>
      <c r="H159" s="70">
        <f t="shared" si="110"/>
        <v>196.53333333333333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70.794576398719499</v>
      </c>
      <c r="T159" s="62">
        <f t="shared" si="142"/>
        <v>328.91236364911629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1.4574501397065483E-20</v>
      </c>
      <c r="AC159" s="24">
        <f t="shared" si="163"/>
        <v>1.4574501397065483E-20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466.75323833427217</v>
      </c>
      <c r="AO159" s="62">
        <f t="shared" si="144"/>
        <v>293.88550076209378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0.27752400843608904</v>
      </c>
      <c r="AW159" s="23">
        <f>EXP(-LN(2)/2)*AW158+(1-EXP(-LN(2)/2))/(LN(2)/2)*AQ159*AT159*VLOOKUP('Données projet'!$B$10,Paramètres!$A$1:$I$89,3,0)*0.475*44/12</f>
        <v>1.6165210060898702E-18</v>
      </c>
      <c r="AX159" s="23">
        <f t="shared" si="166"/>
        <v>0.27752400843608904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68.47741055388687</v>
      </c>
      <c r="BJ159" s="62">
        <f t="shared" si="146"/>
        <v>335.34467252166542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4.2410832934720339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6.7360378193479148E-20</v>
      </c>
      <c r="BS159" s="24">
        <f t="shared" si="169"/>
        <v>4.2410832934720339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3.3992364478763198E-14</v>
      </c>
      <c r="CA159" s="14">
        <f t="shared" si="170"/>
        <v>5.790027782444094E-13</v>
      </c>
      <c r="CB159" s="22">
        <f t="shared" si="171"/>
        <v>1.0676332069095257E-12</v>
      </c>
      <c r="CC159" s="62">
        <f t="shared" si="119"/>
        <v>288.43101672661345</v>
      </c>
      <c r="CD159" s="62">
        <f ca="1">AVERAGE(OFFSET($CC$3,0,0,'Données projet'!$E$12+1,1))-AVERAGE(OFFSET($H$3,0,0,'Données projet'!$E$12+1,1))</f>
        <v>211.76609132110815</v>
      </c>
      <c r="CE159" s="62">
        <f t="shared" si="148"/>
        <v>363.07965692095752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0.81464299022612374</v>
      </c>
      <c r="CL159" s="23">
        <f>EXP(-LN(2)/25)*CL158+(1-EXP(-LN(2)/25))/(LN(2)/25)*Calculateur!CG159*Calculateur!CI159*VLOOKUP('Données projet'!$B$12,Paramètres!$A$1:$I$89,3,0)*0.475*44/12</f>
        <v>0.16534886346166713</v>
      </c>
      <c r="CM159" s="23">
        <f>EXP(-LN(2)/2)*CM158+(1-EXP(-LN(2)/2))/(LN(2)/2)*CG159*CJ159*VLOOKUP('Données projet'!$B$12,Paramètres!$A$1:$I$89,3,0)*0.475*44/12</f>
        <v>2.5564554762363068E-19</v>
      </c>
      <c r="CN159" s="24">
        <f t="shared" si="172"/>
        <v>0.97999185368779085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-5.1431925385259088E-14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374.91250349988451</v>
      </c>
      <c r="CZ159" s="62">
        <f t="shared" si="150"/>
        <v>529.46825265662869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0.87292425408758745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0.87292425408758745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4.9658410716801891E-14</v>
      </c>
      <c r="DQ159" s="14">
        <f t="shared" si="176"/>
        <v>8.0934058173791862E-13</v>
      </c>
      <c r="DR159" s="22">
        <f t="shared" si="177"/>
        <v>1.4960899118586383E-12</v>
      </c>
      <c r="DS159" s="62">
        <f t="shared" si="125"/>
        <v>288.43101672661385</v>
      </c>
      <c r="DT159" s="62">
        <f ca="1">AVERAGE(OFFSET($DS$3,0,0,'Données projet'!$E$14+1,1))-AVERAGE(OFFSET($H$3,0,0,'Données projet'!$E$14+1,1))</f>
        <v>289.18543665577761</v>
      </c>
      <c r="DU159" s="62">
        <f t="shared" si="152"/>
        <v>291.40065947222843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0.33841752728258018</v>
      </c>
      <c r="EC159" s="23">
        <f>EXP(-LN(2)/2)*EC158+(1-EXP(-LN(2)/2))/(LN(2)/2)*DW159*DZ159*VLOOKUP('Données projet'!$B$14,Paramètres!$A$1:$I$89,3,0)*0.475*44/12</f>
        <v>1.1347908708124146E-18</v>
      </c>
      <c r="ED159" s="24">
        <f t="shared" si="178"/>
        <v>0.33841752728258018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514.72748286045442</v>
      </c>
      <c r="EP159" s="62">
        <f t="shared" si="154"/>
        <v>322.28702110656116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0.3110182853163066</v>
      </c>
      <c r="EX159" s="23">
        <f>EXP(-LN(2)/2)*EX158+(1-EXP(-LN(2)/2))/(LN(2)/2)*ER159*EU159*VLOOKUP('Données projet'!$B$15,Paramètres!$A$1:$I$89,3,0)*0.475*44/12</f>
        <v>1.8116183688938169E-18</v>
      </c>
      <c r="EY159" s="24">
        <f t="shared" si="181"/>
        <v>0.3110182853163066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68.663004561803376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4.0999999999999996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15.033333333333331</v>
      </c>
      <c r="H160" s="70">
        <f t="shared" si="110"/>
        <v>196.53333333333333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70.794576398719499</v>
      </c>
      <c r="T160" s="62">
        <f t="shared" si="142"/>
        <v>328.91236364911629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1.0305728770277814E-20</v>
      </c>
      <c r="AC160" s="24">
        <f t="shared" si="163"/>
        <v>1.0305728770277814E-20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466.75323833427217</v>
      </c>
      <c r="AO160" s="62">
        <f t="shared" si="144"/>
        <v>293.88550076209378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0.26993509983105085</v>
      </c>
      <c r="AW160" s="23">
        <f>EXP(-LN(2)/2)*AW159+(1-EXP(-LN(2)/2))/(LN(2)/2)*AQ160*AT160*VLOOKUP('Données projet'!$B$10,Paramètres!$A$1:$I$89,3,0)*0.475*44/12</f>
        <v>1.1430529653366475E-18</v>
      </c>
      <c r="AX160" s="23">
        <f t="shared" si="166"/>
        <v>0.26993509983105085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68.47741055388687</v>
      </c>
      <c r="BJ160" s="62">
        <f t="shared" si="146"/>
        <v>335.34467252166542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4.1579182368924306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4.7630980203899548E-20</v>
      </c>
      <c r="BS160" s="24">
        <f t="shared" si="169"/>
        <v>4.1579182368924306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3.3992364478763198E-14</v>
      </c>
      <c r="CA160" s="14">
        <f t="shared" si="170"/>
        <v>5.790027782444094E-13</v>
      </c>
      <c r="CB160" s="22">
        <f t="shared" si="171"/>
        <v>1.0676332069095257E-12</v>
      </c>
      <c r="CC160" s="62">
        <f t="shared" si="119"/>
        <v>288.51606095980208</v>
      </c>
      <c r="CD160" s="62">
        <f ca="1">AVERAGE(OFFSET($CC$3,0,0,'Données projet'!$E$12+1,1))-AVERAGE(OFFSET($H$3,0,0,'Données projet'!$E$12+1,1))</f>
        <v>211.76609132110815</v>
      </c>
      <c r="CE160" s="62">
        <f t="shared" si="148"/>
        <v>363.07965692095752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0.79866833807095039</v>
      </c>
      <c r="CL160" s="23">
        <f>EXP(-LN(2)/25)*CL159+(1-EXP(-LN(2)/25))/(LN(2)/25)*Calculateur!CG160*Calculateur!CI160*VLOOKUP('Données projet'!$B$12,Paramètres!$A$1:$I$89,3,0)*0.475*44/12</f>
        <v>0.16082739009498903</v>
      </c>
      <c r="CM160" s="23">
        <f>EXP(-LN(2)/2)*CM159+(1-EXP(-LN(2)/2))/(LN(2)/2)*CG160*CJ160*VLOOKUP('Données projet'!$B$12,Paramètres!$A$1:$I$89,3,0)*0.475*44/12</f>
        <v>1.8076870030481774E-19</v>
      </c>
      <c r="CN160" s="24">
        <f t="shared" si="172"/>
        <v>0.95949572816593942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-5.1431925385259088E-14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374.91250349988451</v>
      </c>
      <c r="CZ160" s="62">
        <f t="shared" si="150"/>
        <v>529.46825265662869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0.85580674189615169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0.85580674189615169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4.9658410716801891E-14</v>
      </c>
      <c r="DQ160" s="14">
        <f t="shared" si="176"/>
        <v>8.0934058173791862E-13</v>
      </c>
      <c r="DR160" s="22">
        <f t="shared" si="177"/>
        <v>1.4960899118586383E-12</v>
      </c>
      <c r="DS160" s="62">
        <f t="shared" si="125"/>
        <v>288.51606095980247</v>
      </c>
      <c r="DT160" s="62">
        <f ca="1">AVERAGE(OFFSET($DS$3,0,0,'Données projet'!$E$14+1,1))-AVERAGE(OFFSET($H$3,0,0,'Données projet'!$E$14+1,1))</f>
        <v>289.18543665577761</v>
      </c>
      <c r="DU160" s="62">
        <f t="shared" si="152"/>
        <v>291.40065947222843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0.32916348220243374</v>
      </c>
      <c r="EC160" s="23">
        <f>EXP(-LN(2)/2)*EC159+(1-EXP(-LN(2)/2))/(LN(2)/2)*DW160*DZ160*VLOOKUP('Données projet'!$B$14,Paramètres!$A$1:$I$89,3,0)*0.475*44/12</f>
        <v>8.0241831998004582E-19</v>
      </c>
      <c r="ED160" s="24">
        <f t="shared" si="178"/>
        <v>0.32916348220243374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514.72748286045442</v>
      </c>
      <c r="EP160" s="62">
        <f t="shared" si="154"/>
        <v>322.28702110656116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0.3025134739485914</v>
      </c>
      <c r="EX160" s="23">
        <f>EXP(-LN(2)/2)*EX159+(1-EXP(-LN(2)/2))/(LN(2)/2)*ER160*EU160*VLOOKUP('Données projet'!$B$15,Paramètres!$A$1:$I$89,3,0)*0.475*44/12</f>
        <v>1.2810076335669303E-18</v>
      </c>
      <c r="EY160" s="24">
        <f t="shared" si="181"/>
        <v>0.3025134739485914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68.686198443582086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4.0999999999999996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15.033333333333331</v>
      </c>
      <c r="H161" s="70">
        <f t="shared" si="110"/>
        <v>196.53333333333333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70.794576398719499</v>
      </c>
      <c r="T161" s="62">
        <f t="shared" si="142"/>
        <v>328.91236364911629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7.2872506985327414E-21</v>
      </c>
      <c r="AC161" s="24">
        <f t="shared" si="163"/>
        <v>7.2872506985327414E-21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466.75323833427217</v>
      </c>
      <c r="AO161" s="62">
        <f t="shared" si="144"/>
        <v>293.88550076209378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0.2625537103309008</v>
      </c>
      <c r="AW161" s="23">
        <f>EXP(-LN(2)/2)*AW160+(1-EXP(-LN(2)/2))/(LN(2)/2)*AQ161*AT161*VLOOKUP('Données projet'!$B$10,Paramètres!$A$1:$I$89,3,0)*0.475*44/12</f>
        <v>8.082605030449351E-19</v>
      </c>
      <c r="AX161" s="23">
        <f t="shared" si="166"/>
        <v>0.2625537103309008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68.47741055388687</v>
      </c>
      <c r="BJ161" s="62">
        <f t="shared" si="146"/>
        <v>335.34467252166542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4.076383996346677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3.3680189096739574E-20</v>
      </c>
      <c r="BS161" s="24">
        <f t="shared" si="169"/>
        <v>4.076383996346677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3.3992364478763198E-14</v>
      </c>
      <c r="CA161" s="14">
        <f t="shared" si="170"/>
        <v>5.790027782444094E-13</v>
      </c>
      <c r="CB161" s="22">
        <f t="shared" si="171"/>
        <v>1.0676332069095257E-12</v>
      </c>
      <c r="CC161" s="62">
        <f t="shared" si="119"/>
        <v>288.5996298656753</v>
      </c>
      <c r="CD161" s="62">
        <f ca="1">AVERAGE(OFFSET($CC$3,0,0,'Données projet'!$E$12+1,1))-AVERAGE(OFFSET($H$3,0,0,'Données projet'!$E$12+1,1))</f>
        <v>211.76609132110815</v>
      </c>
      <c r="CE161" s="62">
        <f t="shared" si="148"/>
        <v>363.07965692095752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0.78300693910096419</v>
      </c>
      <c r="CL161" s="23">
        <f>EXP(-LN(2)/25)*CL160+(1-EXP(-LN(2)/25))/(LN(2)/25)*Calculateur!CG161*Calculateur!CI161*VLOOKUP('Données projet'!$B$12,Paramètres!$A$1:$I$89,3,0)*0.475*44/12</f>
        <v>0.15642955665529668</v>
      </c>
      <c r="CM161" s="23">
        <f>EXP(-LN(2)/2)*CM160+(1-EXP(-LN(2)/2))/(LN(2)/2)*CG161*CJ161*VLOOKUP('Données projet'!$B$12,Paramètres!$A$1:$I$89,3,0)*0.475*44/12</f>
        <v>1.2782277381181534E-19</v>
      </c>
      <c r="CN161" s="24">
        <f t="shared" si="172"/>
        <v>0.93943649575626087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-5.1431925385259088E-14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374.91250349988451</v>
      </c>
      <c r="CZ161" s="62">
        <f t="shared" si="150"/>
        <v>529.46825265662869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0.83902489367813837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0.83902489367813837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4.9658410716801891E-14</v>
      </c>
      <c r="DQ161" s="14">
        <f t="shared" si="176"/>
        <v>8.0934058173791862E-13</v>
      </c>
      <c r="DR161" s="22">
        <f t="shared" si="177"/>
        <v>1.4960899118586383E-12</v>
      </c>
      <c r="DS161" s="62">
        <f t="shared" si="125"/>
        <v>288.59962986567569</v>
      </c>
      <c r="DT161" s="62">
        <f ca="1">AVERAGE(OFFSET($DS$3,0,0,'Données projet'!$E$14+1,1))-AVERAGE(OFFSET($H$3,0,0,'Données projet'!$E$14+1,1))</f>
        <v>289.18543665577761</v>
      </c>
      <c r="DU161" s="62">
        <f t="shared" si="152"/>
        <v>291.40065947222843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0.32016248947165299</v>
      </c>
      <c r="EC161" s="23">
        <f>EXP(-LN(2)/2)*EC160+(1-EXP(-LN(2)/2))/(LN(2)/2)*DW161*DZ161*VLOOKUP('Données projet'!$B$14,Paramètres!$A$1:$I$89,3,0)*0.475*44/12</f>
        <v>5.6739543540620732E-19</v>
      </c>
      <c r="ED161" s="24">
        <f t="shared" si="178"/>
        <v>0.32016248947165299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514.72748286045442</v>
      </c>
      <c r="EP161" s="62">
        <f t="shared" si="154"/>
        <v>322.28702110656116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0.29424122709497497</v>
      </c>
      <c r="EX161" s="23">
        <f>EXP(-LN(2)/2)*EX160+(1-EXP(-LN(2)/2))/(LN(2)/2)*ER161*EU161*VLOOKUP('Données projet'!$B$15,Paramètres!$A$1:$I$89,3,0)*0.475*44/12</f>
        <v>9.0580918444690845E-19</v>
      </c>
      <c r="EY161" s="24">
        <f t="shared" si="181"/>
        <v>0.29424122709497497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68.708989963365696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4.0999999999999996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15.033333333333331</v>
      </c>
      <c r="H162" s="70">
        <f t="shared" si="110"/>
        <v>196.53333333333333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70.794576398719499</v>
      </c>
      <c r="T162" s="62">
        <f t="shared" si="142"/>
        <v>328.91236364911629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5.1528643851389069E-21</v>
      </c>
      <c r="AC162" s="24">
        <f t="shared" si="163"/>
        <v>5.1528643851389069E-21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466.75323833427217</v>
      </c>
      <c r="AO162" s="62">
        <f t="shared" si="144"/>
        <v>293.88550076209378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0.25537416531480278</v>
      </c>
      <c r="AW162" s="23">
        <f>EXP(-LN(2)/2)*AW161+(1-EXP(-LN(2)/2))/(LN(2)/2)*AQ162*AT162*VLOOKUP('Données projet'!$B$10,Paramètres!$A$1:$I$89,3,0)*0.475*44/12</f>
        <v>5.7152648266832375E-19</v>
      </c>
      <c r="AX162" s="23">
        <f t="shared" si="166"/>
        <v>0.25537416531480278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68.47741055388687</v>
      </c>
      <c r="BJ162" s="62">
        <f t="shared" si="146"/>
        <v>335.34467252166542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3.9964485925270501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2.3815490101949774E-20</v>
      </c>
      <c r="BS162" s="24">
        <f t="shared" si="169"/>
        <v>3.9964485925270501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3.3992364478763198E-14</v>
      </c>
      <c r="CA162" s="14">
        <f t="shared" si="170"/>
        <v>5.790027782444094E-13</v>
      </c>
      <c r="CB162" s="22">
        <f t="shared" si="171"/>
        <v>1.0676332069095257E-12</v>
      </c>
      <c r="CC162" s="62">
        <f t="shared" si="119"/>
        <v>288.68174903786365</v>
      </c>
      <c r="CD162" s="62">
        <f ca="1">AVERAGE(OFFSET($CC$3,0,0,'Données projet'!$E$12+1,1))-AVERAGE(OFFSET($H$3,0,0,'Données projet'!$E$12+1,1))</f>
        <v>211.76609132110815</v>
      </c>
      <c r="CE162" s="62">
        <f t="shared" si="148"/>
        <v>363.07965692095752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0.76765265061226928</v>
      </c>
      <c r="CL162" s="23">
        <f>EXP(-LN(2)/25)*CL161+(1-EXP(-LN(2)/25))/(LN(2)/25)*Calculateur!CG162*Calculateur!CI162*VLOOKUP('Données projet'!$B$12,Paramètres!$A$1:$I$89,3,0)*0.475*44/12</f>
        <v>0.15215198220228474</v>
      </c>
      <c r="CM162" s="23">
        <f>EXP(-LN(2)/2)*CM161+(1-EXP(-LN(2)/2))/(LN(2)/2)*CG162*CJ162*VLOOKUP('Données projet'!$B$12,Paramètres!$A$1:$I$89,3,0)*0.475*44/12</f>
        <v>9.0384350152408869E-20</v>
      </c>
      <c r="CN162" s="24">
        <f t="shared" si="172"/>
        <v>0.91980463281455405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-5.1431925385259088E-14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374.91250349988451</v>
      </c>
      <c r="CZ162" s="62">
        <f t="shared" si="150"/>
        <v>529.46825265662869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0.82257212726776363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0.82257212726776363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4.9658410716801891E-14</v>
      </c>
      <c r="DQ162" s="14">
        <f t="shared" si="176"/>
        <v>8.0934058173791862E-13</v>
      </c>
      <c r="DR162" s="22">
        <f t="shared" si="177"/>
        <v>1.4960899118586383E-12</v>
      </c>
      <c r="DS162" s="62">
        <f t="shared" si="125"/>
        <v>288.68174903786405</v>
      </c>
      <c r="DT162" s="62">
        <f ca="1">AVERAGE(OFFSET($DS$3,0,0,'Données projet'!$E$14+1,1))-AVERAGE(OFFSET($H$3,0,0,'Données projet'!$E$14+1,1))</f>
        <v>289.18543665577761</v>
      </c>
      <c r="DU162" s="62">
        <f t="shared" si="152"/>
        <v>291.40065947222843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0.31140762936043703</v>
      </c>
      <c r="EC162" s="23">
        <f>EXP(-LN(2)/2)*EC161+(1-EXP(-LN(2)/2))/(LN(2)/2)*DW162*DZ162*VLOOKUP('Données projet'!$B$14,Paramètres!$A$1:$I$89,3,0)*0.475*44/12</f>
        <v>4.0120915999002291E-19</v>
      </c>
      <c r="ED162" s="24">
        <f t="shared" si="178"/>
        <v>0.31140762936043703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514.72748286045442</v>
      </c>
      <c r="EP162" s="62">
        <f t="shared" si="154"/>
        <v>322.28702110656116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0.28619518526658921</v>
      </c>
      <c r="EX162" s="23">
        <f>EXP(-LN(2)/2)*EX161+(1-EXP(-LN(2)/2))/(LN(2)/2)*ER162*EU162*VLOOKUP('Données projet'!$B$15,Paramètres!$A$1:$I$89,3,0)*0.475*44/12</f>
        <v>6.4050381678346517E-19</v>
      </c>
      <c r="EY162" s="24">
        <f t="shared" si="181"/>
        <v>0.28619518526658921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68.731386101235245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4.0999999999999996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15.033333333333331</v>
      </c>
      <c r="H163" s="70">
        <f t="shared" si="110"/>
        <v>196.53333333333333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70.794576398719499</v>
      </c>
      <c r="T163" s="62">
        <f t="shared" si="142"/>
        <v>328.91236364911629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3.6436253492663707E-21</v>
      </c>
      <c r="AC163" s="24">
        <f t="shared" si="163"/>
        <v>3.6436253492663707E-21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466.75323833427217</v>
      </c>
      <c r="AO163" s="62">
        <f t="shared" si="144"/>
        <v>293.88550076209378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0.2483909453347258</v>
      </c>
      <c r="AW163" s="23">
        <f>EXP(-LN(2)/2)*AW162+(1-EXP(-LN(2)/2))/(LN(2)/2)*AQ163*AT163*VLOOKUP('Données projet'!$B$10,Paramètres!$A$1:$I$89,3,0)*0.475*44/12</f>
        <v>4.0413025152246755E-19</v>
      </c>
      <c r="AX163" s="23">
        <f t="shared" si="166"/>
        <v>0.2483909453347258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68.47741055388687</v>
      </c>
      <c r="BJ163" s="62">
        <f t="shared" si="146"/>
        <v>335.34467252166542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3.918080673220544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1.6840094548369787E-20</v>
      </c>
      <c r="BS163" s="24">
        <f t="shared" si="169"/>
        <v>3.918080673220544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3.3992364478763198E-14</v>
      </c>
      <c r="CA163" s="14">
        <f t="shared" si="170"/>
        <v>5.790027782444094E-13</v>
      </c>
      <c r="CB163" s="22">
        <f t="shared" si="171"/>
        <v>1.0676332069095257E-12</v>
      </c>
      <c r="CC163" s="62">
        <f t="shared" si="119"/>
        <v>288.76244362600551</v>
      </c>
      <c r="CD163" s="62">
        <f ca="1">AVERAGE(OFFSET($CC$3,0,0,'Données projet'!$E$12+1,1))-AVERAGE(OFFSET($H$3,0,0,'Données projet'!$E$12+1,1))</f>
        <v>211.76609132110815</v>
      </c>
      <c r="CE163" s="62">
        <f t="shared" si="148"/>
        <v>363.07965692095752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0.75259945035564646</v>
      </c>
      <c r="CL163" s="23">
        <f>EXP(-LN(2)/25)*CL162+(1-EXP(-LN(2)/25))/(LN(2)/25)*Calculateur!CG163*Calculateur!CI163*VLOOKUP('Données projet'!$B$12,Paramètres!$A$1:$I$89,3,0)*0.475*44/12</f>
        <v>0.14799137824763825</v>
      </c>
      <c r="CM163" s="23">
        <f>EXP(-LN(2)/2)*CM162+(1-EXP(-LN(2)/2))/(LN(2)/2)*CG163*CJ163*VLOOKUP('Données projet'!$B$12,Paramètres!$A$1:$I$89,3,0)*0.475*44/12</f>
        <v>6.391138690590767E-20</v>
      </c>
      <c r="CN163" s="24">
        <f t="shared" si="172"/>
        <v>0.90059082860328465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-5.1431925385259088E-14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374.91250349988451</v>
      </c>
      <c r="CZ163" s="62">
        <f t="shared" si="150"/>
        <v>529.46825265662869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0.80644198957149971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0.80644198957149971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4.9658410716801891E-14</v>
      </c>
      <c r="DQ163" s="14">
        <f t="shared" si="176"/>
        <v>8.0934058173791862E-13</v>
      </c>
      <c r="DR163" s="22">
        <f t="shared" si="177"/>
        <v>1.4960899118586383E-12</v>
      </c>
      <c r="DS163" s="62">
        <f t="shared" si="125"/>
        <v>288.7624436260059</v>
      </c>
      <c r="DT163" s="62">
        <f ca="1">AVERAGE(OFFSET($DS$3,0,0,'Données projet'!$E$14+1,1))-AVERAGE(OFFSET($H$3,0,0,'Données projet'!$E$14+1,1))</f>
        <v>289.18543665577761</v>
      </c>
      <c r="DU163" s="62">
        <f t="shared" si="152"/>
        <v>291.40065947222843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0.30289217135936036</v>
      </c>
      <c r="EC163" s="23">
        <f>EXP(-LN(2)/2)*EC162+(1-EXP(-LN(2)/2))/(LN(2)/2)*DW163*DZ163*VLOOKUP('Données projet'!$B$14,Paramètres!$A$1:$I$89,3,0)*0.475*44/12</f>
        <v>2.8369771770310366E-19</v>
      </c>
      <c r="ED163" s="24">
        <f t="shared" si="178"/>
        <v>0.30289217135936036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514.72748286045442</v>
      </c>
      <c r="EP163" s="62">
        <f t="shared" si="154"/>
        <v>322.28702110656116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0.27836916287512364</v>
      </c>
      <c r="EX163" s="23">
        <f>EXP(-LN(2)/2)*EX162+(1-EXP(-LN(2)/2))/(LN(2)/2)*ER163*EU163*VLOOKUP('Données projet'!$B$15,Paramètres!$A$1:$I$89,3,0)*0.475*44/12</f>
        <v>4.5290459222345423E-19</v>
      </c>
      <c r="EY163" s="24">
        <f t="shared" si="181"/>
        <v>0.27836916287512364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68.753393716183027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4.0999999999999996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15.033333333333331</v>
      </c>
      <c r="H164" s="70">
        <f t="shared" si="110"/>
        <v>196.53333333333333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70.794576398719499</v>
      </c>
      <c r="T164" s="62">
        <f t="shared" si="142"/>
        <v>328.91236364911629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2.5764321925694534E-21</v>
      </c>
      <c r="AC164" s="24">
        <f t="shared" si="163"/>
        <v>2.5764321925694534E-21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466.75323833427217</v>
      </c>
      <c r="AO164" s="62">
        <f t="shared" si="144"/>
        <v>293.88550076209378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0.24159868187223563</v>
      </c>
      <c r="AW164" s="23">
        <f>EXP(-LN(2)/2)*AW163+(1-EXP(-LN(2)/2))/(LN(2)/2)*AQ164*AT164*VLOOKUP('Données projet'!$B$10,Paramètres!$A$1:$I$89,3,0)*0.475*44/12</f>
        <v>2.8576324133416187E-19</v>
      </c>
      <c r="AX164" s="23">
        <f t="shared" si="166"/>
        <v>0.24159868187223563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68.47741055388687</v>
      </c>
      <c r="BJ164" s="62">
        <f t="shared" si="146"/>
        <v>335.34467252166542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3.8412495010119274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1.1907745050974887E-20</v>
      </c>
      <c r="BS164" s="24">
        <f t="shared" si="169"/>
        <v>3.8412495010119274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3.3992364478763198E-14</v>
      </c>
      <c r="CA164" s="14">
        <f t="shared" si="170"/>
        <v>5.790027782444094E-13</v>
      </c>
      <c r="CB164" s="22">
        <f t="shared" si="171"/>
        <v>1.0676332069095257E-12</v>
      </c>
      <c r="CC164" s="62">
        <f t="shared" si="119"/>
        <v>288.84173834344921</v>
      </c>
      <c r="CD164" s="62">
        <f ca="1">AVERAGE(OFFSET($CC$3,0,0,'Données projet'!$E$12+1,1))-AVERAGE(OFFSET($H$3,0,0,'Données projet'!$E$12+1,1))</f>
        <v>211.76609132110815</v>
      </c>
      <c r="CE164" s="62">
        <f t="shared" si="148"/>
        <v>363.07965692095752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0.73784143417451054</v>
      </c>
      <c r="CL164" s="23">
        <f>EXP(-LN(2)/25)*CL163+(1-EXP(-LN(2)/25))/(LN(2)/25)*Calculateur!CG164*Calculateur!CI164*VLOOKUP('Données projet'!$B$12,Paramètres!$A$1:$I$89,3,0)*0.475*44/12</f>
        <v>0.14394454622692823</v>
      </c>
      <c r="CM164" s="23">
        <f>EXP(-LN(2)/2)*CM163+(1-EXP(-LN(2)/2))/(LN(2)/2)*CG164*CJ164*VLOOKUP('Données projet'!$B$12,Paramètres!$A$1:$I$89,3,0)*0.475*44/12</f>
        <v>4.5192175076204434E-20</v>
      </c>
      <c r="CN164" s="24">
        <f t="shared" si="172"/>
        <v>0.88178598040143874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-5.1431925385259088E-14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374.91250349988451</v>
      </c>
      <c r="CZ164" s="62">
        <f t="shared" si="150"/>
        <v>529.46825265662869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0.790628154037047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0.790628154037047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4.9658410716801891E-14</v>
      </c>
      <c r="DQ164" s="14">
        <f t="shared" si="176"/>
        <v>8.0934058173791862E-13</v>
      </c>
      <c r="DR164" s="22">
        <f t="shared" si="177"/>
        <v>1.4960899118586383E-12</v>
      </c>
      <c r="DS164" s="62">
        <f t="shared" si="125"/>
        <v>288.84173834344961</v>
      </c>
      <c r="DT164" s="62">
        <f ca="1">AVERAGE(OFFSET($DS$3,0,0,'Données projet'!$E$14+1,1))-AVERAGE(OFFSET($H$3,0,0,'Données projet'!$E$14+1,1))</f>
        <v>289.18543665577761</v>
      </c>
      <c r="DU164" s="62">
        <f t="shared" si="152"/>
        <v>291.40065947222843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0.29460956900513163</v>
      </c>
      <c r="EC164" s="23">
        <f>EXP(-LN(2)/2)*EC163+(1-EXP(-LN(2)/2))/(LN(2)/2)*DW164*DZ164*VLOOKUP('Données projet'!$B$14,Paramètres!$A$1:$I$89,3,0)*0.475*44/12</f>
        <v>2.0060457999501145E-19</v>
      </c>
      <c r="ED164" s="24">
        <f t="shared" si="178"/>
        <v>0.29460956900513163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514.72748286045442</v>
      </c>
      <c r="EP164" s="62">
        <f t="shared" si="154"/>
        <v>322.28702110656116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0.27075714347750535</v>
      </c>
      <c r="EX164" s="23">
        <f>EXP(-LN(2)/2)*EX163+(1-EXP(-LN(2)/2))/(LN(2)/2)*ER164*EU164*VLOOKUP('Données projet'!$B$15,Paramètres!$A$1:$I$89,3,0)*0.475*44/12</f>
        <v>3.2025190839173258E-19</v>
      </c>
      <c r="EY164" s="24">
        <f t="shared" si="181"/>
        <v>0.27075714347750535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68.775019548213123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4.0999999999999996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15.033333333333331</v>
      </c>
      <c r="H165" s="70">
        <f t="shared" si="110"/>
        <v>196.53333333333333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70.794576398719499</v>
      </c>
      <c r="T165" s="62">
        <f t="shared" si="142"/>
        <v>328.91236364911629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1.8218126746331853E-21</v>
      </c>
      <c r="AC165" s="24">
        <f t="shared" si="163"/>
        <v>1.8218126746331853E-21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466.75323833427217</v>
      </c>
      <c r="AO165" s="62">
        <f t="shared" si="144"/>
        <v>293.88550076209378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0.23499215321131683</v>
      </c>
      <c r="AW165" s="23">
        <f>EXP(-LN(2)/2)*AW164+(1-EXP(-LN(2)/2))/(LN(2)/2)*AQ165*AT165*VLOOKUP('Données projet'!$B$10,Paramètres!$A$1:$I$89,3,0)*0.475*44/12</f>
        <v>2.0206512576123377E-19</v>
      </c>
      <c r="AX165" s="23">
        <f t="shared" si="166"/>
        <v>0.23499215321131683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68.47741055388687</v>
      </c>
      <c r="BJ165" s="62">
        <f t="shared" si="146"/>
        <v>335.34467252166542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3.7659249412279339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8.4200472741848935E-21</v>
      </c>
      <c r="BS165" s="24">
        <f t="shared" si="169"/>
        <v>3.7659249412279339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3.3992364478763198E-14</v>
      </c>
      <c r="CA165" s="14">
        <f t="shared" si="170"/>
        <v>5.790027782444094E-13</v>
      </c>
      <c r="CB165" s="22">
        <f t="shared" si="171"/>
        <v>1.0676332069095257E-12</v>
      </c>
      <c r="CC165" s="62">
        <f t="shared" si="119"/>
        <v>288.91965747482169</v>
      </c>
      <c r="CD165" s="62">
        <f ca="1">AVERAGE(OFFSET($CC$3,0,0,'Données projet'!$E$12+1,1))-AVERAGE(OFFSET($H$3,0,0,'Données projet'!$E$12+1,1))</f>
        <v>211.76609132110815</v>
      </c>
      <c r="CE165" s="62">
        <f t="shared" si="148"/>
        <v>363.07965692095752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0.7233728136891856</v>
      </c>
      <c r="CL165" s="23">
        <f>EXP(-LN(2)/25)*CL164+(1-EXP(-LN(2)/25))/(LN(2)/25)*Calculateur!CG165*Calculateur!CI165*VLOOKUP('Données projet'!$B$12,Paramètres!$A$1:$I$89,3,0)*0.475*44/12</f>
        <v>0.14000837504063818</v>
      </c>
      <c r="CM165" s="23">
        <f>EXP(-LN(2)/2)*CM164+(1-EXP(-LN(2)/2))/(LN(2)/2)*CG165*CJ165*VLOOKUP('Données projet'!$B$12,Paramètres!$A$1:$I$89,3,0)*0.475*44/12</f>
        <v>3.1955693452953835E-20</v>
      </c>
      <c r="CN165" s="24">
        <f t="shared" si="172"/>
        <v>0.86338118872982372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-5.1431925385259088E-14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374.91250349988451</v>
      </c>
      <c r="CZ165" s="62">
        <f t="shared" si="150"/>
        <v>529.46825265662869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0.77512441817193767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0.77512441817193767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4.9658410716801891E-14</v>
      </c>
      <c r="DQ165" s="14">
        <f t="shared" si="176"/>
        <v>8.0934058173791862E-13</v>
      </c>
      <c r="DR165" s="22">
        <f t="shared" si="177"/>
        <v>1.4960899118586383E-12</v>
      </c>
      <c r="DS165" s="62">
        <f t="shared" si="125"/>
        <v>288.91965747482209</v>
      </c>
      <c r="DT165" s="62">
        <f ca="1">AVERAGE(OFFSET($DS$3,0,0,'Données projet'!$E$14+1,1))-AVERAGE(OFFSET($H$3,0,0,'Données projet'!$E$14+1,1))</f>
        <v>289.18543665577761</v>
      </c>
      <c r="DU165" s="62">
        <f t="shared" si="152"/>
        <v>291.40065947222843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0.28655345484784239</v>
      </c>
      <c r="EC165" s="23">
        <f>EXP(-LN(2)/2)*EC164+(1-EXP(-LN(2)/2))/(LN(2)/2)*DW165*DZ165*VLOOKUP('Données projet'!$B$14,Paramètres!$A$1:$I$89,3,0)*0.475*44/12</f>
        <v>1.4184885885155183E-19</v>
      </c>
      <c r="ED165" s="24">
        <f t="shared" si="178"/>
        <v>0.28655345484784239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514.72748286045442</v>
      </c>
      <c r="EP165" s="62">
        <f t="shared" si="154"/>
        <v>322.28702110656116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0.26335327515061363</v>
      </c>
      <c r="EX165" s="23">
        <f>EXP(-LN(2)/2)*EX164+(1-EXP(-LN(2)/2))/(LN(2)/2)*ER165*EU165*VLOOKUP('Données projet'!$B$15,Paramètres!$A$1:$I$89,3,0)*0.475*44/12</f>
        <v>2.2645229611172711E-19</v>
      </c>
      <c r="EY165" s="24">
        <f t="shared" si="181"/>
        <v>0.26335327515061363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68.796270220405617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4.0999999999999996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15.033333333333331</v>
      </c>
      <c r="H166" s="70">
        <f t="shared" si="110"/>
        <v>196.53333333333333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70.794576398719499</v>
      </c>
      <c r="T166" s="62">
        <f t="shared" si="142"/>
        <v>328.91236364911629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1.2882160962847267E-21</v>
      </c>
      <c r="AC166" s="24">
        <f t="shared" si="163"/>
        <v>1.2882160962847267E-21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466.75323833427217</v>
      </c>
      <c r="AO166" s="62">
        <f t="shared" si="144"/>
        <v>293.88550076209378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0.22856628042405311</v>
      </c>
      <c r="AW166" s="23">
        <f>EXP(-LN(2)/2)*AW165+(1-EXP(-LN(2)/2))/(LN(2)/2)*AQ166*AT166*VLOOKUP('Données projet'!$B$10,Paramètres!$A$1:$I$89,3,0)*0.475*44/12</f>
        <v>1.4288162066708094E-19</v>
      </c>
      <c r="AX166" s="23">
        <f t="shared" si="166"/>
        <v>0.22856628042405311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68.47741055388687</v>
      </c>
      <c r="BJ166" s="62">
        <f t="shared" si="146"/>
        <v>335.34467252166542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3.6920774501178597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5.9538725254874435E-21</v>
      </c>
      <c r="BS166" s="24">
        <f t="shared" si="169"/>
        <v>3.6920774501178597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3.3992364478763198E-14</v>
      </c>
      <c r="CA166" s="14">
        <f t="shared" si="170"/>
        <v>5.790027782444094E-13</v>
      </c>
      <c r="CB166" s="22">
        <f t="shared" si="171"/>
        <v>1.0676332069095257E-12</v>
      </c>
      <c r="CC166" s="62">
        <f t="shared" si="119"/>
        <v>288.99622488346586</v>
      </c>
      <c r="CD166" s="62">
        <f ca="1">AVERAGE(OFFSET($CC$3,0,0,'Données projet'!$E$12+1,1))-AVERAGE(OFFSET($H$3,0,0,'Données projet'!$E$12+1,1))</f>
        <v>211.76609132110815</v>
      </c>
      <c r="CE166" s="62">
        <f t="shared" si="148"/>
        <v>363.07965692095752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0.70918791402659076</v>
      </c>
      <c r="CL166" s="23">
        <f>EXP(-LN(2)/25)*CL165+(1-EXP(-LN(2)/25))/(LN(2)/25)*Calculateur!CG166*Calculateur!CI166*VLOOKUP('Données projet'!$B$12,Paramètres!$A$1:$I$89,3,0)*0.475*44/12</f>
        <v>0.13617983866243147</v>
      </c>
      <c r="CM166" s="23">
        <f>EXP(-LN(2)/2)*CM165+(1-EXP(-LN(2)/2))/(LN(2)/2)*CG166*CJ166*VLOOKUP('Données projet'!$B$12,Paramètres!$A$1:$I$89,3,0)*0.475*44/12</f>
        <v>2.2596087538102217E-20</v>
      </c>
      <c r="CN166" s="24">
        <f t="shared" si="172"/>
        <v>0.8453677526890222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-5.1431925385259088E-14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374.91250349988451</v>
      </c>
      <c r="CZ166" s="62">
        <f t="shared" si="150"/>
        <v>529.46825265662869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0.75992470111079802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0.75992470111079802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4.9658410716801891E-14</v>
      </c>
      <c r="DQ166" s="14">
        <f t="shared" si="176"/>
        <v>8.0934058173791862E-13</v>
      </c>
      <c r="DR166" s="22">
        <f t="shared" si="177"/>
        <v>1.4960899118586383E-12</v>
      </c>
      <c r="DS166" s="62">
        <f t="shared" si="125"/>
        <v>288.99622488346625</v>
      </c>
      <c r="DT166" s="62">
        <f ca="1">AVERAGE(OFFSET($DS$3,0,0,'Données projet'!$E$14+1,1))-AVERAGE(OFFSET($H$3,0,0,'Données projet'!$E$14+1,1))</f>
        <v>289.18543665577761</v>
      </c>
      <c r="DU166" s="62">
        <f t="shared" si="152"/>
        <v>291.40065947222843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0.2787176355558369</v>
      </c>
      <c r="EC166" s="23">
        <f>EXP(-LN(2)/2)*EC165+(1-EXP(-LN(2)/2))/(LN(2)/2)*DW166*DZ166*VLOOKUP('Données projet'!$B$14,Paramètres!$A$1:$I$89,3,0)*0.475*44/12</f>
        <v>1.0030228999750573E-19</v>
      </c>
      <c r="ED166" s="24">
        <f t="shared" si="178"/>
        <v>0.2787176355558369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514.72748286045442</v>
      </c>
      <c r="EP166" s="62">
        <f t="shared" si="154"/>
        <v>322.28702110656116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0.25615186599247325</v>
      </c>
      <c r="EX166" s="23">
        <f>EXP(-LN(2)/2)*EX165+(1-EXP(-LN(2)/2))/(LN(2)/2)*ER166*EU166*VLOOKUP('Données projet'!$B$15,Paramètres!$A$1:$I$89,3,0)*0.475*44/12</f>
        <v>1.6012595419586629E-19</v>
      </c>
      <c r="EY166" s="24">
        <f t="shared" si="181"/>
        <v>0.25615186599247325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68.817152240944949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4.0999999999999996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15.033333333333331</v>
      </c>
      <c r="H167" s="70">
        <f t="shared" si="110"/>
        <v>196.53333333333333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70.794576398719499</v>
      </c>
      <c r="T167" s="62">
        <f t="shared" si="142"/>
        <v>328.91236364911629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9.1090633731659267E-22</v>
      </c>
      <c r="AC167" s="24">
        <f t="shared" si="163"/>
        <v>9.1090633731659267E-22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466.75323833427217</v>
      </c>
      <c r="AO167" s="62">
        <f t="shared" si="144"/>
        <v>293.88550076209378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0.2223161234660791</v>
      </c>
      <c r="AW167" s="23">
        <f>EXP(-LN(2)/2)*AW166+(1-EXP(-LN(2)/2))/(LN(2)/2)*AQ167*AT167*VLOOKUP('Données projet'!$B$10,Paramètres!$A$1:$I$89,3,0)*0.475*44/12</f>
        <v>1.0103256288061689E-19</v>
      </c>
      <c r="AX167" s="23">
        <f t="shared" si="166"/>
        <v>0.2223161234660791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68.47741055388687</v>
      </c>
      <c r="BJ167" s="62">
        <f t="shared" si="146"/>
        <v>335.34467252166542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3.619678063265932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4.2100236370924467E-21</v>
      </c>
      <c r="BS167" s="24">
        <f t="shared" si="169"/>
        <v>3.619678063265932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3.3992364478763198E-14</v>
      </c>
      <c r="CA167" s="14">
        <f t="shared" si="170"/>
        <v>5.790027782444094E-13</v>
      </c>
      <c r="CB167" s="22">
        <f t="shared" si="171"/>
        <v>1.0676332069095257E-12</v>
      </c>
      <c r="CC167" s="62">
        <f t="shared" si="119"/>
        <v>289.07146401874923</v>
      </c>
      <c r="CD167" s="62">
        <f ca="1">AVERAGE(OFFSET($CC$3,0,0,'Données projet'!$E$12+1,1))-AVERAGE(OFFSET($H$3,0,0,'Données projet'!$E$12+1,1))</f>
        <v>211.76609132110815</v>
      </c>
      <c r="CE167" s="62">
        <f t="shared" si="148"/>
        <v>363.07965692095752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0.69528117159444491</v>
      </c>
      <c r="CL167" s="23">
        <f>EXP(-LN(2)/25)*CL166+(1-EXP(-LN(2)/25))/(LN(2)/25)*Calculateur!CG167*Calculateur!CI167*VLOOKUP('Données projet'!$B$12,Paramètres!$A$1:$I$89,3,0)*0.475*44/12</f>
        <v>0.1324559938128208</v>
      </c>
      <c r="CM167" s="23">
        <f>EXP(-LN(2)/2)*CM166+(1-EXP(-LN(2)/2))/(LN(2)/2)*CG167*CJ167*VLOOKUP('Données projet'!$B$12,Paramètres!$A$1:$I$89,3,0)*0.475*44/12</f>
        <v>1.5977846726476918E-20</v>
      </c>
      <c r="CN167" s="24">
        <f t="shared" si="172"/>
        <v>0.82773716540726572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-5.1431925385259088E-14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374.91250349988451</v>
      </c>
      <c r="CZ167" s="62">
        <f t="shared" si="150"/>
        <v>529.46825265662869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0.74502304123031526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0.74502304123031526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4.9658410716801891E-14</v>
      </c>
      <c r="DQ167" s="14">
        <f t="shared" si="176"/>
        <v>8.0934058173791862E-13</v>
      </c>
      <c r="DR167" s="22">
        <f t="shared" si="177"/>
        <v>1.4960899118586383E-12</v>
      </c>
      <c r="DS167" s="62">
        <f t="shared" si="125"/>
        <v>289.07146401874962</v>
      </c>
      <c r="DT167" s="62">
        <f ca="1">AVERAGE(OFFSET($DS$3,0,0,'Données projet'!$E$14+1,1))-AVERAGE(OFFSET($H$3,0,0,'Données projet'!$E$14+1,1))</f>
        <v>289.18543665577761</v>
      </c>
      <c r="DU167" s="62">
        <f t="shared" si="152"/>
        <v>291.40065947222843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0.27109608715443911</v>
      </c>
      <c r="EC167" s="23">
        <f>EXP(-LN(2)/2)*EC166+(1-EXP(-LN(2)/2))/(LN(2)/2)*DW167*DZ167*VLOOKUP('Données projet'!$B$14,Paramètres!$A$1:$I$89,3,0)*0.475*44/12</f>
        <v>7.0924429425775916E-20</v>
      </c>
      <c r="ED167" s="24">
        <f t="shared" si="178"/>
        <v>0.27109608715443911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514.72748286045442</v>
      </c>
      <c r="EP167" s="62">
        <f t="shared" si="154"/>
        <v>322.28702110656116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0.24914737974646789</v>
      </c>
      <c r="EX167" s="23">
        <f>EXP(-LN(2)/2)*EX166+(1-EXP(-LN(2)/2))/(LN(2)/2)*ER167*EU167*VLOOKUP('Données projet'!$B$15,Paramètres!$A$1:$I$89,3,0)*0.475*44/12</f>
        <v>1.1322614805586356E-19</v>
      </c>
      <c r="EY167" s="24">
        <f t="shared" si="181"/>
        <v>0.24914737974646789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68.837672005113134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4.0999999999999996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15.033333333333331</v>
      </c>
      <c r="H168" s="70">
        <f t="shared" si="110"/>
        <v>196.53333333333333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70.794576398719499</v>
      </c>
      <c r="T168" s="62">
        <f t="shared" si="142"/>
        <v>328.91236364911629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6.4410804814236336E-22</v>
      </c>
      <c r="AC168" s="24">
        <f t="shared" si="163"/>
        <v>6.4410804814236336E-22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466.75323833427217</v>
      </c>
      <c r="AO168" s="62">
        <f t="shared" si="144"/>
        <v>293.88550076209378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0.21623687737880234</v>
      </c>
      <c r="AW168" s="23">
        <f>EXP(-LN(2)/2)*AW167+(1-EXP(-LN(2)/2))/(LN(2)/2)*AQ168*AT168*VLOOKUP('Données projet'!$B$10,Paramètres!$A$1:$I$89,3,0)*0.475*44/12</f>
        <v>7.1440810333540468E-20</v>
      </c>
      <c r="AX168" s="23">
        <f t="shared" si="166"/>
        <v>0.21623687737880234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68.47741055388687</v>
      </c>
      <c r="BJ168" s="62">
        <f t="shared" si="146"/>
        <v>335.34467252166542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3.5486983842309048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2.9769362627437218E-21</v>
      </c>
      <c r="BS168" s="24">
        <f t="shared" si="169"/>
        <v>3.5486983842309048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3.3992364478763198E-14</v>
      </c>
      <c r="CA168" s="14">
        <f t="shared" si="170"/>
        <v>5.790027782444094E-13</v>
      </c>
      <c r="CB168" s="22">
        <f t="shared" si="171"/>
        <v>1.0676332069095257E-12</v>
      </c>
      <c r="CC168" s="62">
        <f t="shared" si="119"/>
        <v>289.1453979232449</v>
      </c>
      <c r="CD168" s="62">
        <f ca="1">AVERAGE(OFFSET($CC$3,0,0,'Données projet'!$E$12+1,1))-AVERAGE(OFFSET($H$3,0,0,'Données projet'!$E$12+1,1))</f>
        <v>211.76609132110815</v>
      </c>
      <c r="CE168" s="62">
        <f t="shared" si="148"/>
        <v>363.07965692095752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0.68164713189911819</v>
      </c>
      <c r="CL168" s="23">
        <f>EXP(-LN(2)/25)*CL167+(1-EXP(-LN(2)/25))/(LN(2)/25)*Calculateur!CG168*Calculateur!CI168*VLOOKUP('Données projet'!$B$12,Paramètres!$A$1:$I$89,3,0)*0.475*44/12</f>
        <v>0.12883397769645125</v>
      </c>
      <c r="CM168" s="23">
        <f>EXP(-LN(2)/2)*CM167+(1-EXP(-LN(2)/2))/(LN(2)/2)*CG168*CJ168*VLOOKUP('Données projet'!$B$12,Paramètres!$A$1:$I$89,3,0)*0.475*44/12</f>
        <v>1.1298043769051109E-20</v>
      </c>
      <c r="CN168" s="24">
        <f t="shared" si="172"/>
        <v>0.8104811095955694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-5.1431925385259088E-14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374.91250349988451</v>
      </c>
      <c r="CZ168" s="62">
        <f t="shared" si="150"/>
        <v>529.46825265662869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0.73041359381097382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0.73041359381097382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4.9658410716801891E-14</v>
      </c>
      <c r="DQ168" s="14">
        <f t="shared" si="176"/>
        <v>8.0934058173791862E-13</v>
      </c>
      <c r="DR168" s="22">
        <f t="shared" si="177"/>
        <v>1.4960899118586383E-12</v>
      </c>
      <c r="DS168" s="62">
        <f t="shared" si="125"/>
        <v>289.1453979232453</v>
      </c>
      <c r="DT168" s="62">
        <f ca="1">AVERAGE(OFFSET($DS$3,0,0,'Données projet'!$E$14+1,1))-AVERAGE(OFFSET($H$3,0,0,'Données projet'!$E$14+1,1))</f>
        <v>289.18543665577761</v>
      </c>
      <c r="DU168" s="62">
        <f t="shared" si="152"/>
        <v>291.40065947222843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0.26368295039487732</v>
      </c>
      <c r="EC168" s="23">
        <f>EXP(-LN(2)/2)*EC167+(1-EXP(-LN(2)/2))/(LN(2)/2)*DW168*DZ168*VLOOKUP('Données projet'!$B$14,Paramètres!$A$1:$I$89,3,0)*0.475*44/12</f>
        <v>5.0151144998752863E-20</v>
      </c>
      <c r="ED168" s="24">
        <f t="shared" si="178"/>
        <v>0.26368295039487732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514.72748286045442</v>
      </c>
      <c r="EP168" s="62">
        <f t="shared" si="154"/>
        <v>322.28702110656116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0.24233443154520945</v>
      </c>
      <c r="EX168" s="23">
        <f>EXP(-LN(2)/2)*EX167+(1-EXP(-LN(2)/2))/(LN(2)/2)*ER168*EU168*VLOOKUP('Données projet'!$B$15,Paramètres!$A$1:$I$89,3,0)*0.475*44/12</f>
        <v>8.0062977097933146E-20</v>
      </c>
      <c r="EY168" s="24">
        <f t="shared" si="181"/>
        <v>0.24233443154520945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68.857835797248313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4.0999999999999996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15.033333333333331</v>
      </c>
      <c r="H169" s="70">
        <f t="shared" si="110"/>
        <v>196.53333333333333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70.794576398719499</v>
      </c>
      <c r="T169" s="62">
        <f t="shared" si="142"/>
        <v>328.91236364911629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4.5545316865829634E-22</v>
      </c>
      <c r="AC169" s="24">
        <f t="shared" si="163"/>
        <v>4.5545316865829634E-22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466.75323833427217</v>
      </c>
      <c r="AO169" s="62">
        <f t="shared" si="144"/>
        <v>293.88550076209378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0.21032386859547583</v>
      </c>
      <c r="AW169" s="23">
        <f>EXP(-LN(2)/2)*AW168+(1-EXP(-LN(2)/2))/(LN(2)/2)*AQ169*AT169*VLOOKUP('Données projet'!$B$10,Paramètres!$A$1:$I$89,3,0)*0.475*44/12</f>
        <v>5.0516281440308444E-20</v>
      </c>
      <c r="AX169" s="23">
        <f t="shared" si="166"/>
        <v>0.21032386859547583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68.47741055388687</v>
      </c>
      <c r="BJ169" s="62">
        <f t="shared" si="146"/>
        <v>335.34467252166542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3.4791105734084251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2.1050118185462234E-21</v>
      </c>
      <c r="BS169" s="24">
        <f t="shared" si="169"/>
        <v>3.4791105734084251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3.3992364478763198E-14</v>
      </c>
      <c r="CA169" s="14">
        <f t="shared" si="170"/>
        <v>5.790027782444094E-13</v>
      </c>
      <c r="CB169" s="22">
        <f t="shared" si="171"/>
        <v>1.0676332069095257E-12</v>
      </c>
      <c r="CC169" s="62">
        <f t="shared" si="119"/>
        <v>289.21804923978902</v>
      </c>
      <c r="CD169" s="62">
        <f ca="1">AVERAGE(OFFSET($CC$3,0,0,'Données projet'!$E$12+1,1))-AVERAGE(OFFSET($H$3,0,0,'Données projet'!$E$12+1,1))</f>
        <v>211.76609132110815</v>
      </c>
      <c r="CE169" s="62">
        <f t="shared" si="148"/>
        <v>363.07965692095752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0.66828044740627368</v>
      </c>
      <c r="CL169" s="23">
        <f>EXP(-LN(2)/25)*CL168+(1-EXP(-LN(2)/25))/(LN(2)/25)*Calculateur!CG169*Calculateur!CI169*VLOOKUP('Données projet'!$B$12,Paramètres!$A$1:$I$89,3,0)*0.475*44/12</f>
        <v>0.12531100580125734</v>
      </c>
      <c r="CM169" s="23">
        <f>EXP(-LN(2)/2)*CM168+(1-EXP(-LN(2)/2))/(LN(2)/2)*CG169*CJ169*VLOOKUP('Données projet'!$B$12,Paramètres!$A$1:$I$89,3,0)*0.475*44/12</f>
        <v>7.9889233632384588E-21</v>
      </c>
      <c r="CN169" s="24">
        <f t="shared" si="172"/>
        <v>0.79359145320753099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-5.1431925385259088E-14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374.91250349988451</v>
      </c>
      <c r="CZ169" s="62">
        <f t="shared" si="150"/>
        <v>529.46825265662869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0.71609062874464258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0.71609062874464258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4.9658410716801891E-14</v>
      </c>
      <c r="DQ169" s="14">
        <f t="shared" si="176"/>
        <v>8.0934058173791862E-13</v>
      </c>
      <c r="DR169" s="22">
        <f t="shared" si="177"/>
        <v>1.4960899118586383E-12</v>
      </c>
      <c r="DS169" s="62">
        <f t="shared" si="125"/>
        <v>289.21804923978942</v>
      </c>
      <c r="DT169" s="62">
        <f ca="1">AVERAGE(OFFSET($DS$3,0,0,'Données projet'!$E$14+1,1))-AVERAGE(OFFSET($H$3,0,0,'Données projet'!$E$14+1,1))</f>
        <v>289.18543665577761</v>
      </c>
      <c r="DU169" s="62">
        <f t="shared" si="152"/>
        <v>291.40065947222843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0.25647252624984568</v>
      </c>
      <c r="EC169" s="23">
        <f>EXP(-LN(2)/2)*EC168+(1-EXP(-LN(2)/2))/(LN(2)/2)*DW169*DZ169*VLOOKUP('Données projet'!$B$14,Paramètres!$A$1:$I$89,3,0)*0.475*44/12</f>
        <v>3.5462214712887958E-20</v>
      </c>
      <c r="ED169" s="24">
        <f t="shared" si="178"/>
        <v>0.25647252624984568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514.72748286045442</v>
      </c>
      <c r="EP169" s="62">
        <f t="shared" si="154"/>
        <v>322.28702110656116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0.2357077837707918</v>
      </c>
      <c r="EX169" s="23">
        <f>EXP(-LN(2)/2)*EX168+(1-EXP(-LN(2)/2))/(LN(2)/2)*ER169*EU169*VLOOKUP('Données projet'!$B$15,Paramètres!$A$1:$I$89,3,0)*0.475*44/12</f>
        <v>5.6613074027931778E-20</v>
      </c>
      <c r="EY169" s="24">
        <f t="shared" si="181"/>
        <v>0.2357077837707918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68.877649792669445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4.0999999999999996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15.033333333333331</v>
      </c>
      <c r="H170" s="70">
        <f t="shared" si="110"/>
        <v>196.53333333333333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70.794576398719499</v>
      </c>
      <c r="T170" s="62">
        <f t="shared" si="142"/>
        <v>328.91236364911629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3.2205402407118168E-22</v>
      </c>
      <c r="AC170" s="24">
        <f t="shared" si="163"/>
        <v>3.2205402407118168E-22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466.75323833427217</v>
      </c>
      <c r="AO170" s="62">
        <f t="shared" si="144"/>
        <v>293.88550076209378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0.20457255134828101</v>
      </c>
      <c r="AW170" s="23">
        <f>EXP(-LN(2)/2)*AW169+(1-EXP(-LN(2)/2))/(LN(2)/2)*AQ170*AT170*VLOOKUP('Données projet'!$B$10,Paramètres!$A$1:$I$89,3,0)*0.475*44/12</f>
        <v>3.5720405166770234E-20</v>
      </c>
      <c r="AX170" s="23">
        <f t="shared" si="166"/>
        <v>0.20457255134828101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68.47741055388687</v>
      </c>
      <c r="BJ170" s="62">
        <f t="shared" si="146"/>
        <v>335.34467252166542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3.4108873371118009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1.4884681313718609E-21</v>
      </c>
      <c r="BS170" s="24">
        <f t="shared" si="169"/>
        <v>3.4108873371118009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3.3992364478763198E-14</v>
      </c>
      <c r="CA170" s="14">
        <f t="shared" si="170"/>
        <v>5.790027782444094E-13</v>
      </c>
      <c r="CB170" s="22">
        <f t="shared" si="171"/>
        <v>1.0676332069095257E-12</v>
      </c>
      <c r="CC170" s="62">
        <f t="shared" si="119"/>
        <v>289.28944021841517</v>
      </c>
      <c r="CD170" s="62">
        <f ca="1">AVERAGE(OFFSET($CC$3,0,0,'Données projet'!$E$12+1,1))-AVERAGE(OFFSET($H$3,0,0,'Données projet'!$E$12+1,1))</f>
        <v>211.76609132110815</v>
      </c>
      <c r="CE170" s="62">
        <f t="shared" si="148"/>
        <v>363.07965692095752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0.65517587544346134</v>
      </c>
      <c r="CL170" s="23">
        <f>EXP(-LN(2)/25)*CL169+(1-EXP(-LN(2)/25))/(LN(2)/25)*Calculateur!CG170*Calculateur!CI170*VLOOKUP('Données projet'!$B$12,Paramètres!$A$1:$I$89,3,0)*0.475*44/12</f>
        <v>0.12188436975780256</v>
      </c>
      <c r="CM170" s="23">
        <f>EXP(-LN(2)/2)*CM169+(1-EXP(-LN(2)/2))/(LN(2)/2)*CG170*CJ170*VLOOKUP('Données projet'!$B$12,Paramètres!$A$1:$I$89,3,0)*0.475*44/12</f>
        <v>5.6490218845255543E-21</v>
      </c>
      <c r="CN170" s="24">
        <f t="shared" si="172"/>
        <v>0.77706024520126393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-5.1431925385259088E-14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374.91250349988451</v>
      </c>
      <c r="CZ170" s="62">
        <f t="shared" si="150"/>
        <v>529.46825265662869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0.70204852828711595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0.70204852828711595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4.9658410716801891E-14</v>
      </c>
      <c r="DQ170" s="14">
        <f t="shared" si="176"/>
        <v>8.0934058173791862E-13</v>
      </c>
      <c r="DR170" s="22">
        <f t="shared" si="177"/>
        <v>1.4960899118586383E-12</v>
      </c>
      <c r="DS170" s="62">
        <f t="shared" si="125"/>
        <v>289.28944021841556</v>
      </c>
      <c r="DT170" s="62">
        <f ca="1">AVERAGE(OFFSET($DS$3,0,0,'Données projet'!$E$14+1,1))-AVERAGE(OFFSET($H$3,0,0,'Données projet'!$E$14+1,1))</f>
        <v>289.18543665577761</v>
      </c>
      <c r="DU170" s="62">
        <f t="shared" si="152"/>
        <v>291.40065947222843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0.24945927153223968</v>
      </c>
      <c r="EC170" s="23">
        <f>EXP(-LN(2)/2)*EC169+(1-EXP(-LN(2)/2))/(LN(2)/2)*DW170*DZ170*VLOOKUP('Données projet'!$B$14,Paramètres!$A$1:$I$89,3,0)*0.475*44/12</f>
        <v>2.5075572499376432E-20</v>
      </c>
      <c r="ED170" s="24">
        <f t="shared" si="178"/>
        <v>0.24945927153223968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514.72748286045442</v>
      </c>
      <c r="EP170" s="62">
        <f t="shared" si="154"/>
        <v>322.28702110656116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0.22926234202824586</v>
      </c>
      <c r="EX170" s="23">
        <f>EXP(-LN(2)/2)*EX169+(1-EXP(-LN(2)/2))/(LN(2)/2)*ER170*EU170*VLOOKUP('Données projet'!$B$15,Paramètres!$A$1:$I$89,3,0)*0.475*44/12</f>
        <v>4.0031488548966573E-20</v>
      </c>
      <c r="EY170" s="24">
        <f t="shared" si="181"/>
        <v>0.22926234202824586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68.89712005956747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4.0999999999999996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15.033333333333331</v>
      </c>
      <c r="H171" s="70">
        <f t="shared" si="110"/>
        <v>196.53333333333333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70.794576398719499</v>
      </c>
      <c r="T171" s="62">
        <f t="shared" si="142"/>
        <v>328.91236364911629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2.2772658432914817E-22</v>
      </c>
      <c r="AC171" s="24">
        <f t="shared" si="163"/>
        <v>2.2772658432914817E-22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466.75323833427217</v>
      </c>
      <c r="AO171" s="62">
        <f t="shared" si="144"/>
        <v>293.88550076209378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0.19897850417365934</v>
      </c>
      <c r="AW171" s="23">
        <f>EXP(-LN(2)/2)*AW170+(1-EXP(-LN(2)/2))/(LN(2)/2)*AQ171*AT171*VLOOKUP('Données projet'!$B$10,Paramètres!$A$1:$I$89,3,0)*0.475*44/12</f>
        <v>2.5258140720154222E-20</v>
      </c>
      <c r="AX171" s="23">
        <f t="shared" si="166"/>
        <v>0.19897850417365934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68.47741055388687</v>
      </c>
      <c r="BJ171" s="62">
        <f t="shared" si="146"/>
        <v>335.34467252166542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3.3440019168668882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1.0525059092731117E-21</v>
      </c>
      <c r="BS171" s="24">
        <f t="shared" si="169"/>
        <v>3.3440019168668882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3.3992364478763198E-14</v>
      </c>
      <c r="CA171" s="14">
        <f t="shared" si="170"/>
        <v>5.790027782444094E-13</v>
      </c>
      <c r="CB171" s="22">
        <f t="shared" si="171"/>
        <v>1.0676332069095257E-12</v>
      </c>
      <c r="CC171" s="62">
        <f t="shared" si="119"/>
        <v>289.35959272316836</v>
      </c>
      <c r="CD171" s="62">
        <f ca="1">AVERAGE(OFFSET($CC$3,0,0,'Données projet'!$E$12+1,1))-AVERAGE(OFFSET($H$3,0,0,'Données projet'!$E$12+1,1))</f>
        <v>211.76609132110815</v>
      </c>
      <c r="CE171" s="62">
        <f t="shared" si="148"/>
        <v>363.07965692095752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0.64232827614384014</v>
      </c>
      <c r="CL171" s="23">
        <f>EXP(-LN(2)/25)*CL170+(1-EXP(-LN(2)/25))/(LN(2)/25)*Calculateur!CG171*Calculateur!CI171*VLOOKUP('Données projet'!$B$12,Paramètres!$A$1:$I$89,3,0)*0.475*44/12</f>
        <v>0.11855143525715502</v>
      </c>
      <c r="CM171" s="23">
        <f>EXP(-LN(2)/2)*CM170+(1-EXP(-LN(2)/2))/(LN(2)/2)*CG171*CJ171*VLOOKUP('Données projet'!$B$12,Paramètres!$A$1:$I$89,3,0)*0.475*44/12</f>
        <v>3.9944616816192294E-21</v>
      </c>
      <c r="CN171" s="24">
        <f t="shared" si="172"/>
        <v>0.7608797114009952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-5.1431925385259088E-14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374.91250349988451</v>
      </c>
      <c r="CZ171" s="62">
        <f t="shared" si="150"/>
        <v>529.46825265662869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0.68828178485472591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0.68828178485472591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4.9658410716801891E-14</v>
      </c>
      <c r="DQ171" s="14">
        <f t="shared" si="176"/>
        <v>8.0934058173791862E-13</v>
      </c>
      <c r="DR171" s="22">
        <f t="shared" si="177"/>
        <v>1.4960899118586383E-12</v>
      </c>
      <c r="DS171" s="62">
        <f t="shared" si="125"/>
        <v>289.35959272316876</v>
      </c>
      <c r="DT171" s="62">
        <f ca="1">AVERAGE(OFFSET($DS$3,0,0,'Données projet'!$E$14+1,1))-AVERAGE(OFFSET($H$3,0,0,'Données projet'!$E$14+1,1))</f>
        <v>289.18543665577761</v>
      </c>
      <c r="DU171" s="62">
        <f t="shared" si="152"/>
        <v>291.40065947222843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0.24263779463369764</v>
      </c>
      <c r="EC171" s="23">
        <f>EXP(-LN(2)/2)*EC170+(1-EXP(-LN(2)/2))/(LN(2)/2)*DW171*DZ171*VLOOKUP('Données projet'!$B$14,Paramètres!$A$1:$I$89,3,0)*0.475*44/12</f>
        <v>1.7731107356443979E-20</v>
      </c>
      <c r="ED171" s="24">
        <f t="shared" si="178"/>
        <v>0.24263779463369764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514.72748286045442</v>
      </c>
      <c r="EP171" s="62">
        <f t="shared" si="154"/>
        <v>322.28702110656116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0.22299315122910091</v>
      </c>
      <c r="EX171" s="23">
        <f>EXP(-LN(2)/2)*EX170+(1-EXP(-LN(2)/2))/(LN(2)/2)*ER171*EU171*VLOOKUP('Données projet'!$B$15,Paramètres!$A$1:$I$89,3,0)*0.475*44/12</f>
        <v>2.8306537013965889E-20</v>
      </c>
      <c r="EY171" s="24">
        <f t="shared" si="181"/>
        <v>0.22299315122910091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68.916252560863811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4.0999999999999996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15.033333333333331</v>
      </c>
      <c r="H172" s="70">
        <f t="shared" si="110"/>
        <v>196.53333333333333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70.794576398719499</v>
      </c>
      <c r="T172" s="62">
        <f t="shared" si="142"/>
        <v>328.91236364911629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1.6102701203559084E-22</v>
      </c>
      <c r="AC172" s="24">
        <f t="shared" si="163"/>
        <v>1.6102701203559084E-22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466.75323833427217</v>
      </c>
      <c r="AO172" s="62">
        <f t="shared" si="144"/>
        <v>293.88550076209378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0.19353742651320585</v>
      </c>
      <c r="AW172" s="23">
        <f>EXP(-LN(2)/2)*AW171+(1-EXP(-LN(2)/2))/(LN(2)/2)*AQ172*AT172*VLOOKUP('Données projet'!$B$10,Paramètres!$A$1:$I$89,3,0)*0.475*44/12</f>
        <v>1.7860202583385117E-20</v>
      </c>
      <c r="AX172" s="23">
        <f t="shared" si="166"/>
        <v>0.19353742651320585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68.47741055388687</v>
      </c>
      <c r="BJ172" s="62">
        <f t="shared" si="146"/>
        <v>335.34467252166542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3.2784280789169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7.4423406568593044E-22</v>
      </c>
      <c r="BS172" s="24">
        <f t="shared" si="169"/>
        <v>3.2784280789169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3.3992364478763198E-14</v>
      </c>
      <c r="CA172" s="14">
        <f t="shared" si="170"/>
        <v>5.790027782444094E-13</v>
      </c>
      <c r="CB172" s="22">
        <f t="shared" si="171"/>
        <v>1.0676332069095257E-12</v>
      </c>
      <c r="CC172" s="62">
        <f t="shared" si="119"/>
        <v>289.42852823880173</v>
      </c>
      <c r="CD172" s="62">
        <f ca="1">AVERAGE(OFFSET($CC$3,0,0,'Données projet'!$E$12+1,1))-AVERAGE(OFFSET($H$3,0,0,'Données projet'!$E$12+1,1))</f>
        <v>211.76609132110815</v>
      </c>
      <c r="CE172" s="62">
        <f t="shared" si="148"/>
        <v>363.07965692095752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0.62973261043022266</v>
      </c>
      <c r="CL172" s="23">
        <f>EXP(-LN(2)/25)*CL171+(1-EXP(-LN(2)/25))/(LN(2)/25)*Calculateur!CG172*Calculateur!CI172*VLOOKUP('Données projet'!$B$12,Paramètres!$A$1:$I$89,3,0)*0.475*44/12</f>
        <v>0.11530964002569909</v>
      </c>
      <c r="CM172" s="23">
        <f>EXP(-LN(2)/2)*CM171+(1-EXP(-LN(2)/2))/(LN(2)/2)*CG172*CJ172*VLOOKUP('Données projet'!$B$12,Paramètres!$A$1:$I$89,3,0)*0.475*44/12</f>
        <v>2.8245109422627771E-21</v>
      </c>
      <c r="CN172" s="24">
        <f t="shared" si="172"/>
        <v>0.74504225045592176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-5.1431925385259088E-14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374.91250349988451</v>
      </c>
      <c r="CZ172" s="62">
        <f t="shared" si="150"/>
        <v>529.46825265662869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0.67478499886416066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0.67478499886416066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4.9658410716801891E-14</v>
      </c>
      <c r="DQ172" s="14">
        <f t="shared" si="176"/>
        <v>8.0934058173791862E-13</v>
      </c>
      <c r="DR172" s="22">
        <f t="shared" si="177"/>
        <v>1.4960899118586383E-12</v>
      </c>
      <c r="DS172" s="62">
        <f t="shared" si="125"/>
        <v>289.42852823880213</v>
      </c>
      <c r="DT172" s="62">
        <f ca="1">AVERAGE(OFFSET($DS$3,0,0,'Données projet'!$E$14+1,1))-AVERAGE(OFFSET($H$3,0,0,'Données projet'!$E$14+1,1))</f>
        <v>289.18543665577761</v>
      </c>
      <c r="DU172" s="62">
        <f t="shared" si="152"/>
        <v>291.40065947222843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0.23600285137967211</v>
      </c>
      <c r="EC172" s="23">
        <f>EXP(-LN(2)/2)*EC171+(1-EXP(-LN(2)/2))/(LN(2)/2)*DW172*DZ172*VLOOKUP('Données projet'!$B$14,Paramètres!$A$1:$I$89,3,0)*0.475*44/12</f>
        <v>1.2537786249688216E-20</v>
      </c>
      <c r="ED172" s="24">
        <f t="shared" si="178"/>
        <v>0.23600285137967211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514.72748286045442</v>
      </c>
      <c r="EP172" s="62">
        <f t="shared" si="154"/>
        <v>322.28702110656116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0.21689539178204098</v>
      </c>
      <c r="EX172" s="23">
        <f>EXP(-LN(2)/2)*EX171+(1-EXP(-LN(2)/2))/(LN(2)/2)*ER172*EU172*VLOOKUP('Données projet'!$B$15,Paramètres!$A$1:$I$89,3,0)*0.475*44/12</f>
        <v>2.0015744274483287E-20</v>
      </c>
      <c r="EY172" s="24">
        <f t="shared" si="181"/>
        <v>0.21689539178204098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68.935053156036531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4.0999999999999996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15.033333333333331</v>
      </c>
      <c r="H173" s="70">
        <f t="shared" si="110"/>
        <v>196.53333333333333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70.794576398719499</v>
      </c>
      <c r="T173" s="62">
        <f t="shared" si="142"/>
        <v>328.91236364911629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1.1386329216457408E-22</v>
      </c>
      <c r="AC173" s="24">
        <f t="shared" si="163"/>
        <v>1.1386329216457408E-22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466.75323833427217</v>
      </c>
      <c r="AO173" s="62">
        <f t="shared" si="144"/>
        <v>293.88550076209378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0.18824513540751131</v>
      </c>
      <c r="AW173" s="23">
        <f>EXP(-LN(2)/2)*AW172+(1-EXP(-LN(2)/2))/(LN(2)/2)*AQ173*AT173*VLOOKUP('Données projet'!$B$10,Paramètres!$A$1:$I$89,3,0)*0.475*44/12</f>
        <v>1.2629070360077111E-20</v>
      </c>
      <c r="AX173" s="23">
        <f t="shared" si="166"/>
        <v>0.18824513540751131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68.47741055388687</v>
      </c>
      <c r="BJ173" s="62">
        <f t="shared" si="146"/>
        <v>335.34467252166542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3.2141401039330195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5.2625295463655584E-22</v>
      </c>
      <c r="BS173" s="24">
        <f t="shared" si="169"/>
        <v>3.2141401039330195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3.3992364478763198E-14</v>
      </c>
      <c r="CA173" s="14">
        <f t="shared" si="170"/>
        <v>5.790027782444094E-13</v>
      </c>
      <c r="CB173" s="22">
        <f t="shared" si="171"/>
        <v>1.0676332069095257E-12</v>
      </c>
      <c r="CC173" s="62">
        <f t="shared" si="119"/>
        <v>289.49626787735548</v>
      </c>
      <c r="CD173" s="62">
        <f ca="1">AVERAGE(OFFSET($CC$3,0,0,'Données projet'!$E$12+1,1))-AVERAGE(OFFSET($H$3,0,0,'Données projet'!$E$12+1,1))</f>
        <v>211.76609132110815</v>
      </c>
      <c r="CE173" s="62">
        <f t="shared" si="148"/>
        <v>363.07965692095752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0.61738393803865177</v>
      </c>
      <c r="CL173" s="23">
        <f>EXP(-LN(2)/25)*CL172+(1-EXP(-LN(2)/25))/(LN(2)/25)*Calculateur!CG173*Calculateur!CI173*VLOOKUP('Données projet'!$B$12,Paramètres!$A$1:$I$89,3,0)*0.475*44/12</f>
        <v>0.11215649185532592</v>
      </c>
      <c r="CM173" s="23">
        <f>EXP(-LN(2)/2)*CM172+(1-EXP(-LN(2)/2))/(LN(2)/2)*CG173*CJ173*VLOOKUP('Données projet'!$B$12,Paramètres!$A$1:$I$89,3,0)*0.475*44/12</f>
        <v>1.9972308408096147E-21</v>
      </c>
      <c r="CN173" s="24">
        <f t="shared" si="172"/>
        <v>0.72954042989397772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-5.1431925385259088E-14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374.91250349988451</v>
      </c>
      <c r="CZ173" s="62">
        <f t="shared" si="150"/>
        <v>529.46825265662869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0.66155287661464379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0.66155287661464379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4.9658410716801891E-14</v>
      </c>
      <c r="DQ173" s="14">
        <f t="shared" si="176"/>
        <v>8.0934058173791862E-13</v>
      </c>
      <c r="DR173" s="22">
        <f t="shared" si="177"/>
        <v>1.4960899118586383E-12</v>
      </c>
      <c r="DS173" s="62">
        <f t="shared" si="125"/>
        <v>289.49626787735588</v>
      </c>
      <c r="DT173" s="62">
        <f ca="1">AVERAGE(OFFSET($DS$3,0,0,'Données projet'!$E$14+1,1))-AVERAGE(OFFSET($H$3,0,0,'Données projet'!$E$14+1,1))</f>
        <v>289.18543665577761</v>
      </c>
      <c r="DU173" s="62">
        <f t="shared" si="152"/>
        <v>291.40065947222843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0.22954934099784441</v>
      </c>
      <c r="EC173" s="23">
        <f>EXP(-LN(2)/2)*EC172+(1-EXP(-LN(2)/2))/(LN(2)/2)*DW173*DZ173*VLOOKUP('Données projet'!$B$14,Paramètres!$A$1:$I$89,3,0)*0.475*44/12</f>
        <v>8.8655536782219894E-21</v>
      </c>
      <c r="ED173" s="24">
        <f t="shared" si="178"/>
        <v>0.22954934099784441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514.72748286045442</v>
      </c>
      <c r="EP173" s="62">
        <f t="shared" si="154"/>
        <v>322.28702110656116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0.21096437588772815</v>
      </c>
      <c r="EX173" s="23">
        <f>EXP(-LN(2)/2)*EX172+(1-EXP(-LN(2)/2))/(LN(2)/2)*ER173*EU173*VLOOKUP('Données projet'!$B$15,Paramètres!$A$1:$I$89,3,0)*0.475*44/12</f>
        <v>1.4153268506982945E-20</v>
      </c>
      <c r="EY173" s="24">
        <f t="shared" si="181"/>
        <v>0.21096437588772815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68.953527602914832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4.0999999999999996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15.033333333333331</v>
      </c>
      <c r="H174" s="70">
        <f t="shared" si="110"/>
        <v>196.53333333333333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70.794576398719499</v>
      </c>
      <c r="T174" s="62">
        <f t="shared" si="142"/>
        <v>328.91236364911629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8.051350601779542E-23</v>
      </c>
      <c r="AC174" s="24">
        <f t="shared" si="163"/>
        <v>8.051350601779542E-23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466.75323833427217</v>
      </c>
      <c r="AO174" s="62">
        <f t="shared" si="144"/>
        <v>293.88550076209378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0.18309756228041149</v>
      </c>
      <c r="AW174" s="23">
        <f>EXP(-LN(2)/2)*AW173+(1-EXP(-LN(2)/2))/(LN(2)/2)*AQ174*AT174*VLOOKUP('Données projet'!$B$10,Paramètres!$A$1:$I$89,3,0)*0.475*44/12</f>
        <v>8.9301012916925585E-21</v>
      </c>
      <c r="AX174" s="23">
        <f t="shared" si="166"/>
        <v>0.18309756228041149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68.47741055388687</v>
      </c>
      <c r="BJ174" s="62">
        <f t="shared" si="146"/>
        <v>335.34467252166542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3.1511127769267797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3.7211703284296522E-22</v>
      </c>
      <c r="BS174" s="24">
        <f t="shared" si="169"/>
        <v>3.1511127769267797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3.3992364478763198E-14</v>
      </c>
      <c r="CA174" s="14">
        <f t="shared" si="170"/>
        <v>5.790027782444094E-13</v>
      </c>
      <c r="CB174" s="22">
        <f t="shared" si="171"/>
        <v>1.0676332069095257E-12</v>
      </c>
      <c r="CC174" s="62">
        <f t="shared" si="119"/>
        <v>289.56283238462345</v>
      </c>
      <c r="CD174" s="62">
        <f ca="1">AVERAGE(OFFSET($CC$3,0,0,'Données projet'!$E$12+1,1))-AVERAGE(OFFSET($H$3,0,0,'Données projet'!$E$12+1,1))</f>
        <v>211.76609132110815</v>
      </c>
      <c r="CE174" s="62">
        <f t="shared" si="148"/>
        <v>363.07965692095752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0.60527741558073311</v>
      </c>
      <c r="CL174" s="23">
        <f>EXP(-LN(2)/25)*CL173+(1-EXP(-LN(2)/25))/(LN(2)/25)*Calculateur!CG174*Calculateur!CI174*VLOOKUP('Données projet'!$B$12,Paramètres!$A$1:$I$89,3,0)*0.475*44/12</f>
        <v>0.10908956668748847</v>
      </c>
      <c r="CM174" s="23">
        <f>EXP(-LN(2)/2)*CM173+(1-EXP(-LN(2)/2))/(LN(2)/2)*CG174*CJ174*VLOOKUP('Données projet'!$B$12,Paramètres!$A$1:$I$89,3,0)*0.475*44/12</f>
        <v>1.4122554711313886E-21</v>
      </c>
      <c r="CN174" s="24">
        <f t="shared" si="172"/>
        <v>0.7143669822682216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-5.1431925385259088E-14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374.91250349988451</v>
      </c>
      <c r="CZ174" s="62">
        <f t="shared" si="150"/>
        <v>529.46825265662869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0.6485802282116423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0.6485802282116423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4.9658410716801891E-14</v>
      </c>
      <c r="DQ174" s="14">
        <f t="shared" si="176"/>
        <v>8.0934058173791862E-13</v>
      </c>
      <c r="DR174" s="22">
        <f t="shared" si="177"/>
        <v>1.4960899118586383E-12</v>
      </c>
      <c r="DS174" s="62">
        <f t="shared" si="125"/>
        <v>289.56283238462385</v>
      </c>
      <c r="DT174" s="62">
        <f ca="1">AVERAGE(OFFSET($DS$3,0,0,'Données projet'!$E$14+1,1))-AVERAGE(OFFSET($H$3,0,0,'Données projet'!$E$14+1,1))</f>
        <v>289.18543665577761</v>
      </c>
      <c r="DU174" s="62">
        <f t="shared" si="152"/>
        <v>291.40065947222843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0.22327230219678315</v>
      </c>
      <c r="EC174" s="23">
        <f>EXP(-LN(2)/2)*EC173+(1-EXP(-LN(2)/2))/(LN(2)/2)*DW174*DZ174*VLOOKUP('Données projet'!$B$14,Paramètres!$A$1:$I$89,3,0)*0.475*44/12</f>
        <v>6.2688931248441079E-21</v>
      </c>
      <c r="ED174" s="24">
        <f t="shared" si="178"/>
        <v>0.22327230219678315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514.72748286045442</v>
      </c>
      <c r="EP174" s="62">
        <f t="shared" si="154"/>
        <v>322.28702110656116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0.20519554393494385</v>
      </c>
      <c r="EX174" s="23">
        <f>EXP(-LN(2)/2)*EX173+(1-EXP(-LN(2)/2))/(LN(2)/2)*ER174*EU174*VLOOKUP('Données projet'!$B$15,Paramètres!$A$1:$I$89,3,0)*0.475*44/12</f>
        <v>1.0007872137241643E-20</v>
      </c>
      <c r="EY174" s="24">
        <f t="shared" si="181"/>
        <v>0.20519554393494385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68.971681559442473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4.0999999999999996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15.033333333333331</v>
      </c>
      <c r="H175" s="70">
        <f t="shared" si="110"/>
        <v>196.53333333333333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70.794576398719499</v>
      </c>
      <c r="T175" s="62">
        <f t="shared" si="142"/>
        <v>328.91236364911629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5.6931646082287042E-23</v>
      </c>
      <c r="AC175" s="24">
        <f t="shared" si="163"/>
        <v>5.6931646082287042E-23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466.75323833427217</v>
      </c>
      <c r="AO175" s="62">
        <f t="shared" si="144"/>
        <v>293.88550076209378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0.17809074981117132</v>
      </c>
      <c r="AW175" s="23">
        <f>EXP(-LN(2)/2)*AW174+(1-EXP(-LN(2)/2))/(LN(2)/2)*AQ175*AT175*VLOOKUP('Données projet'!$B$10,Paramètres!$A$1:$I$89,3,0)*0.475*44/12</f>
        <v>6.3145351800385555E-21</v>
      </c>
      <c r="AX175" s="23">
        <f t="shared" si="166"/>
        <v>0.17809074981117132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68.47741055388687</v>
      </c>
      <c r="BJ175" s="62">
        <f t="shared" si="146"/>
        <v>335.34467252166542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3.089321377360259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2.6312647731827792E-22</v>
      </c>
      <c r="BS175" s="24">
        <f t="shared" si="169"/>
        <v>3.089321377360259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3.3992364478763198E-14</v>
      </c>
      <c r="CA175" s="14">
        <f t="shared" si="170"/>
        <v>5.790027782444094E-13</v>
      </c>
      <c r="CB175" s="22">
        <f t="shared" si="171"/>
        <v>1.0676332069095257E-12</v>
      </c>
      <c r="CC175" s="62">
        <f t="shared" si="119"/>
        <v>289.6282421465063</v>
      </c>
      <c r="CD175" s="62">
        <f ca="1">AVERAGE(OFFSET($CC$3,0,0,'Données projet'!$E$12+1,1))-AVERAGE(OFFSET($H$3,0,0,'Données projet'!$E$12+1,1))</f>
        <v>211.76609132110815</v>
      </c>
      <c r="CE175" s="62">
        <f t="shared" si="148"/>
        <v>363.07965692095752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0.59340829464396472</v>
      </c>
      <c r="CL175" s="23">
        <f>EXP(-LN(2)/25)*CL174+(1-EXP(-LN(2)/25))/(LN(2)/25)*Calculateur!CG175*Calculateur!CI175*VLOOKUP('Données projet'!$B$12,Paramètres!$A$1:$I$89,3,0)*0.475*44/12</f>
        <v>0.10610650674964811</v>
      </c>
      <c r="CM175" s="23">
        <f>EXP(-LN(2)/2)*CM174+(1-EXP(-LN(2)/2))/(LN(2)/2)*CG175*CJ175*VLOOKUP('Données projet'!$B$12,Paramètres!$A$1:$I$89,3,0)*0.475*44/12</f>
        <v>9.9861542040480735E-22</v>
      </c>
      <c r="CN175" s="24">
        <f t="shared" si="172"/>
        <v>0.69951480139361277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-5.1431925385259088E-14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374.91250349988451</v>
      </c>
      <c r="CZ175" s="62">
        <f t="shared" si="150"/>
        <v>529.46825265662869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0.63586196553128949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0.63586196553128949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4.9658410716801891E-14</v>
      </c>
      <c r="DQ175" s="14">
        <f t="shared" si="176"/>
        <v>8.0934058173791862E-13</v>
      </c>
      <c r="DR175" s="22">
        <f t="shared" si="177"/>
        <v>1.4960899118586383E-12</v>
      </c>
      <c r="DS175" s="62">
        <f t="shared" si="125"/>
        <v>289.62824214650669</v>
      </c>
      <c r="DT175" s="62">
        <f ca="1">AVERAGE(OFFSET($DS$3,0,0,'Données projet'!$E$14+1,1))-AVERAGE(OFFSET($H$3,0,0,'Données projet'!$E$14+1,1))</f>
        <v>289.18543665577761</v>
      </c>
      <c r="DU175" s="62">
        <f t="shared" si="152"/>
        <v>291.40065947222843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0.21716690935183203</v>
      </c>
      <c r="EC175" s="23">
        <f>EXP(-LN(2)/2)*EC174+(1-EXP(-LN(2)/2))/(LN(2)/2)*DW175*DZ175*VLOOKUP('Données projet'!$B$14,Paramètres!$A$1:$I$89,3,0)*0.475*44/12</f>
        <v>4.4327768391109947E-21</v>
      </c>
      <c r="ED175" s="24">
        <f t="shared" si="178"/>
        <v>0.21716690935183203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514.72748286045442</v>
      </c>
      <c r="EP175" s="62">
        <f t="shared" si="154"/>
        <v>322.28702110656116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0.19958446099527813</v>
      </c>
      <c r="EX175" s="23">
        <f>EXP(-LN(2)/2)*EX174+(1-EXP(-LN(2)/2))/(LN(2)/2)*ER175*EU175*VLOOKUP('Données projet'!$B$15,Paramètres!$A$1:$I$89,3,0)*0.475*44/12</f>
        <v>7.0766342534914723E-21</v>
      </c>
      <c r="EY175" s="24">
        <f t="shared" si="181"/>
        <v>0.19958446099527813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68.989520585410517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4.0999999999999996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15.033333333333331</v>
      </c>
      <c r="H176" s="70">
        <f t="shared" si="110"/>
        <v>196.53333333333333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70.794576398719499</v>
      </c>
      <c r="T176" s="62">
        <f t="shared" si="142"/>
        <v>328.91236364911629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4.025675300889771E-23</v>
      </c>
      <c r="AC176" s="24">
        <f t="shared" si="163"/>
        <v>4.025675300889771E-23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466.75323833427217</v>
      </c>
      <c r="AO176" s="62">
        <f t="shared" si="144"/>
        <v>293.88550076209378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0.17322084889219933</v>
      </c>
      <c r="AW176" s="23">
        <f>EXP(-LN(2)/2)*AW175+(1-EXP(-LN(2)/2))/(LN(2)/2)*AQ176*AT176*VLOOKUP('Données projet'!$B$10,Paramètres!$A$1:$I$89,3,0)*0.475*44/12</f>
        <v>4.4650506458462793E-21</v>
      </c>
      <c r="AX176" s="23">
        <f t="shared" si="166"/>
        <v>0.17322084889219933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68.47741055388687</v>
      </c>
      <c r="BJ176" s="62">
        <f t="shared" si="146"/>
        <v>335.34467252166542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3.0287416694502052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1.8605851642148261E-22</v>
      </c>
      <c r="BS176" s="24">
        <f t="shared" si="169"/>
        <v>3.0287416694502052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3.3992364478763198E-14</v>
      </c>
      <c r="CA176" s="14">
        <f t="shared" si="170"/>
        <v>5.790027782444094E-13</v>
      </c>
      <c r="CB176" s="22">
        <f t="shared" si="171"/>
        <v>1.0676332069095257E-12</v>
      </c>
      <c r="CC176" s="62">
        <f t="shared" si="119"/>
        <v>289.69251719525482</v>
      </c>
      <c r="CD176" s="62">
        <f ca="1">AVERAGE(OFFSET($CC$3,0,0,'Données projet'!$E$12+1,1))-AVERAGE(OFFSET($H$3,0,0,'Données projet'!$E$12+1,1))</f>
        <v>211.76609132110815</v>
      </c>
      <c r="CE176" s="62">
        <f t="shared" si="148"/>
        <v>363.07965692095752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0.58177191992931732</v>
      </c>
      <c r="CL176" s="23">
        <f>EXP(-LN(2)/25)*CL175+(1-EXP(-LN(2)/25))/(LN(2)/25)*Calculateur!CG176*Calculateur!CI176*VLOOKUP('Données projet'!$B$12,Paramètres!$A$1:$I$89,3,0)*0.475*44/12</f>
        <v>0.1032050187426803</v>
      </c>
      <c r="CM176" s="23">
        <f>EXP(-LN(2)/2)*CM175+(1-EXP(-LN(2)/2))/(LN(2)/2)*CG176*CJ176*VLOOKUP('Données projet'!$B$12,Paramètres!$A$1:$I$89,3,0)*0.475*44/12</f>
        <v>7.0612773556569429E-22</v>
      </c>
      <c r="CN176" s="24">
        <f t="shared" si="172"/>
        <v>0.6849769386719976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-5.1431925385259088E-14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374.91250349988451</v>
      </c>
      <c r="CZ176" s="62">
        <f t="shared" si="150"/>
        <v>529.46825265662869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0.62339310022472405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0.62339310022472405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4.9658410716801891E-14</v>
      </c>
      <c r="DQ176" s="14">
        <f t="shared" si="176"/>
        <v>8.0934058173791862E-13</v>
      </c>
      <c r="DR176" s="22">
        <f t="shared" si="177"/>
        <v>1.4960899118586383E-12</v>
      </c>
      <c r="DS176" s="62">
        <f t="shared" si="125"/>
        <v>289.69251719525522</v>
      </c>
      <c r="DT176" s="62">
        <f ca="1">AVERAGE(OFFSET($DS$3,0,0,'Données projet'!$E$14+1,1))-AVERAGE(OFFSET($H$3,0,0,'Données projet'!$E$14+1,1))</f>
        <v>289.18543665577761</v>
      </c>
      <c r="DU176" s="62">
        <f t="shared" si="152"/>
        <v>291.40065947222843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0.21122846879529475</v>
      </c>
      <c r="EC176" s="23">
        <f>EXP(-LN(2)/2)*EC175+(1-EXP(-LN(2)/2))/(LN(2)/2)*DW176*DZ176*VLOOKUP('Données projet'!$B$14,Paramètres!$A$1:$I$89,3,0)*0.475*44/12</f>
        <v>3.134446562422054E-21</v>
      </c>
      <c r="ED176" s="24">
        <f t="shared" si="178"/>
        <v>0.21122846879529475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514.72748286045442</v>
      </c>
      <c r="EP176" s="62">
        <f t="shared" si="154"/>
        <v>322.28702110656116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0.19412681341367161</v>
      </c>
      <c r="EX176" s="23">
        <f>EXP(-LN(2)/2)*EX175+(1-EXP(-LN(2)/2))/(LN(2)/2)*ER176*EU176*VLOOKUP('Données projet'!$B$15,Paramètres!$A$1:$I$89,3,0)*0.475*44/12</f>
        <v>5.0039360686208216E-21</v>
      </c>
      <c r="EY176" s="24">
        <f t="shared" si="181"/>
        <v>0.19412681341367161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69.007050144160118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4.0999999999999996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15.033333333333331</v>
      </c>
      <c r="H177" s="70">
        <f t="shared" si="110"/>
        <v>196.53333333333333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70.794576398719499</v>
      </c>
      <c r="T177" s="62">
        <f t="shared" si="142"/>
        <v>328.91236364911629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2.8465823041143521E-23</v>
      </c>
      <c r="AC177" s="24">
        <f t="shared" si="163"/>
        <v>2.8465823041143521E-23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466.75323833427217</v>
      </c>
      <c r="AO177" s="62">
        <f t="shared" si="144"/>
        <v>293.88550076209378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0.16848411566995358</v>
      </c>
      <c r="AW177" s="23">
        <f>EXP(-LN(2)/2)*AW176+(1-EXP(-LN(2)/2))/(LN(2)/2)*AQ177*AT177*VLOOKUP('Données projet'!$B$10,Paramètres!$A$1:$I$89,3,0)*0.475*44/12</f>
        <v>3.1572675900192777E-21</v>
      </c>
      <c r="AX177" s="23">
        <f t="shared" si="166"/>
        <v>0.16848411566995358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68.47741055388687</v>
      </c>
      <c r="BJ177" s="62">
        <f t="shared" si="146"/>
        <v>335.34467252166542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2.9693498926622945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1.3156323865913896E-22</v>
      </c>
      <c r="BS177" s="24">
        <f t="shared" si="169"/>
        <v>2.9693498926622945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3.3992364478763198E-14</v>
      </c>
      <c r="CA177" s="14">
        <f t="shared" si="170"/>
        <v>5.790027782444094E-13</v>
      </c>
      <c r="CB177" s="22">
        <f t="shared" si="171"/>
        <v>1.0676332069095257E-12</v>
      </c>
      <c r="CC177" s="62">
        <f t="shared" si="119"/>
        <v>289.75567721560503</v>
      </c>
      <c r="CD177" s="62">
        <f ca="1">AVERAGE(OFFSET($CC$3,0,0,'Données projet'!$E$12+1,1))-AVERAGE(OFFSET($H$3,0,0,'Données projet'!$E$12+1,1))</f>
        <v>211.76609132110815</v>
      </c>
      <c r="CE177" s="62">
        <f t="shared" si="148"/>
        <v>363.07965692095752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0.57036372742533648</v>
      </c>
      <c r="CL177" s="23">
        <f>EXP(-LN(2)/25)*CL176+(1-EXP(-LN(2)/25))/(LN(2)/25)*Calculateur!CG177*Calculateur!CI177*VLOOKUP('Données projet'!$B$12,Paramètres!$A$1:$I$89,3,0)*0.475*44/12</f>
        <v>0.10038287207784564</v>
      </c>
      <c r="CM177" s="23">
        <f>EXP(-LN(2)/2)*CM176+(1-EXP(-LN(2)/2))/(LN(2)/2)*CG177*CJ177*VLOOKUP('Données projet'!$B$12,Paramètres!$A$1:$I$89,3,0)*0.475*44/12</f>
        <v>4.9930771020240367E-22</v>
      </c>
      <c r="CN177" s="24">
        <f t="shared" si="172"/>
        <v>0.67074659950318216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-5.1431925385259088E-14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374.91250349988451</v>
      </c>
      <c r="CZ177" s="62">
        <f t="shared" si="150"/>
        <v>529.46825265662869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0.61116874176156355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0.61116874176156355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4.9658410716801891E-14</v>
      </c>
      <c r="DQ177" s="14">
        <f t="shared" si="176"/>
        <v>8.0934058173791862E-13</v>
      </c>
      <c r="DR177" s="22">
        <f t="shared" si="177"/>
        <v>1.4960899118586383E-12</v>
      </c>
      <c r="DS177" s="62">
        <f t="shared" si="125"/>
        <v>289.75567721560543</v>
      </c>
      <c r="DT177" s="62">
        <f ca="1">AVERAGE(OFFSET($DS$3,0,0,'Données projet'!$E$14+1,1))-AVERAGE(OFFSET($H$3,0,0,'Données projet'!$E$14+1,1))</f>
        <v>289.18543665577761</v>
      </c>
      <c r="DU177" s="62">
        <f t="shared" si="152"/>
        <v>291.40065947222843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0.20545241520806501</v>
      </c>
      <c r="EC177" s="23">
        <f>EXP(-LN(2)/2)*EC176+(1-EXP(-LN(2)/2))/(LN(2)/2)*DW177*DZ177*VLOOKUP('Données projet'!$B$14,Paramètres!$A$1:$I$89,3,0)*0.475*44/12</f>
        <v>2.2163884195554974E-21</v>
      </c>
      <c r="ED177" s="24">
        <f t="shared" si="178"/>
        <v>0.20545241520806501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514.72748286045442</v>
      </c>
      <c r="EP177" s="62">
        <f t="shared" si="154"/>
        <v>322.28702110656116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0.18881840549218931</v>
      </c>
      <c r="EX177" s="23">
        <f>EXP(-LN(2)/2)*EX176+(1-EXP(-LN(2)/2))/(LN(2)/2)*ER177*EU177*VLOOKUP('Données projet'!$B$15,Paramètres!$A$1:$I$89,3,0)*0.475*44/12</f>
        <v>3.5383171267457361E-21</v>
      </c>
      <c r="EY177" s="24">
        <f t="shared" si="181"/>
        <v>0.18881840549218931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69.024275604255621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4.0999999999999996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15.033333333333331</v>
      </c>
      <c r="H178" s="70">
        <f t="shared" si="110"/>
        <v>196.53333333333333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70.794576398719499</v>
      </c>
      <c r="T178" s="62">
        <f t="shared" si="142"/>
        <v>328.91236364911629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2.0128376504448855E-23</v>
      </c>
      <c r="AC178" s="24">
        <f t="shared" si="163"/>
        <v>2.0128376504448855E-23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466.75323833427217</v>
      </c>
      <c r="AO178" s="62">
        <f t="shared" si="144"/>
        <v>293.88550076209378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0.16387690866676413</v>
      </c>
      <c r="AW178" s="23">
        <f>EXP(-LN(2)/2)*AW177+(1-EXP(-LN(2)/2))/(LN(2)/2)*AQ178*AT178*VLOOKUP('Données projet'!$B$10,Paramètres!$A$1:$I$89,3,0)*0.475*44/12</f>
        <v>2.2325253229231396E-21</v>
      </c>
      <c r="AX178" s="23">
        <f t="shared" si="166"/>
        <v>0.16387690866676413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68.47741055388687</v>
      </c>
      <c r="BJ178" s="62">
        <f t="shared" si="146"/>
        <v>335.34467252166542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2.9111227523917877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9.3029258210741305E-23</v>
      </c>
      <c r="BS178" s="24">
        <f t="shared" si="169"/>
        <v>2.9111227523917877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3.3992364478763198E-14</v>
      </c>
      <c r="CA178" s="14">
        <f t="shared" si="170"/>
        <v>5.790027782444094E-13</v>
      </c>
      <c r="CB178" s="22">
        <f t="shared" si="171"/>
        <v>1.0676332069095257E-12</v>
      </c>
      <c r="CC178" s="62">
        <f t="shared" si="119"/>
        <v>289.81774155080677</v>
      </c>
      <c r="CD178" s="62">
        <f ca="1">AVERAGE(OFFSET($CC$3,0,0,'Données projet'!$E$12+1,1))-AVERAGE(OFFSET($H$3,0,0,'Données projet'!$E$12+1,1))</f>
        <v>211.76609132110815</v>
      </c>
      <c r="CE178" s="62">
        <f t="shared" si="148"/>
        <v>363.07965692095752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0.5591792426180483</v>
      </c>
      <c r="CL178" s="23">
        <f>EXP(-LN(2)/25)*CL177+(1-EXP(-LN(2)/25))/(LN(2)/25)*Calculateur!CG178*Calculateur!CI178*VLOOKUP('Données projet'!$B$12,Paramètres!$A$1:$I$89,3,0)*0.475*44/12</f>
        <v>9.7637897161971146E-2</v>
      </c>
      <c r="CM178" s="23">
        <f>EXP(-LN(2)/2)*CM177+(1-EXP(-LN(2)/2))/(LN(2)/2)*CG178*CJ178*VLOOKUP('Données projet'!$B$12,Paramètres!$A$1:$I$89,3,0)*0.475*44/12</f>
        <v>3.5306386778284714E-22</v>
      </c>
      <c r="CN178" s="24">
        <f t="shared" si="172"/>
        <v>0.65681713978001943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-5.1431925385259088E-14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374.91250349988451</v>
      </c>
      <c r="CZ178" s="62">
        <f t="shared" si="150"/>
        <v>529.46825265662869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0.59918409551174323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0.59918409551174323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4.9658410716801891E-14</v>
      </c>
      <c r="DQ178" s="14">
        <f t="shared" si="176"/>
        <v>8.0934058173791862E-13</v>
      </c>
      <c r="DR178" s="22">
        <f t="shared" si="177"/>
        <v>1.4960899118586383E-12</v>
      </c>
      <c r="DS178" s="62">
        <f t="shared" si="125"/>
        <v>289.81774155080717</v>
      </c>
      <c r="DT178" s="62">
        <f ca="1">AVERAGE(OFFSET($DS$3,0,0,'Données projet'!$E$14+1,1))-AVERAGE(OFFSET($H$3,0,0,'Données projet'!$E$14+1,1))</f>
        <v>289.18543665577761</v>
      </c>
      <c r="DU178" s="62">
        <f t="shared" si="152"/>
        <v>291.40065947222843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0.19983430810992753</v>
      </c>
      <c r="EC178" s="23">
        <f>EXP(-LN(2)/2)*EC177+(1-EXP(-LN(2)/2))/(LN(2)/2)*DW178*DZ178*VLOOKUP('Données projet'!$B$14,Paramètres!$A$1:$I$89,3,0)*0.475*44/12</f>
        <v>1.567223281211027E-21</v>
      </c>
      <c r="ED178" s="24">
        <f t="shared" si="178"/>
        <v>0.19983430810992753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514.72748286045442</v>
      </c>
      <c r="EP178" s="62">
        <f t="shared" si="154"/>
        <v>322.28702110656116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0.18365515626447701</v>
      </c>
      <c r="EX178" s="23">
        <f>EXP(-LN(2)/2)*EX177+(1-EXP(-LN(2)/2))/(LN(2)/2)*ER178*EU178*VLOOKUP('Données projet'!$B$15,Paramètres!$A$1:$I$89,3,0)*0.475*44/12</f>
        <v>2.5019680343104108E-21</v>
      </c>
      <c r="EY178" s="24">
        <f t="shared" si="181"/>
        <v>0.18365515626447701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69.041202241128829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4.0999999999999996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15.033333333333331</v>
      </c>
      <c r="H179" s="70">
        <f t="shared" si="110"/>
        <v>196.53333333333333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70.794576398719499</v>
      </c>
      <c r="T179" s="62">
        <f t="shared" si="142"/>
        <v>328.91236364911629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1.423291152057176E-23</v>
      </c>
      <c r="AC179" s="24">
        <f t="shared" si="163"/>
        <v>1.423291152057176E-23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466.75323833427217</v>
      </c>
      <c r="AO179" s="62">
        <f t="shared" si="144"/>
        <v>293.88550076209378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0.15939568598135939</v>
      </c>
      <c r="AW179" s="23">
        <f>EXP(-LN(2)/2)*AW178+(1-EXP(-LN(2)/2))/(LN(2)/2)*AQ179*AT179*VLOOKUP('Données projet'!$B$10,Paramètres!$A$1:$I$89,3,0)*0.475*44/12</f>
        <v>1.5786337950096389E-21</v>
      </c>
      <c r="AX179" s="23">
        <f t="shared" si="166"/>
        <v>0.15939568598135939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68.47741055388687</v>
      </c>
      <c r="BJ179" s="62">
        <f t="shared" si="146"/>
        <v>335.34467252166542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2.8540374108269368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6.578161932956948E-23</v>
      </c>
      <c r="BS179" s="24">
        <f t="shared" si="169"/>
        <v>2.8540374108269368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3.3992364478763198E-14</v>
      </c>
      <c r="CA179" s="14">
        <f t="shared" si="170"/>
        <v>5.790027782444094E-13</v>
      </c>
      <c r="CB179" s="22">
        <f t="shared" si="171"/>
        <v>1.0676332069095257E-12</v>
      </c>
      <c r="CC179" s="62">
        <f t="shared" si="119"/>
        <v>289.87872920854795</v>
      </c>
      <c r="CD179" s="62">
        <f ca="1">AVERAGE(OFFSET($CC$3,0,0,'Données projet'!$E$12+1,1))-AVERAGE(OFFSET($H$3,0,0,'Données projet'!$E$12+1,1))</f>
        <v>211.76609132110815</v>
      </c>
      <c r="CE179" s="62">
        <f t="shared" si="148"/>
        <v>363.07965692095752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0.54821407873596895</v>
      </c>
      <c r="CL179" s="23">
        <f>EXP(-LN(2)/25)*CL178+(1-EXP(-LN(2)/25))/(LN(2)/25)*Calculateur!CG179*Calculateur!CI179*VLOOKUP('Données projet'!$B$12,Paramètres!$A$1:$I$89,3,0)*0.475*44/12</f>
        <v>9.4967983729523184E-2</v>
      </c>
      <c r="CM179" s="23">
        <f>EXP(-LN(2)/2)*CM178+(1-EXP(-LN(2)/2))/(LN(2)/2)*CG179*CJ179*VLOOKUP('Données projet'!$B$12,Paramètres!$A$1:$I$89,3,0)*0.475*44/12</f>
        <v>2.4965385510120184E-22</v>
      </c>
      <c r="CN179" s="24">
        <f t="shared" si="172"/>
        <v>0.64318206246549214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-5.1431925385259088E-14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374.91250349988451</v>
      </c>
      <c r="CZ179" s="62">
        <f t="shared" si="150"/>
        <v>529.46825265662869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0.58743446086496942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0.58743446086496942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4.9658410716801891E-14</v>
      </c>
      <c r="DQ179" s="14">
        <f t="shared" si="176"/>
        <v>8.0934058173791862E-13</v>
      </c>
      <c r="DR179" s="22">
        <f t="shared" si="177"/>
        <v>1.4960899118586383E-12</v>
      </c>
      <c r="DS179" s="62">
        <f t="shared" si="125"/>
        <v>289.87872920854835</v>
      </c>
      <c r="DT179" s="62">
        <f ca="1">AVERAGE(OFFSET($DS$3,0,0,'Données projet'!$E$14+1,1))-AVERAGE(OFFSET($H$3,0,0,'Données projet'!$E$14+1,1))</f>
        <v>289.18543665577761</v>
      </c>
      <c r="DU179" s="62">
        <f t="shared" si="152"/>
        <v>291.40065947222843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0.19436982844583203</v>
      </c>
      <c r="EC179" s="23">
        <f>EXP(-LN(2)/2)*EC178+(1-EXP(-LN(2)/2))/(LN(2)/2)*DW179*DZ179*VLOOKUP('Données projet'!$B$14,Paramètres!$A$1:$I$89,3,0)*0.475*44/12</f>
        <v>1.1081942097777487E-21</v>
      </c>
      <c r="ED179" s="24">
        <f t="shared" si="178"/>
        <v>0.19436982844583203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514.72748286045442</v>
      </c>
      <c r="EP179" s="62">
        <f t="shared" si="154"/>
        <v>322.28702110656116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0.17863309635841998</v>
      </c>
      <c r="EX179" s="23">
        <f>EXP(-LN(2)/2)*EX178+(1-EXP(-LN(2)/2))/(LN(2)/2)*ER179*EU179*VLOOKUP('Données projet'!$B$15,Paramètres!$A$1:$I$89,3,0)*0.475*44/12</f>
        <v>1.7691585633728681E-21</v>
      </c>
      <c r="EY179" s="24">
        <f t="shared" si="181"/>
        <v>0.17863309635841998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69.057835238694594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4.0999999999999996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15.033333333333331</v>
      </c>
      <c r="H180" s="70">
        <f t="shared" si="110"/>
        <v>196.53333333333333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70.794576398719499</v>
      </c>
      <c r="T180" s="62">
        <f t="shared" si="142"/>
        <v>328.91236364911629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1.0064188252224427E-23</v>
      </c>
      <c r="AC180" s="24">
        <f t="shared" si="163"/>
        <v>1.0064188252224427E-23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466.75323833427217</v>
      </c>
      <c r="AO180" s="62">
        <f t="shared" si="144"/>
        <v>293.88550076209378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0.1550370025659443</v>
      </c>
      <c r="AW180" s="23">
        <f>EXP(-LN(2)/2)*AW179+(1-EXP(-LN(2)/2))/(LN(2)/2)*AQ180*AT180*VLOOKUP('Données projet'!$B$10,Paramètres!$A$1:$I$89,3,0)*0.475*44/12</f>
        <v>1.1162626614615698E-21</v>
      </c>
      <c r="AX180" s="23">
        <f t="shared" si="166"/>
        <v>0.1550370025659443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68.47741055388687</v>
      </c>
      <c r="BJ180" s="62">
        <f t="shared" si="146"/>
        <v>335.34467252166542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2.7980714779915523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4.6514629105370653E-23</v>
      </c>
      <c r="BS180" s="24">
        <f t="shared" si="169"/>
        <v>2.7980714779915523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3.3992364478763198E-14</v>
      </c>
      <c r="CA180" s="14">
        <f t="shared" si="170"/>
        <v>5.790027782444094E-13</v>
      </c>
      <c r="CB180" s="22">
        <f t="shared" si="171"/>
        <v>1.0676332069095257E-12</v>
      </c>
      <c r="CC180" s="62">
        <f t="shared" si="119"/>
        <v>289.9386588667752</v>
      </c>
      <c r="CD180" s="62">
        <f ca="1">AVERAGE(OFFSET($CC$3,0,0,'Données projet'!$E$12+1,1))-AVERAGE(OFFSET($H$3,0,0,'Données projet'!$E$12+1,1))</f>
        <v>211.76609132110815</v>
      </c>
      <c r="CE180" s="62">
        <f t="shared" si="148"/>
        <v>363.07965692095752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0.53746393502952761</v>
      </c>
      <c r="CL180" s="23">
        <f>EXP(-LN(2)/25)*CL179+(1-EXP(-LN(2)/25))/(LN(2)/25)*Calculateur!CG180*Calculateur!CI180*VLOOKUP('Données projet'!$B$12,Paramètres!$A$1:$I$89,3,0)*0.475*44/12</f>
        <v>9.2371079220290156E-2</v>
      </c>
      <c r="CM180" s="23">
        <f>EXP(-LN(2)/2)*CM179+(1-EXP(-LN(2)/2))/(LN(2)/2)*CG180*CJ180*VLOOKUP('Données projet'!$B$12,Paramètres!$A$1:$I$89,3,0)*0.475*44/12</f>
        <v>1.7653193389142357E-22</v>
      </c>
      <c r="CN180" s="24">
        <f t="shared" si="172"/>
        <v>0.6298350142498178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-5.1431925385259088E-14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374.91250349988451</v>
      </c>
      <c r="CZ180" s="62">
        <f t="shared" si="150"/>
        <v>529.46825265662869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0.57591522938704931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0.57591522938704931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4.9658410716801891E-14</v>
      </c>
      <c r="DQ180" s="14">
        <f t="shared" si="176"/>
        <v>8.0934058173791862E-13</v>
      </c>
      <c r="DR180" s="22">
        <f t="shared" si="177"/>
        <v>1.4960899118586383E-12</v>
      </c>
      <c r="DS180" s="62">
        <f t="shared" si="125"/>
        <v>289.9386588667756</v>
      </c>
      <c r="DT180" s="62">
        <f ca="1">AVERAGE(OFFSET($DS$3,0,0,'Données projet'!$E$14+1,1))-AVERAGE(OFFSET($H$3,0,0,'Données projet'!$E$14+1,1))</f>
        <v>289.18543665577761</v>
      </c>
      <c r="DU180" s="62">
        <f t="shared" si="152"/>
        <v>291.40065947222843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0.18905477526551573</v>
      </c>
      <c r="EC180" s="23">
        <f>EXP(-LN(2)/2)*EC179+(1-EXP(-LN(2)/2))/(LN(2)/2)*DW180*DZ180*VLOOKUP('Données projet'!$B$14,Paramètres!$A$1:$I$89,3,0)*0.475*44/12</f>
        <v>7.8361164060551349E-22</v>
      </c>
      <c r="ED180" s="24">
        <f t="shared" si="178"/>
        <v>0.18905477526551573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514.72748286045442</v>
      </c>
      <c r="EP180" s="62">
        <f t="shared" si="154"/>
        <v>322.28702110656116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0.17374836494459273</v>
      </c>
      <c r="EX180" s="23">
        <f>EXP(-LN(2)/2)*EX179+(1-EXP(-LN(2)/2))/(LN(2)/2)*ER180*EU180*VLOOKUP('Données projet'!$B$15,Paramètres!$A$1:$I$89,3,0)*0.475*44/12</f>
        <v>1.2509840171552054E-21</v>
      </c>
      <c r="EY180" s="24">
        <f t="shared" si="181"/>
        <v>0.17374836494459273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69.074179690938394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4.0999999999999996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15.033333333333331</v>
      </c>
      <c r="H181" s="70">
        <f t="shared" si="110"/>
        <v>196.53333333333333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70.794576398719499</v>
      </c>
      <c r="T181" s="62">
        <f t="shared" si="142"/>
        <v>328.91236364911629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7.1164557602858802E-24</v>
      </c>
      <c r="AC181" s="24">
        <f t="shared" si="163"/>
        <v>7.1164557602858802E-24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466.75323833427217</v>
      </c>
      <c r="AO181" s="62">
        <f t="shared" si="144"/>
        <v>293.88550076209378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0.15079750757773694</v>
      </c>
      <c r="AW181" s="23">
        <f>EXP(-LN(2)/2)*AW180+(1-EXP(-LN(2)/2))/(LN(2)/2)*AQ181*AT181*VLOOKUP('Données projet'!$B$10,Paramètres!$A$1:$I$89,3,0)*0.475*44/12</f>
        <v>7.8931689750481943E-22</v>
      </c>
      <c r="AX181" s="23">
        <f t="shared" si="166"/>
        <v>0.15079750757773694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68.47741055388687</v>
      </c>
      <c r="BJ181" s="62">
        <f t="shared" si="146"/>
        <v>335.34467252166542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2.7432030029632215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3.289080966478474E-23</v>
      </c>
      <c r="BS181" s="24">
        <f t="shared" si="169"/>
        <v>2.7432030029632215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3.3992364478763198E-14</v>
      </c>
      <c r="CA181" s="14">
        <f t="shared" si="170"/>
        <v>5.790027782444094E-13</v>
      </c>
      <c r="CB181" s="22">
        <f t="shared" si="171"/>
        <v>1.0676332069095257E-12</v>
      </c>
      <c r="CC181" s="62">
        <f t="shared" si="119"/>
        <v>289.99754887941481</v>
      </c>
      <c r="CD181" s="62">
        <f ca="1">AVERAGE(OFFSET($CC$3,0,0,'Données projet'!$E$12+1,1))-AVERAGE(OFFSET($H$3,0,0,'Données projet'!$E$12+1,1))</f>
        <v>211.76609132110815</v>
      </c>
      <c r="CE181" s="62">
        <f t="shared" si="148"/>
        <v>363.07965692095752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0.52692459508422929</v>
      </c>
      <c r="CL181" s="23">
        <f>EXP(-LN(2)/25)*CL180+(1-EXP(-LN(2)/25))/(LN(2)/25)*Calculateur!CG181*Calculateur!CI181*VLOOKUP('Données projet'!$B$12,Paramètres!$A$1:$I$89,3,0)*0.475*44/12</f>
        <v>8.9845187201427382E-2</v>
      </c>
      <c r="CM181" s="23">
        <f>EXP(-LN(2)/2)*CM180+(1-EXP(-LN(2)/2))/(LN(2)/2)*CG181*CJ181*VLOOKUP('Données projet'!$B$12,Paramètres!$A$1:$I$89,3,0)*0.475*44/12</f>
        <v>1.2482692755060092E-22</v>
      </c>
      <c r="CN181" s="24">
        <f t="shared" si="172"/>
        <v>0.61676978228565671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-5.1431925385259088E-14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374.91250349988451</v>
      </c>
      <c r="CZ181" s="62">
        <f t="shared" si="150"/>
        <v>529.46825265662869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0.56462188301237382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0.56462188301237382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4.9658410716801891E-14</v>
      </c>
      <c r="DQ181" s="14">
        <f t="shared" si="176"/>
        <v>8.0934058173791862E-13</v>
      </c>
      <c r="DR181" s="22">
        <f t="shared" si="177"/>
        <v>1.4960899118586383E-12</v>
      </c>
      <c r="DS181" s="62">
        <f t="shared" si="125"/>
        <v>289.99754887941521</v>
      </c>
      <c r="DT181" s="62">
        <f ca="1">AVERAGE(OFFSET($DS$3,0,0,'Données projet'!$E$14+1,1))-AVERAGE(OFFSET($H$3,0,0,'Données projet'!$E$14+1,1))</f>
        <v>289.18543665577761</v>
      </c>
      <c r="DU181" s="62">
        <f t="shared" si="152"/>
        <v>291.40065947222843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0.18388506249392167</v>
      </c>
      <c r="EC181" s="23">
        <f>EXP(-LN(2)/2)*EC180+(1-EXP(-LN(2)/2))/(LN(2)/2)*DW181*DZ181*VLOOKUP('Données projet'!$B$14,Paramètres!$A$1:$I$89,3,0)*0.475*44/12</f>
        <v>5.5409710488887434E-22</v>
      </c>
      <c r="ED181" s="24">
        <f t="shared" si="178"/>
        <v>0.18388506249392167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514.72748286045442</v>
      </c>
      <c r="EP181" s="62">
        <f t="shared" si="154"/>
        <v>322.28702110656116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0.16899720676815344</v>
      </c>
      <c r="EX181" s="23">
        <f>EXP(-LN(2)/2)*EX180+(1-EXP(-LN(2)/2))/(LN(2)/2)*ER181*EU181*VLOOKUP('Données projet'!$B$15,Paramètres!$A$1:$I$89,3,0)*0.475*44/12</f>
        <v>8.8457928168643403E-22</v>
      </c>
      <c r="EY181" s="24">
        <f t="shared" si="181"/>
        <v>0.16899720676815344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69.090240603476474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4.0999999999999996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15.033333333333331</v>
      </c>
      <c r="H182" s="70">
        <f t="shared" si="110"/>
        <v>196.53333333333333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70.794576398719499</v>
      </c>
      <c r="T182" s="62">
        <f t="shared" si="142"/>
        <v>328.91236364911629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5.0320941261122137E-24</v>
      </c>
      <c r="AC182" s="24">
        <f t="shared" si="163"/>
        <v>5.0320941261122137E-24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466.75323833427217</v>
      </c>
      <c r="AO182" s="62">
        <f t="shared" si="144"/>
        <v>293.88550076209378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0.14667394180292745</v>
      </c>
      <c r="AW182" s="23">
        <f>EXP(-LN(2)/2)*AW181+(1-EXP(-LN(2)/2))/(LN(2)/2)*AQ182*AT182*VLOOKUP('Données projet'!$B$10,Paramètres!$A$1:$I$89,3,0)*0.475*44/12</f>
        <v>5.5813133073078491E-22</v>
      </c>
      <c r="AX182" s="23">
        <f t="shared" si="166"/>
        <v>0.14667394180292745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68.47741055388687</v>
      </c>
      <c r="BJ182" s="62">
        <f t="shared" si="146"/>
        <v>335.34467252166542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2.6894104652637307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2.3257314552685326E-23</v>
      </c>
      <c r="BS182" s="24">
        <f t="shared" si="169"/>
        <v>2.6894104652637307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3.3992364478763198E-14</v>
      </c>
      <c r="CA182" s="14">
        <f t="shared" si="170"/>
        <v>5.790027782444094E-13</v>
      </c>
      <c r="CB182" s="22">
        <f t="shared" si="171"/>
        <v>1.0676332069095257E-12</v>
      </c>
      <c r="CC182" s="62">
        <f t="shared" si="119"/>
        <v>290.05541728199353</v>
      </c>
      <c r="CD182" s="62">
        <f ca="1">AVERAGE(OFFSET($CC$3,0,0,'Données projet'!$E$12+1,1))-AVERAGE(OFFSET($H$3,0,0,'Données projet'!$E$12+1,1))</f>
        <v>211.76609132110815</v>
      </c>
      <c r="CE182" s="62">
        <f t="shared" si="148"/>
        <v>363.07965692095752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0.51659192516689567</v>
      </c>
      <c r="CL182" s="23">
        <f>EXP(-LN(2)/25)*CL181+(1-EXP(-LN(2)/25))/(LN(2)/25)*Calculateur!CG182*Calculateur!CI182*VLOOKUP('Données projet'!$B$12,Paramètres!$A$1:$I$89,3,0)*0.475*44/12</f>
        <v>8.7388365832651305E-2</v>
      </c>
      <c r="CM182" s="23">
        <f>EXP(-LN(2)/2)*CM181+(1-EXP(-LN(2)/2))/(LN(2)/2)*CG182*CJ182*VLOOKUP('Données projet'!$B$12,Paramètres!$A$1:$I$89,3,0)*0.475*44/12</f>
        <v>8.8265966945711786E-23</v>
      </c>
      <c r="CN182" s="24">
        <f t="shared" si="172"/>
        <v>0.60398029099954698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-5.1431925385259088E-14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374.91250349988451</v>
      </c>
      <c r="CZ182" s="62">
        <f t="shared" si="150"/>
        <v>529.46825265662869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0.55354999227184454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0.55354999227184454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4.9658410716801891E-14</v>
      </c>
      <c r="DQ182" s="14">
        <f t="shared" si="176"/>
        <v>8.0934058173791862E-13</v>
      </c>
      <c r="DR182" s="22">
        <f t="shared" si="177"/>
        <v>1.4960899118586383E-12</v>
      </c>
      <c r="DS182" s="62">
        <f t="shared" si="125"/>
        <v>290.05541728199393</v>
      </c>
      <c r="DT182" s="62">
        <f ca="1">AVERAGE(OFFSET($DS$3,0,0,'Données projet'!$E$14+1,1))-AVERAGE(OFFSET($H$3,0,0,'Données projet'!$E$14+1,1))</f>
        <v>289.18543665577761</v>
      </c>
      <c r="DU182" s="62">
        <f t="shared" si="152"/>
        <v>291.40065947222843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0.17885671578993023</v>
      </c>
      <c r="EC182" s="23">
        <f>EXP(-LN(2)/2)*EC181+(1-EXP(-LN(2)/2))/(LN(2)/2)*DW182*DZ182*VLOOKUP('Données projet'!$B$14,Paramètres!$A$1:$I$89,3,0)*0.475*44/12</f>
        <v>3.9180582030275675E-22</v>
      </c>
      <c r="ED182" s="24">
        <f t="shared" si="178"/>
        <v>0.17885671578993023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514.72748286045442</v>
      </c>
      <c r="EP182" s="62">
        <f t="shared" si="154"/>
        <v>322.28702110656116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0.16437596926190143</v>
      </c>
      <c r="EX182" s="23">
        <f>EXP(-LN(2)/2)*EX181+(1-EXP(-LN(2)/2))/(LN(2)/2)*ER182*EU182*VLOOKUP('Données projet'!$B$15,Paramètres!$A$1:$I$89,3,0)*0.475*44/12</f>
        <v>6.254920085776027E-22</v>
      </c>
      <c r="EY182" s="24">
        <f t="shared" si="181"/>
        <v>0.16437596926190143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69.106022895088842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4.0999999999999996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15.033333333333331</v>
      </c>
      <c r="H183" s="70">
        <f t="shared" si="110"/>
        <v>196.53333333333333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70.794576398719499</v>
      </c>
      <c r="T183" s="62">
        <f t="shared" si="142"/>
        <v>328.91236364911629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3.5582278801429401E-24</v>
      </c>
      <c r="AC183" s="24">
        <f t="shared" si="163"/>
        <v>3.5582278801429401E-24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466.75323833427217</v>
      </c>
      <c r="AO183" s="62">
        <f t="shared" si="144"/>
        <v>293.88550076209378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0.14266313515107903</v>
      </c>
      <c r="AW183" s="23">
        <f>EXP(-LN(2)/2)*AW182+(1-EXP(-LN(2)/2))/(LN(2)/2)*AQ183*AT183*VLOOKUP('Données projet'!$B$10,Paramètres!$A$1:$I$89,3,0)*0.475*44/12</f>
        <v>3.9465844875240972E-22</v>
      </c>
      <c r="AX183" s="23">
        <f t="shared" si="166"/>
        <v>0.14266313515107903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68.47741055388687</v>
      </c>
      <c r="BJ183" s="62">
        <f t="shared" si="146"/>
        <v>335.34467252166542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2.6366727664183189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1.644540483239237E-23</v>
      </c>
      <c r="BS183" s="24">
        <f t="shared" si="169"/>
        <v>2.6366727664183189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3.3992364478763198E-14</v>
      </c>
      <c r="CA183" s="14">
        <f t="shared" si="170"/>
        <v>5.790027782444094E-13</v>
      </c>
      <c r="CB183" s="22">
        <f t="shared" si="171"/>
        <v>1.0676332069095257E-12</v>
      </c>
      <c r="CC183" s="62">
        <f t="shared" si="119"/>
        <v>290.11228179716187</v>
      </c>
      <c r="CD183" s="62">
        <f ca="1">AVERAGE(OFFSET($CC$3,0,0,'Données projet'!$E$12+1,1))-AVERAGE(OFFSET($H$3,0,0,'Données projet'!$E$12+1,1))</f>
        <v>211.76609132110815</v>
      </c>
      <c r="CE183" s="62">
        <f t="shared" si="148"/>
        <v>363.07965692095752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0.50646187260433462</v>
      </c>
      <c r="CL183" s="23">
        <f>EXP(-LN(2)/25)*CL182+(1-EXP(-LN(2)/25))/(LN(2)/25)*Calculateur!CG183*Calculateur!CI183*VLOOKUP('Données projet'!$B$12,Paramètres!$A$1:$I$89,3,0)*0.475*44/12</f>
        <v>8.4998726373403027E-2</v>
      </c>
      <c r="CM183" s="23">
        <f>EXP(-LN(2)/2)*CM182+(1-EXP(-LN(2)/2))/(LN(2)/2)*CG183*CJ183*VLOOKUP('Données projet'!$B$12,Paramètres!$A$1:$I$89,3,0)*0.475*44/12</f>
        <v>6.2413463775300459E-23</v>
      </c>
      <c r="CN183" s="24">
        <f t="shared" si="172"/>
        <v>0.59146059897773762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-5.1431925385259088E-14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374.91250349988451</v>
      </c>
      <c r="CZ183" s="62">
        <f t="shared" si="150"/>
        <v>529.46825265662869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0.54269521455555059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0.54269521455555059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4.9658410716801891E-14</v>
      </c>
      <c r="DQ183" s="14">
        <f t="shared" si="176"/>
        <v>8.0934058173791862E-13</v>
      </c>
      <c r="DR183" s="22">
        <f t="shared" si="177"/>
        <v>1.4960899118586383E-12</v>
      </c>
      <c r="DS183" s="62">
        <f t="shared" si="125"/>
        <v>290.11228179716227</v>
      </c>
      <c r="DT183" s="62">
        <f ca="1">AVERAGE(OFFSET($DS$3,0,0,'Données projet'!$E$14+1,1))-AVERAGE(OFFSET($H$3,0,0,'Données projet'!$E$14+1,1))</f>
        <v>289.18543665577761</v>
      </c>
      <c r="DU183" s="62">
        <f t="shared" si="152"/>
        <v>291.40065947222843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0.17396586949098869</v>
      </c>
      <c r="EC183" s="23">
        <f>EXP(-LN(2)/2)*EC182+(1-EXP(-LN(2)/2))/(LN(2)/2)*DW183*DZ183*VLOOKUP('Données projet'!$B$14,Paramètres!$A$1:$I$89,3,0)*0.475*44/12</f>
        <v>2.7704855244443717E-22</v>
      </c>
      <c r="ED183" s="24">
        <f t="shared" si="178"/>
        <v>0.17396586949098869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514.72748286045442</v>
      </c>
      <c r="EP183" s="62">
        <f t="shared" si="154"/>
        <v>322.28702110656116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0.15988109973827819</v>
      </c>
      <c r="EX183" s="23">
        <f>EXP(-LN(2)/2)*EX182+(1-EXP(-LN(2)/2))/(LN(2)/2)*ER183*EU183*VLOOKUP('Données projet'!$B$15,Paramètres!$A$1:$I$89,3,0)*0.475*44/12</f>
        <v>4.4228964084321702E-22</v>
      </c>
      <c r="EY183" s="24">
        <f t="shared" si="181"/>
        <v>0.15988109973827819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69.121531399225674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4.0999999999999996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15.033333333333331</v>
      </c>
      <c r="H184" s="70">
        <f t="shared" si="110"/>
        <v>196.53333333333333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70.794576398719499</v>
      </c>
      <c r="T184" s="62">
        <f t="shared" si="142"/>
        <v>328.91236364911629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2.5160470630561069E-24</v>
      </c>
      <c r="AC184" s="24">
        <f t="shared" si="163"/>
        <v>2.5160470630561069E-24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466.75323833427217</v>
      </c>
      <c r="AO184" s="62">
        <f t="shared" si="144"/>
        <v>293.88550076209378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0.13876200421804455</v>
      </c>
      <c r="AW184" s="23">
        <f>EXP(-LN(2)/2)*AW183+(1-EXP(-LN(2)/2))/(LN(2)/2)*AQ184*AT184*VLOOKUP('Données projet'!$B$10,Paramètres!$A$1:$I$89,3,0)*0.475*44/12</f>
        <v>2.7906566536539245E-22</v>
      </c>
      <c r="AX184" s="23">
        <f t="shared" si="166"/>
        <v>0.13876200421804455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68.47741055388687</v>
      </c>
      <c r="BJ184" s="62">
        <f t="shared" si="146"/>
        <v>335.34467252166542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2.5849692216804456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1.1628657276342663E-23</v>
      </c>
      <c r="BS184" s="24">
        <f t="shared" si="169"/>
        <v>2.5849692216804456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3.3992364478763198E-14</v>
      </c>
      <c r="CA184" s="14">
        <f t="shared" si="170"/>
        <v>5.790027782444094E-13</v>
      </c>
      <c r="CB184" s="22">
        <f t="shared" si="171"/>
        <v>1.0676332069095257E-12</v>
      </c>
      <c r="CC184" s="62">
        <f t="shared" si="119"/>
        <v>290.16815984012203</v>
      </c>
      <c r="CD184" s="62">
        <f ca="1">AVERAGE(OFFSET($CC$3,0,0,'Données projet'!$E$12+1,1))-AVERAGE(OFFSET($H$3,0,0,'Données projet'!$E$12+1,1))</f>
        <v>211.76609132110815</v>
      </c>
      <c r="CE184" s="62">
        <f t="shared" si="148"/>
        <v>363.07965692095752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0.49653046419380348</v>
      </c>
      <c r="CL184" s="23">
        <f>EXP(-LN(2)/25)*CL183+(1-EXP(-LN(2)/25))/(LN(2)/25)*Calculateur!CG184*Calculateur!CI184*VLOOKUP('Données projet'!$B$12,Paramètres!$A$1:$I$89,3,0)*0.475*44/12</f>
        <v>8.2674431730833567E-2</v>
      </c>
      <c r="CM184" s="23">
        <f>EXP(-LN(2)/2)*CM183+(1-EXP(-LN(2)/2))/(LN(2)/2)*CG184*CJ184*VLOOKUP('Données projet'!$B$12,Paramètres!$A$1:$I$89,3,0)*0.475*44/12</f>
        <v>4.4132983472855893E-23</v>
      </c>
      <c r="CN184" s="24">
        <f t="shared" si="172"/>
        <v>0.57920489592463709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-5.1431925385259088E-14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374.91250349988451</v>
      </c>
      <c r="CZ184" s="62">
        <f t="shared" si="150"/>
        <v>529.46825265662869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0.53205329240951249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0.53205329240951249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4.9658410716801891E-14</v>
      </c>
      <c r="DQ184" s="14">
        <f t="shared" si="176"/>
        <v>8.0934058173791862E-13</v>
      </c>
      <c r="DR184" s="22">
        <f t="shared" si="177"/>
        <v>1.4960899118586383E-12</v>
      </c>
      <c r="DS184" s="62">
        <f t="shared" si="125"/>
        <v>290.16815984012243</v>
      </c>
      <c r="DT184" s="62">
        <f ca="1">AVERAGE(OFFSET($DS$3,0,0,'Données projet'!$E$14+1,1))-AVERAGE(OFFSET($H$3,0,0,'Données projet'!$E$14+1,1))</f>
        <v>289.18543665577761</v>
      </c>
      <c r="DU184" s="62">
        <f t="shared" si="152"/>
        <v>291.40065947222843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0.16920876364129014</v>
      </c>
      <c r="EC184" s="23">
        <f>EXP(-LN(2)/2)*EC183+(1-EXP(-LN(2)/2))/(LN(2)/2)*DW184*DZ184*VLOOKUP('Données projet'!$B$14,Paramètres!$A$1:$I$89,3,0)*0.475*44/12</f>
        <v>1.9590291015137837E-22</v>
      </c>
      <c r="ED184" s="24">
        <f t="shared" si="178"/>
        <v>0.16920876364129014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514.72748286045442</v>
      </c>
      <c r="EP184" s="62">
        <f t="shared" si="154"/>
        <v>322.28702110656116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0.15550914265815335</v>
      </c>
      <c r="EX184" s="23">
        <f>EXP(-LN(2)/2)*EX183+(1-EXP(-LN(2)/2))/(LN(2)/2)*ER184*EU184*VLOOKUP('Données projet'!$B$15,Paramètres!$A$1:$I$89,3,0)*0.475*44/12</f>
        <v>3.1274600428880135E-22</v>
      </c>
      <c r="EY184" s="24">
        <f t="shared" si="181"/>
        <v>0.15550914265815335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69.136770865487534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4.0999999999999996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15.033333333333331</v>
      </c>
      <c r="H185" s="70">
        <f t="shared" si="110"/>
        <v>196.53333333333333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70.794576398719499</v>
      </c>
      <c r="T185" s="62">
        <f t="shared" si="142"/>
        <v>328.91236364911629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1.7791139400714701E-24</v>
      </c>
      <c r="AC185" s="24">
        <f t="shared" si="163"/>
        <v>1.7791139400714701E-24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466.75323833427217</v>
      </c>
      <c r="AO185" s="62">
        <f t="shared" si="144"/>
        <v>293.88550076209378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0.13496754991552545</v>
      </c>
      <c r="AW185" s="23">
        <f>EXP(-LN(2)/2)*AW184+(1-EXP(-LN(2)/2))/(LN(2)/2)*AQ185*AT185*VLOOKUP('Données projet'!$B$10,Paramètres!$A$1:$I$89,3,0)*0.475*44/12</f>
        <v>1.9732922437620486E-22</v>
      </c>
      <c r="AX185" s="23">
        <f t="shared" si="166"/>
        <v>0.13496754991552545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68.47741055388687</v>
      </c>
      <c r="BJ185" s="62">
        <f t="shared" si="146"/>
        <v>335.34467252166542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2.5342795519188335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8.2227024161961851E-24</v>
      </c>
      <c r="BS185" s="24">
        <f t="shared" si="169"/>
        <v>2.5342795519188335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3.3992364478763198E-14</v>
      </c>
      <c r="CA185" s="14">
        <f t="shared" si="170"/>
        <v>5.790027782444094E-13</v>
      </c>
      <c r="CB185" s="22">
        <f t="shared" si="171"/>
        <v>1.0676332069095257E-12</v>
      </c>
      <c r="CC185" s="62">
        <f t="shared" si="119"/>
        <v>290.2230685239615</v>
      </c>
      <c r="CD185" s="62">
        <f ca="1">AVERAGE(OFFSET($CC$3,0,0,'Données projet'!$E$12+1,1))-AVERAGE(OFFSET($H$3,0,0,'Données projet'!$E$12+1,1))</f>
        <v>211.76609132110815</v>
      </c>
      <c r="CE185" s="62">
        <f t="shared" si="148"/>
        <v>363.07965692095752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0.48679380464464184</v>
      </c>
      <c r="CL185" s="23">
        <f>EXP(-LN(2)/25)*CL184+(1-EXP(-LN(2)/25))/(LN(2)/25)*Calculateur!CG185*Calculateur!CI185*VLOOKUP('Données projet'!$B$12,Paramètres!$A$1:$I$89,3,0)*0.475*44/12</f>
        <v>8.0413695047494516E-2</v>
      </c>
      <c r="CM185" s="23">
        <f>EXP(-LN(2)/2)*CM184+(1-EXP(-LN(2)/2))/(LN(2)/2)*CG185*CJ185*VLOOKUP('Données projet'!$B$12,Paramètres!$A$1:$I$89,3,0)*0.475*44/12</f>
        <v>3.120673188765023E-23</v>
      </c>
      <c r="CN185" s="24">
        <f t="shared" si="172"/>
        <v>0.56720749969213635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-5.1431925385259088E-14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374.91250349988451</v>
      </c>
      <c r="CZ185" s="62">
        <f t="shared" si="150"/>
        <v>529.46825265662869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0.52162005186582661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0.52162005186582661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4.9658410716801891E-14</v>
      </c>
      <c r="DQ185" s="14">
        <f t="shared" si="176"/>
        <v>8.0934058173791862E-13</v>
      </c>
      <c r="DR185" s="22">
        <f t="shared" si="177"/>
        <v>1.4960899118586383E-12</v>
      </c>
      <c r="DS185" s="62">
        <f t="shared" si="125"/>
        <v>290.2230685239619</v>
      </c>
      <c r="DT185" s="62">
        <f ca="1">AVERAGE(OFFSET($DS$3,0,0,'Données projet'!$E$14+1,1))-AVERAGE(OFFSET($H$3,0,0,'Données projet'!$E$14+1,1))</f>
        <v>289.18543665577761</v>
      </c>
      <c r="DU185" s="62">
        <f t="shared" si="152"/>
        <v>291.40065947222843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0.16458174110121693</v>
      </c>
      <c r="EC185" s="23">
        <f>EXP(-LN(2)/2)*EC184+(1-EXP(-LN(2)/2))/(LN(2)/2)*DW185*DZ185*VLOOKUP('Données projet'!$B$14,Paramètres!$A$1:$I$89,3,0)*0.475*44/12</f>
        <v>1.3852427622221859E-22</v>
      </c>
      <c r="ED185" s="24">
        <f t="shared" si="178"/>
        <v>0.16458174110121693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514.72748286045442</v>
      </c>
      <c r="EP185" s="62">
        <f t="shared" si="154"/>
        <v>322.28702110656116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0.15125673697429576</v>
      </c>
      <c r="EX185" s="23">
        <f>EXP(-LN(2)/2)*EX184+(1-EXP(-LN(2)/2))/(LN(2)/2)*ER185*EU185*VLOOKUP('Données projet'!$B$15,Paramètres!$A$1:$I$89,3,0)*0.475*44/12</f>
        <v>2.2114482042160851E-22</v>
      </c>
      <c r="EY185" s="24">
        <f t="shared" si="181"/>
        <v>0.15125673697429576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69.15174596108011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4.0999999999999996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15.033333333333331</v>
      </c>
      <c r="H186" s="70">
        <f t="shared" si="110"/>
        <v>196.53333333333333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70.794576398719499</v>
      </c>
      <c r="T186" s="62">
        <f t="shared" si="142"/>
        <v>328.91236364911629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1.2580235315280534E-24</v>
      </c>
      <c r="AC186" s="24">
        <f t="shared" si="163"/>
        <v>1.2580235315280534E-24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466.75323833427217</v>
      </c>
      <c r="AO186" s="62">
        <f t="shared" si="144"/>
        <v>293.88550076209378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0.13127685516545043</v>
      </c>
      <c r="AW186" s="23">
        <f>EXP(-LN(2)/2)*AW185+(1-EXP(-LN(2)/2))/(LN(2)/2)*AQ186*AT186*VLOOKUP('Données projet'!$B$10,Paramètres!$A$1:$I$89,3,0)*0.475*44/12</f>
        <v>1.3953283268269623E-22</v>
      </c>
      <c r="AX186" s="23">
        <f t="shared" si="166"/>
        <v>0.13127685516545043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68.47741055388687</v>
      </c>
      <c r="BJ186" s="62">
        <f t="shared" si="146"/>
        <v>335.34467252166542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2.4845838756636009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5.8143286381713316E-24</v>
      </c>
      <c r="BS186" s="24">
        <f t="shared" si="169"/>
        <v>2.4845838756636009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3.3992364478763198E-14</v>
      </c>
      <c r="CA186" s="14">
        <f t="shared" si="170"/>
        <v>5.790027782444094E-13</v>
      </c>
      <c r="CB186" s="22">
        <f t="shared" si="171"/>
        <v>1.0676332069095257E-12</v>
      </c>
      <c r="CC186" s="62">
        <f t="shared" si="119"/>
        <v>290.2770246648937</v>
      </c>
      <c r="CD186" s="62">
        <f ca="1">AVERAGE(OFFSET($CC$3,0,0,'Données projet'!$E$12+1,1))-AVERAGE(OFFSET($H$3,0,0,'Données projet'!$E$12+1,1))</f>
        <v>211.76609132110815</v>
      </c>
      <c r="CE186" s="62">
        <f t="shared" si="148"/>
        <v>363.07965692095752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0.47724807505046335</v>
      </c>
      <c r="CL186" s="23">
        <f>EXP(-LN(2)/25)*CL185+(1-EXP(-LN(2)/25))/(LN(2)/25)*Calculateur!CG186*Calculateur!CI186*VLOOKUP('Données projet'!$B$12,Paramètres!$A$1:$I$89,3,0)*0.475*44/12</f>
        <v>7.8214778327648338E-2</v>
      </c>
      <c r="CM186" s="23">
        <f>EXP(-LN(2)/2)*CM185+(1-EXP(-LN(2)/2))/(LN(2)/2)*CG186*CJ186*VLOOKUP('Données projet'!$B$12,Paramètres!$A$1:$I$89,3,0)*0.475*44/12</f>
        <v>2.2066491736427946E-23</v>
      </c>
      <c r="CN186" s="24">
        <f t="shared" si="172"/>
        <v>0.55546285337811163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-5.1431925385259088E-14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374.91250349988451</v>
      </c>
      <c r="CZ186" s="62">
        <f t="shared" si="150"/>
        <v>529.46825265662869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0.51139140080555401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0.51139140080555401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4.9658410716801891E-14</v>
      </c>
      <c r="DQ186" s="14">
        <f t="shared" si="176"/>
        <v>8.0934058173791862E-13</v>
      </c>
      <c r="DR186" s="22">
        <f t="shared" si="177"/>
        <v>1.4960899118586383E-12</v>
      </c>
      <c r="DS186" s="62">
        <f t="shared" si="125"/>
        <v>290.2770246648941</v>
      </c>
      <c r="DT186" s="62">
        <f ca="1">AVERAGE(OFFSET($DS$3,0,0,'Données projet'!$E$14+1,1))-AVERAGE(OFFSET($H$3,0,0,'Données projet'!$E$14+1,1))</f>
        <v>289.18543665577761</v>
      </c>
      <c r="DU186" s="62">
        <f t="shared" si="152"/>
        <v>291.40065947222843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0.16008124473582655</v>
      </c>
      <c r="EC186" s="23">
        <f>EXP(-LN(2)/2)*EC185+(1-EXP(-LN(2)/2))/(LN(2)/2)*DW186*DZ186*VLOOKUP('Données projet'!$B$14,Paramètres!$A$1:$I$89,3,0)*0.475*44/12</f>
        <v>9.7951455075689187E-23</v>
      </c>
      <c r="ED186" s="24">
        <f t="shared" si="178"/>
        <v>0.16008124473582655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514.72748286045442</v>
      </c>
      <c r="EP186" s="62">
        <f t="shared" si="154"/>
        <v>322.28702110656116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0.14712061354748754</v>
      </c>
      <c r="EX186" s="23">
        <f>EXP(-LN(2)/2)*EX185+(1-EXP(-LN(2)/2))/(LN(2)/2)*ER186*EU186*VLOOKUP('Données projet'!$B$15,Paramètres!$A$1:$I$89,3,0)*0.475*44/12</f>
        <v>1.5637300214440068E-22</v>
      </c>
      <c r="EY186" s="24">
        <f t="shared" si="181"/>
        <v>0.14712061354748754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69.166461272243438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4.0999999999999996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15.033333333333331</v>
      </c>
      <c r="H187" s="70">
        <f t="shared" si="110"/>
        <v>196.53333333333333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70.794576398719499</v>
      </c>
      <c r="T187" s="62">
        <f t="shared" si="142"/>
        <v>328.91236364911629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8.8955697003573503E-25</v>
      </c>
      <c r="AC187" s="24">
        <f t="shared" si="163"/>
        <v>8.8955697003573503E-25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466.75323833427217</v>
      </c>
      <c r="AO187" s="62">
        <f t="shared" si="144"/>
        <v>293.88550076209378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0.12768708265740142</v>
      </c>
      <c r="AW187" s="23">
        <f>EXP(-LN(2)/2)*AW186+(1-EXP(-LN(2)/2))/(LN(2)/2)*AQ187*AT187*VLOOKUP('Données projet'!$B$10,Paramètres!$A$1:$I$89,3,0)*0.475*44/12</f>
        <v>9.8664612188102429E-23</v>
      </c>
      <c r="AX187" s="23">
        <f t="shared" si="166"/>
        <v>0.12768708265740142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68.47741055388687</v>
      </c>
      <c r="BJ187" s="62">
        <f t="shared" si="146"/>
        <v>335.34467252166542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2.435862701308364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4.1113512080980925E-24</v>
      </c>
      <c r="BS187" s="24">
        <f t="shared" si="169"/>
        <v>2.435862701308364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3.3992364478763198E-14</v>
      </c>
      <c r="CA187" s="14">
        <f t="shared" si="170"/>
        <v>5.790027782444094E-13</v>
      </c>
      <c r="CB187" s="22">
        <f t="shared" si="171"/>
        <v>1.0676332069095257E-12</v>
      </c>
      <c r="CC187" s="62">
        <f t="shared" si="119"/>
        <v>290.33004478740861</v>
      </c>
      <c r="CD187" s="62">
        <f ca="1">AVERAGE(OFFSET($CC$3,0,0,'Données projet'!$E$12+1,1))-AVERAGE(OFFSET($H$3,0,0,'Données projet'!$E$12+1,1))</f>
        <v>211.76609132110815</v>
      </c>
      <c r="CE187" s="62">
        <f t="shared" si="148"/>
        <v>363.07965692095752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0.46788953139130651</v>
      </c>
      <c r="CL187" s="23">
        <f>EXP(-LN(2)/25)*CL186+(1-EXP(-LN(2)/25))/(LN(2)/25)*Calculateur!CG187*Calculateur!CI187*VLOOKUP('Données projet'!$B$12,Paramètres!$A$1:$I$89,3,0)*0.475*44/12</f>
        <v>7.6075991101142368E-2</v>
      </c>
      <c r="CM187" s="23">
        <f>EXP(-LN(2)/2)*CM186+(1-EXP(-LN(2)/2))/(LN(2)/2)*CG187*CJ187*VLOOKUP('Données projet'!$B$12,Paramètres!$A$1:$I$89,3,0)*0.475*44/12</f>
        <v>1.5603365943825115E-23</v>
      </c>
      <c r="CN187" s="24">
        <f t="shared" si="172"/>
        <v>0.54396552249244889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-5.1431925385259088E-14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374.91250349988451</v>
      </c>
      <c r="CZ187" s="62">
        <f t="shared" si="150"/>
        <v>529.46825265662869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0.50136332735371225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0.50136332735371225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4.9658410716801891E-14</v>
      </c>
      <c r="DQ187" s="14">
        <f t="shared" si="176"/>
        <v>8.0934058173791862E-13</v>
      </c>
      <c r="DR187" s="22">
        <f t="shared" si="177"/>
        <v>1.4960899118586383E-12</v>
      </c>
      <c r="DS187" s="62">
        <f t="shared" si="125"/>
        <v>290.33004478740901</v>
      </c>
      <c r="DT187" s="62">
        <f ca="1">AVERAGE(OFFSET($DS$3,0,0,'Données projet'!$E$14+1,1))-AVERAGE(OFFSET($H$3,0,0,'Données projet'!$E$14+1,1))</f>
        <v>289.18543665577761</v>
      </c>
      <c r="DU187" s="62">
        <f t="shared" si="152"/>
        <v>291.40065947222843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0.15570381468021857</v>
      </c>
      <c r="EC187" s="23">
        <f>EXP(-LN(2)/2)*EC186+(1-EXP(-LN(2)/2))/(LN(2)/2)*DW187*DZ187*VLOOKUP('Données projet'!$B$14,Paramètres!$A$1:$I$89,3,0)*0.475*44/12</f>
        <v>6.9262138111109293E-23</v>
      </c>
      <c r="ED187" s="24">
        <f t="shared" si="178"/>
        <v>0.15570381468021857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514.72748286045442</v>
      </c>
      <c r="EP187" s="62">
        <f t="shared" si="154"/>
        <v>322.28702110656116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0.14309759263329466</v>
      </c>
      <c r="EX187" s="23">
        <f>EXP(-LN(2)/2)*EX186+(1-EXP(-LN(2)/2))/(LN(2)/2)*ER187*EU187*VLOOKUP('Données projet'!$B$15,Paramètres!$A$1:$I$89,3,0)*0.475*44/12</f>
        <v>1.1057241021080425E-22</v>
      </c>
      <c r="EY187" s="24">
        <f t="shared" si="181"/>
        <v>0.14309759263329466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69.180921305656597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4.0999999999999996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15.033333333333331</v>
      </c>
      <c r="H188" s="70">
        <f t="shared" si="110"/>
        <v>196.53333333333333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70.794576398719499</v>
      </c>
      <c r="T188" s="62">
        <f t="shared" si="142"/>
        <v>328.91236364911629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6.2901176576402672E-25</v>
      </c>
      <c r="AC188" s="24">
        <f t="shared" si="163"/>
        <v>6.2901176576402672E-25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466.75323833427217</v>
      </c>
      <c r="AO188" s="62">
        <f t="shared" si="144"/>
        <v>293.88550076209378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0.12419547266736293</v>
      </c>
      <c r="AW188" s="23">
        <f>EXP(-LN(2)/2)*AW187+(1-EXP(-LN(2)/2))/(LN(2)/2)*AQ188*AT188*VLOOKUP('Données projet'!$B$10,Paramètres!$A$1:$I$89,3,0)*0.475*44/12</f>
        <v>6.9766416341348114E-23</v>
      </c>
      <c r="AX188" s="23">
        <f t="shared" si="166"/>
        <v>0.12419547266736293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68.47741055388687</v>
      </c>
      <c r="BJ188" s="62">
        <f t="shared" si="146"/>
        <v>335.34467252166542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2.388096919465251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2.9071643190856658E-24</v>
      </c>
      <c r="BS188" s="24">
        <f t="shared" si="169"/>
        <v>2.388096919465251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3.3992364478763198E-14</v>
      </c>
      <c r="CA188" s="14">
        <f t="shared" si="170"/>
        <v>5.790027782444094E-13</v>
      </c>
      <c r="CB188" s="22">
        <f t="shared" si="171"/>
        <v>1.0676332069095257E-12</v>
      </c>
      <c r="CC188" s="62">
        <f t="shared" si="119"/>
        <v>290.38214512933314</v>
      </c>
      <c r="CD188" s="62">
        <f ca="1">AVERAGE(OFFSET($CC$3,0,0,'Données projet'!$E$12+1,1))-AVERAGE(OFFSET($H$3,0,0,'Données projet'!$E$12+1,1))</f>
        <v>211.76609132110815</v>
      </c>
      <c r="CE188" s="62">
        <f t="shared" si="148"/>
        <v>363.07965692095752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0.45871450306515776</v>
      </c>
      <c r="CL188" s="23">
        <f>EXP(-LN(2)/25)*CL187+(1-EXP(-LN(2)/25))/(LN(2)/25)*Calculateur!CG188*Calculateur!CI188*VLOOKUP('Données projet'!$B$12,Paramètres!$A$1:$I$89,3,0)*0.475*44/12</f>
        <v>7.3995689123819125E-2</v>
      </c>
      <c r="CM188" s="23">
        <f>EXP(-LN(2)/2)*CM187+(1-EXP(-LN(2)/2))/(LN(2)/2)*CG188*CJ188*VLOOKUP('Données projet'!$B$12,Paramètres!$A$1:$I$89,3,0)*0.475*44/12</f>
        <v>1.1033245868213973E-23</v>
      </c>
      <c r="CN188" s="24">
        <f t="shared" si="172"/>
        <v>0.53271019218897686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-5.1431925385259088E-14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374.91250349988451</v>
      </c>
      <c r="CZ188" s="62">
        <f t="shared" si="150"/>
        <v>529.46825265662869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0.49153189830574023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0.49153189830574023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4.9658410716801891E-14</v>
      </c>
      <c r="DQ188" s="14">
        <f t="shared" si="176"/>
        <v>8.0934058173791862E-13</v>
      </c>
      <c r="DR188" s="22">
        <f t="shared" si="177"/>
        <v>1.4960899118586383E-12</v>
      </c>
      <c r="DS188" s="62">
        <f t="shared" si="125"/>
        <v>290.38214512933354</v>
      </c>
      <c r="DT188" s="62">
        <f ca="1">AVERAGE(OFFSET($DS$3,0,0,'Données projet'!$E$14+1,1))-AVERAGE(OFFSET($H$3,0,0,'Données projet'!$E$14+1,1))</f>
        <v>289.18543665577761</v>
      </c>
      <c r="DU188" s="62">
        <f t="shared" si="152"/>
        <v>291.40065947222843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0.15144608567968024</v>
      </c>
      <c r="EC188" s="23">
        <f>EXP(-LN(2)/2)*EC187+(1-EXP(-LN(2)/2))/(LN(2)/2)*DW188*DZ188*VLOOKUP('Données projet'!$B$14,Paramètres!$A$1:$I$89,3,0)*0.475*44/12</f>
        <v>4.8975727537844593E-23</v>
      </c>
      <c r="ED188" s="24">
        <f t="shared" si="178"/>
        <v>0.15144608567968024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514.72748286045442</v>
      </c>
      <c r="EP188" s="62">
        <f t="shared" si="154"/>
        <v>322.28702110656116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0.13918458143756188</v>
      </c>
      <c r="EX188" s="23">
        <f>EXP(-LN(2)/2)*EX187+(1-EXP(-LN(2)/2))/(LN(2)/2)*ER188*EU188*VLOOKUP('Données projet'!$B$15,Paramètres!$A$1:$I$89,3,0)*0.475*44/12</f>
        <v>7.8186501072200338E-23</v>
      </c>
      <c r="EY188" s="24">
        <f t="shared" si="181"/>
        <v>0.13918458143756188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69.195130489817828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4.0999999999999996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15.033333333333331</v>
      </c>
      <c r="H189" s="70">
        <f t="shared" si="110"/>
        <v>196.53333333333333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70.794576398719499</v>
      </c>
      <c r="T189" s="62">
        <f t="shared" si="142"/>
        <v>328.91236364911629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4.4477848501786752E-25</v>
      </c>
      <c r="AC189" s="24">
        <f t="shared" si="163"/>
        <v>4.4477848501786752E-25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466.75323833427217</v>
      </c>
      <c r="AO189" s="62">
        <f t="shared" si="144"/>
        <v>293.88550076209378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0.12079934093611784</v>
      </c>
      <c r="AW189" s="23">
        <f>EXP(-LN(2)/2)*AW188+(1-EXP(-LN(2)/2))/(LN(2)/2)*AQ189*AT189*VLOOKUP('Données projet'!$B$10,Paramètres!$A$1:$I$89,3,0)*0.475*44/12</f>
        <v>4.9332306094051215E-23</v>
      </c>
      <c r="AX189" s="23">
        <f t="shared" si="166"/>
        <v>0.12079934093611784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68.47741055388687</v>
      </c>
      <c r="BJ189" s="62">
        <f t="shared" si="146"/>
        <v>335.34467252166542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2.3412677954698315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2.0556756040490463E-24</v>
      </c>
      <c r="BS189" s="24">
        <f t="shared" si="169"/>
        <v>2.3412677954698315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3.3992364478763198E-14</v>
      </c>
      <c r="CA189" s="14">
        <f t="shared" si="170"/>
        <v>5.790027782444094E-13</v>
      </c>
      <c r="CB189" s="22">
        <f t="shared" si="171"/>
        <v>1.0676332069095257E-12</v>
      </c>
      <c r="CC189" s="62">
        <f t="shared" si="119"/>
        <v>290.43334164680414</v>
      </c>
      <c r="CD189" s="62">
        <f ca="1">AVERAGE(OFFSET($CC$3,0,0,'Données projet'!$E$12+1,1))-AVERAGE(OFFSET($H$3,0,0,'Données projet'!$E$12+1,1))</f>
        <v>211.76609132110815</v>
      </c>
      <c r="CE189" s="62">
        <f t="shared" si="148"/>
        <v>363.07965692095752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0.44971939144827011</v>
      </c>
      <c r="CL189" s="23">
        <f>EXP(-LN(2)/25)*CL188+(1-EXP(-LN(2)/25))/(LN(2)/25)*Calculateur!CG189*Calculateur!CI189*VLOOKUP('Données projet'!$B$12,Paramètres!$A$1:$I$89,3,0)*0.475*44/12</f>
        <v>7.1972273113464116E-2</v>
      </c>
      <c r="CM189" s="23">
        <f>EXP(-LN(2)/2)*CM188+(1-EXP(-LN(2)/2))/(LN(2)/2)*CG189*CJ189*VLOOKUP('Données projet'!$B$12,Paramètres!$A$1:$I$89,3,0)*0.475*44/12</f>
        <v>7.8016829719125574E-24</v>
      </c>
      <c r="CN189" s="24">
        <f t="shared" si="172"/>
        <v>0.52169166456173421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-5.1431925385259088E-14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374.91250349988451</v>
      </c>
      <c r="CZ189" s="62">
        <f t="shared" si="150"/>
        <v>529.46825265662869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0.48189325758481938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0.48189325758481938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4.9658410716801891E-14</v>
      </c>
      <c r="DQ189" s="14">
        <f t="shared" si="176"/>
        <v>8.0934058173791862E-13</v>
      </c>
      <c r="DR189" s="22">
        <f t="shared" si="177"/>
        <v>1.4960899118586383E-12</v>
      </c>
      <c r="DS189" s="62">
        <f t="shared" si="125"/>
        <v>290.43334164680454</v>
      </c>
      <c r="DT189" s="62">
        <f ca="1">AVERAGE(OFFSET($DS$3,0,0,'Données projet'!$E$14+1,1))-AVERAGE(OFFSET($H$3,0,0,'Données projet'!$E$14+1,1))</f>
        <v>289.18543665577761</v>
      </c>
      <c r="DU189" s="62">
        <f t="shared" si="152"/>
        <v>291.40065947222843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0.14730478450256587</v>
      </c>
      <c r="EC189" s="23">
        <f>EXP(-LN(2)/2)*EC188+(1-EXP(-LN(2)/2))/(LN(2)/2)*DW189*DZ189*VLOOKUP('Données projet'!$B$14,Paramètres!$A$1:$I$89,3,0)*0.475*44/12</f>
        <v>3.4631069055554646E-23</v>
      </c>
      <c r="ED189" s="24">
        <f t="shared" si="178"/>
        <v>0.14730478450256587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514.72748286045442</v>
      </c>
      <c r="EP189" s="62">
        <f t="shared" si="154"/>
        <v>322.28702110656116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0.13537857173875273</v>
      </c>
      <c r="EX189" s="23">
        <f>EXP(-LN(2)/2)*EX188+(1-EXP(-LN(2)/2))/(LN(2)/2)*ER189*EU189*VLOOKUP('Données projet'!$B$15,Paramètres!$A$1:$I$89,3,0)*0.475*44/12</f>
        <v>5.5286205105402127E-23</v>
      </c>
      <c r="EY189" s="24">
        <f t="shared" si="181"/>
        <v>0.13537857173875273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69.209093176400827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4.0999999999999996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15.033333333333331</v>
      </c>
      <c r="H190" s="70">
        <f t="shared" si="110"/>
        <v>196.53333333333333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70.794576398719499</v>
      </c>
      <c r="T190" s="62">
        <f t="shared" si="142"/>
        <v>328.91236364911629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3.1450588288201336E-25</v>
      </c>
      <c r="AC190" s="24">
        <f t="shared" si="163"/>
        <v>3.1450588288201336E-25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466.75323833427217</v>
      </c>
      <c r="AO190" s="62">
        <f t="shared" si="144"/>
        <v>293.88550076209378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0.11749607660565844</v>
      </c>
      <c r="AW190" s="23">
        <f>EXP(-LN(2)/2)*AW189+(1-EXP(-LN(2)/2))/(LN(2)/2)*AQ190*AT190*VLOOKUP('Données projet'!$B$10,Paramètres!$A$1:$I$89,3,0)*0.475*44/12</f>
        <v>3.4883208170674057E-23</v>
      </c>
      <c r="AX190" s="23">
        <f t="shared" si="166"/>
        <v>0.11749607660565844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68.47741055388687</v>
      </c>
      <c r="BJ190" s="62">
        <f t="shared" si="146"/>
        <v>335.34467252166542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2.2953569620330168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1.4535821595428329E-24</v>
      </c>
      <c r="BS190" s="24">
        <f t="shared" si="169"/>
        <v>2.2953569620330168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3.3992364478763198E-14</v>
      </c>
      <c r="CA190" s="14">
        <f t="shared" si="170"/>
        <v>5.790027782444094E-13</v>
      </c>
      <c r="CB190" s="22">
        <f t="shared" si="171"/>
        <v>1.0676332069095257E-12</v>
      </c>
      <c r="CC190" s="62">
        <f t="shared" si="119"/>
        <v>290.48365001915533</v>
      </c>
      <c r="CD190" s="62">
        <f ca="1">AVERAGE(OFFSET($CC$3,0,0,'Données projet'!$E$12+1,1))-AVERAGE(OFFSET($H$3,0,0,'Données projet'!$E$12+1,1))</f>
        <v>211.76609132110815</v>
      </c>
      <c r="CE190" s="62">
        <f t="shared" si="148"/>
        <v>363.07965692095752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0.44090066848371329</v>
      </c>
      <c r="CL190" s="23">
        <f>EXP(-LN(2)/25)*CL189+(1-EXP(-LN(2)/25))/(LN(2)/25)*Calculateur!CG190*Calculateur!CI190*VLOOKUP('Données projet'!$B$12,Paramètres!$A$1:$I$89,3,0)*0.475*44/12</f>
        <v>7.0004187520319089E-2</v>
      </c>
      <c r="CM190" s="23">
        <f>EXP(-LN(2)/2)*CM189+(1-EXP(-LN(2)/2))/(LN(2)/2)*CG190*CJ190*VLOOKUP('Données projet'!$B$12,Paramètres!$A$1:$I$89,3,0)*0.475*44/12</f>
        <v>5.5166229341069866E-24</v>
      </c>
      <c r="CN190" s="24">
        <f t="shared" si="172"/>
        <v>0.51090485600403235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-5.1431925385259088E-14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374.91250349988451</v>
      </c>
      <c r="CZ190" s="62">
        <f t="shared" si="150"/>
        <v>529.46825265662869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0.47244362472944545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0.47244362472944545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4.9658410716801891E-14</v>
      </c>
      <c r="DQ190" s="14">
        <f t="shared" si="176"/>
        <v>8.0934058173791862E-13</v>
      </c>
      <c r="DR190" s="22">
        <f t="shared" si="177"/>
        <v>1.4960899118586383E-12</v>
      </c>
      <c r="DS190" s="62">
        <f t="shared" si="125"/>
        <v>290.48365001915573</v>
      </c>
      <c r="DT190" s="62">
        <f ca="1">AVERAGE(OFFSET($DS$3,0,0,'Données projet'!$E$14+1,1))-AVERAGE(OFFSET($H$3,0,0,'Données projet'!$E$14+1,1))</f>
        <v>289.18543665577761</v>
      </c>
      <c r="DU190" s="62">
        <f t="shared" si="152"/>
        <v>291.40065947222843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0.14327672742392125</v>
      </c>
      <c r="EC190" s="23">
        <f>EXP(-LN(2)/2)*EC189+(1-EXP(-LN(2)/2))/(LN(2)/2)*DW190*DZ190*VLOOKUP('Données projet'!$B$14,Paramètres!$A$1:$I$89,3,0)*0.475*44/12</f>
        <v>2.4487863768922297E-23</v>
      </c>
      <c r="ED190" s="24">
        <f t="shared" si="178"/>
        <v>0.14327672742392125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514.72748286045442</v>
      </c>
      <c r="EP190" s="62">
        <f t="shared" si="154"/>
        <v>322.28702110656116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0.13167663757530687</v>
      </c>
      <c r="EX190" s="23">
        <f>EXP(-LN(2)/2)*EX189+(1-EXP(-LN(2)/2))/(LN(2)/2)*ER190*EU190*VLOOKUP('Données projet'!$B$15,Paramètres!$A$1:$I$89,3,0)*0.475*44/12</f>
        <v>3.9093250536100169E-23</v>
      </c>
      <c r="EY190" s="24">
        <f t="shared" si="181"/>
        <v>0.13167663757530687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69.222813641587521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4.0999999999999996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15.033333333333331</v>
      </c>
      <c r="H191" s="70">
        <f t="shared" si="110"/>
        <v>196.53333333333333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70.794576398719499</v>
      </c>
      <c r="T191" s="62">
        <f t="shared" si="142"/>
        <v>328.91236364911629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2.2238924250893376E-25</v>
      </c>
      <c r="AC191" s="24">
        <f t="shared" si="163"/>
        <v>2.2238924250893376E-25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466.75323833427217</v>
      </c>
      <c r="AO191" s="62">
        <f t="shared" si="144"/>
        <v>293.88550076209378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0.11428314021202658</v>
      </c>
      <c r="AW191" s="23">
        <f>EXP(-LN(2)/2)*AW190+(1-EXP(-LN(2)/2))/(LN(2)/2)*AQ191*AT191*VLOOKUP('Données projet'!$B$10,Paramètres!$A$1:$I$89,3,0)*0.475*44/12</f>
        <v>2.4666153047025607E-23</v>
      </c>
      <c r="AX191" s="23">
        <f t="shared" si="166"/>
        <v>0.11428314021202658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68.47741055388687</v>
      </c>
      <c r="BJ191" s="62">
        <f t="shared" si="146"/>
        <v>335.34467252166542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2.2503464120370547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1.0278378020245231E-24</v>
      </c>
      <c r="BS191" s="24">
        <f t="shared" si="169"/>
        <v>2.2503464120370547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3.3992364478763198E-14</v>
      </c>
      <c r="CA191" s="14">
        <f t="shared" si="170"/>
        <v>5.790027782444094E-13</v>
      </c>
      <c r="CB191" s="22">
        <f t="shared" si="171"/>
        <v>1.0676332069095257E-12</v>
      </c>
      <c r="CC191" s="62">
        <f t="shared" si="119"/>
        <v>290.53308565371884</v>
      </c>
      <c r="CD191" s="62">
        <f ca="1">AVERAGE(OFFSET($CC$3,0,0,'Données projet'!$E$12+1,1))-AVERAGE(OFFSET($H$3,0,0,'Données projet'!$E$12+1,1))</f>
        <v>211.76609132110815</v>
      </c>
      <c r="CE191" s="62">
        <f t="shared" si="148"/>
        <v>363.07965692095752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0.43225487529760154</v>
      </c>
      <c r="CL191" s="23">
        <f>EXP(-LN(2)/25)*CL190+(1-EXP(-LN(2)/25))/(LN(2)/25)*Calculateur!CG191*Calculateur!CI191*VLOOKUP('Données projet'!$B$12,Paramètres!$A$1:$I$89,3,0)*0.475*44/12</f>
        <v>6.8089919331215734E-2</v>
      </c>
      <c r="CM191" s="23">
        <f>EXP(-LN(2)/2)*CM190+(1-EXP(-LN(2)/2))/(LN(2)/2)*CG191*CJ191*VLOOKUP('Données projet'!$B$12,Paramètres!$A$1:$I$89,3,0)*0.475*44/12</f>
        <v>3.9008414859562787E-24</v>
      </c>
      <c r="CN191" s="24">
        <f t="shared" si="172"/>
        <v>0.50034479462881731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-5.1431925385259088E-14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374.91250349988451</v>
      </c>
      <c r="CZ191" s="62">
        <f t="shared" si="150"/>
        <v>529.46825265662869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0.46317929341065844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0.46317929341065844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4.9658410716801891E-14</v>
      </c>
      <c r="DQ191" s="14">
        <f t="shared" si="176"/>
        <v>8.0934058173791862E-13</v>
      </c>
      <c r="DR191" s="22">
        <f t="shared" si="177"/>
        <v>1.4960899118586383E-12</v>
      </c>
      <c r="DS191" s="62">
        <f t="shared" si="125"/>
        <v>290.53308565371924</v>
      </c>
      <c r="DT191" s="62">
        <f ca="1">AVERAGE(OFFSET($DS$3,0,0,'Données projet'!$E$14+1,1))-AVERAGE(OFFSET($H$3,0,0,'Données projet'!$E$14+1,1))</f>
        <v>289.18543665577761</v>
      </c>
      <c r="DU191" s="62">
        <f t="shared" si="152"/>
        <v>291.40065947222843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0.1393588177779185</v>
      </c>
      <c r="EC191" s="23">
        <f>EXP(-LN(2)/2)*EC190+(1-EXP(-LN(2)/2))/(LN(2)/2)*DW191*DZ191*VLOOKUP('Données projet'!$B$14,Paramètres!$A$1:$I$89,3,0)*0.475*44/12</f>
        <v>1.7315534527777323E-23</v>
      </c>
      <c r="ED191" s="24">
        <f t="shared" si="178"/>
        <v>0.1393588177779185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514.72748286045442</v>
      </c>
      <c r="EP191" s="62">
        <f t="shared" si="154"/>
        <v>322.28702110656116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0.12807593299623668</v>
      </c>
      <c r="EX191" s="23">
        <f>EXP(-LN(2)/2)*EX190+(1-EXP(-LN(2)/2))/(LN(2)/2)*ER191*EU191*VLOOKUP('Données projet'!$B$15,Paramètres!$A$1:$I$89,3,0)*0.475*44/12</f>
        <v>2.7643102552701064E-23</v>
      </c>
      <c r="EY191" s="24">
        <f t="shared" si="181"/>
        <v>0.12807593299623668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69.236296087377568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4.0999999999999996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15.033333333333331</v>
      </c>
      <c r="H192" s="70">
        <f t="shared" si="110"/>
        <v>196.53333333333333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70.794576398719499</v>
      </c>
      <c r="T192" s="62">
        <f t="shared" si="142"/>
        <v>328.91236364911629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1.5725294144100668E-25</v>
      </c>
      <c r="AC192" s="24">
        <f t="shared" si="163"/>
        <v>1.5725294144100668E-25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466.75323833427217</v>
      </c>
      <c r="AO192" s="62">
        <f t="shared" si="144"/>
        <v>293.88550076209378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0.11115806173303958</v>
      </c>
      <c r="AW192" s="23">
        <f>EXP(-LN(2)/2)*AW191+(1-EXP(-LN(2)/2))/(LN(2)/2)*AQ192*AT192*VLOOKUP('Données projet'!$B$10,Paramètres!$A$1:$I$89,3,0)*0.475*44/12</f>
        <v>1.7441604085337028E-23</v>
      </c>
      <c r="AX192" s="23">
        <f t="shared" si="166"/>
        <v>0.11115806173303958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68.47741055388687</v>
      </c>
      <c r="BJ192" s="62">
        <f t="shared" si="146"/>
        <v>335.34467252166542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2.2062184914727889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7.2679107977141645E-25</v>
      </c>
      <c r="BS192" s="24">
        <f t="shared" si="169"/>
        <v>2.2062184914727889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3.3992364478763198E-14</v>
      </c>
      <c r="CA192" s="14">
        <f t="shared" si="170"/>
        <v>5.790027782444094E-13</v>
      </c>
      <c r="CB192" s="22">
        <f t="shared" si="171"/>
        <v>1.0676332069095257E-12</v>
      </c>
      <c r="CC192" s="62">
        <f t="shared" si="119"/>
        <v>290.58166369054425</v>
      </c>
      <c r="CD192" s="62">
        <f ca="1">AVERAGE(OFFSET($CC$3,0,0,'Données projet'!$E$12+1,1))-AVERAGE(OFFSET($H$3,0,0,'Données projet'!$E$12+1,1))</f>
        <v>211.76609132110815</v>
      </c>
      <c r="CE192" s="62">
        <f t="shared" si="148"/>
        <v>363.07965692095752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0.42377862084245627</v>
      </c>
      <c r="CL192" s="23">
        <f>EXP(-LN(2)/25)*CL191+(1-EXP(-LN(2)/25))/(LN(2)/25)*Calculateur!CG192*Calculateur!CI192*VLOOKUP('Données projet'!$B$12,Paramètres!$A$1:$I$89,3,0)*0.475*44/12</f>
        <v>6.6227996906410402E-2</v>
      </c>
      <c r="CM192" s="23">
        <f>EXP(-LN(2)/2)*CM191+(1-EXP(-LN(2)/2))/(LN(2)/2)*CG192*CJ192*VLOOKUP('Données projet'!$B$12,Paramètres!$A$1:$I$89,3,0)*0.475*44/12</f>
        <v>2.7583114670534933E-24</v>
      </c>
      <c r="CN192" s="24">
        <f t="shared" si="172"/>
        <v>0.49000661774886667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-5.1431925385259088E-14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374.91250349988451</v>
      </c>
      <c r="CZ192" s="62">
        <f t="shared" si="150"/>
        <v>529.46825265662869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0.45409662997834871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0.45409662997834871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4.9658410716801891E-14</v>
      </c>
      <c r="DQ192" s="14">
        <f t="shared" si="176"/>
        <v>8.0934058173791862E-13</v>
      </c>
      <c r="DR192" s="22">
        <f t="shared" si="177"/>
        <v>1.4960899118586383E-12</v>
      </c>
      <c r="DS192" s="62">
        <f t="shared" si="125"/>
        <v>290.58166369054464</v>
      </c>
      <c r="DT192" s="62">
        <f ca="1">AVERAGE(OFFSET($DS$3,0,0,'Données projet'!$E$14+1,1))-AVERAGE(OFFSET($H$3,0,0,'Données projet'!$E$14+1,1))</f>
        <v>289.18543665577761</v>
      </c>
      <c r="DU192" s="62">
        <f t="shared" si="152"/>
        <v>291.40065947222843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0.13554804357721961</v>
      </c>
      <c r="EC192" s="23">
        <f>EXP(-LN(2)/2)*EC191+(1-EXP(-LN(2)/2))/(LN(2)/2)*DW192*DZ192*VLOOKUP('Données projet'!$B$14,Paramètres!$A$1:$I$89,3,0)*0.475*44/12</f>
        <v>1.2243931884461148E-23</v>
      </c>
      <c r="ED192" s="24">
        <f t="shared" si="178"/>
        <v>0.13554804357721961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514.72748286045442</v>
      </c>
      <c r="EP192" s="62">
        <f t="shared" si="154"/>
        <v>322.28702110656116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0.12457368987323399</v>
      </c>
      <c r="EX192" s="23">
        <f>EXP(-LN(2)/2)*EX191+(1-EXP(-LN(2)/2))/(LN(2)/2)*ER192*EU192*VLOOKUP('Données projet'!$B$15,Paramètres!$A$1:$I$89,3,0)*0.475*44/12</f>
        <v>1.9546625268050084E-23</v>
      </c>
      <c r="EY192" s="24">
        <f t="shared" si="181"/>
        <v>0.12457368987323399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69.249544642875406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4.0999999999999996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15.033333333333331</v>
      </c>
      <c r="H193" s="70">
        <f t="shared" si="110"/>
        <v>196.53333333333333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70.794576398719499</v>
      </c>
      <c r="T193" s="62">
        <f t="shared" si="142"/>
        <v>328.91236364911629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1.1119462125446688E-25</v>
      </c>
      <c r="AC193" s="24">
        <f t="shared" si="163"/>
        <v>1.1119462125446688E-25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466.75323833427217</v>
      </c>
      <c r="AO193" s="62">
        <f t="shared" si="144"/>
        <v>293.88550076209378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0.1081184386894012</v>
      </c>
      <c r="AW193" s="23">
        <f>EXP(-LN(2)/2)*AW192+(1-EXP(-LN(2)/2))/(LN(2)/2)*AQ193*AT193*VLOOKUP('Données projet'!$B$10,Paramètres!$A$1:$I$89,3,0)*0.475*44/12</f>
        <v>1.2333076523512804E-23</v>
      </c>
      <c r="AX193" s="23">
        <f t="shared" si="166"/>
        <v>0.1081184386894012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68.47741055388687</v>
      </c>
      <c r="BJ193" s="62">
        <f t="shared" si="146"/>
        <v>335.34467252166542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2.1629558925154142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5.1391890101226157E-25</v>
      </c>
      <c r="BS193" s="24">
        <f t="shared" si="169"/>
        <v>2.1629558925154142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3.3992364478763198E-14</v>
      </c>
      <c r="CA193" s="14">
        <f t="shared" si="170"/>
        <v>5.790027782444094E-13</v>
      </c>
      <c r="CB193" s="22">
        <f t="shared" si="171"/>
        <v>1.0676332069095257E-12</v>
      </c>
      <c r="CC193" s="62">
        <f t="shared" si="119"/>
        <v>290.62939900703492</v>
      </c>
      <c r="CD193" s="62">
        <f ca="1">AVERAGE(OFFSET($CC$3,0,0,'Données projet'!$E$12+1,1))-AVERAGE(OFFSET($H$3,0,0,'Données projet'!$E$12+1,1))</f>
        <v>211.76609132110815</v>
      </c>
      <c r="CE193" s="62">
        <f t="shared" si="148"/>
        <v>363.07965692095752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0.41546858056717167</v>
      </c>
      <c r="CL193" s="23">
        <f>EXP(-LN(2)/25)*CL192+(1-EXP(-LN(2)/25))/(LN(2)/25)*Calculateur!CG193*Calculateur!CI193*VLOOKUP('Données projet'!$B$12,Paramètres!$A$1:$I$89,3,0)*0.475*44/12</f>
        <v>6.4416988848225623E-2</v>
      </c>
      <c r="CM193" s="23">
        <f>EXP(-LN(2)/2)*CM192+(1-EXP(-LN(2)/2))/(LN(2)/2)*CG193*CJ193*VLOOKUP('Données projet'!$B$12,Paramètres!$A$1:$I$89,3,0)*0.475*44/12</f>
        <v>1.9504207429781393E-24</v>
      </c>
      <c r="CN193" s="24">
        <f t="shared" si="172"/>
        <v>0.47988556941539728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-5.1431925385259088E-14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374.91250349988451</v>
      </c>
      <c r="CZ193" s="62">
        <f t="shared" si="150"/>
        <v>529.46825265662869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0.44519207203606892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0.44519207203606892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4.9658410716801891E-14</v>
      </c>
      <c r="DQ193" s="14">
        <f t="shared" si="176"/>
        <v>8.0934058173791862E-13</v>
      </c>
      <c r="DR193" s="22">
        <f t="shared" si="177"/>
        <v>1.4960899118586383E-12</v>
      </c>
      <c r="DS193" s="62">
        <f t="shared" si="125"/>
        <v>290.62939900703532</v>
      </c>
      <c r="DT193" s="62">
        <f ca="1">AVERAGE(OFFSET($DS$3,0,0,'Données projet'!$E$14+1,1))-AVERAGE(OFFSET($H$3,0,0,'Données projet'!$E$14+1,1))</f>
        <v>289.18543665577761</v>
      </c>
      <c r="DU193" s="62">
        <f t="shared" si="152"/>
        <v>291.40065947222843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0.13184147519743872</v>
      </c>
      <c r="EC193" s="23">
        <f>EXP(-LN(2)/2)*EC192+(1-EXP(-LN(2)/2))/(LN(2)/2)*DW193*DZ193*VLOOKUP('Données projet'!$B$14,Paramètres!$A$1:$I$89,3,0)*0.475*44/12</f>
        <v>8.6577672638886616E-24</v>
      </c>
      <c r="ED193" s="24">
        <f t="shared" si="178"/>
        <v>0.13184147519743872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514.72748286045442</v>
      </c>
      <c r="EP193" s="62">
        <f t="shared" si="154"/>
        <v>322.28702110656116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0.12116721577260477</v>
      </c>
      <c r="EX193" s="23">
        <f>EXP(-LN(2)/2)*EX192+(1-EXP(-LN(2)/2))/(LN(2)/2)*ER193*EU193*VLOOKUP('Données projet'!$B$15,Paramètres!$A$1:$I$89,3,0)*0.475*44/12</f>
        <v>1.3821551276350532E-23</v>
      </c>
      <c r="EY193" s="24">
        <f t="shared" si="181"/>
        <v>0.12116721577260477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69.262563365554684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4.0999999999999996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15.033333333333331</v>
      </c>
      <c r="H194" s="70">
        <f t="shared" si="110"/>
        <v>196.53333333333333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70.794576398719499</v>
      </c>
      <c r="T194" s="62">
        <f t="shared" si="142"/>
        <v>328.91236364911629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7.8626470720503339E-26</v>
      </c>
      <c r="AC194" s="24">
        <f t="shared" si="163"/>
        <v>7.8626470720503339E-26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466.75323833427217</v>
      </c>
      <c r="AO194" s="62">
        <f t="shared" si="144"/>
        <v>293.88550076209378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0.10516193429773794</v>
      </c>
      <c r="AW194" s="23">
        <f>EXP(-LN(2)/2)*AW193+(1-EXP(-LN(2)/2))/(LN(2)/2)*AQ194*AT194*VLOOKUP('Données projet'!$B$10,Paramètres!$A$1:$I$89,3,0)*0.475*44/12</f>
        <v>8.7208020426685142E-24</v>
      </c>
      <c r="AX194" s="23">
        <f t="shared" si="166"/>
        <v>0.10516193429773794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68.47741055388687</v>
      </c>
      <c r="BJ194" s="62">
        <f t="shared" si="146"/>
        <v>335.34467252166542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2.1205416467360139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3.6339553988570822E-25</v>
      </c>
      <c r="BS194" s="24">
        <f t="shared" si="169"/>
        <v>2.1205416467360139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3.3992364478763198E-14</v>
      </c>
      <c r="CA194" s="14">
        <f t="shared" si="170"/>
        <v>5.790027782444094E-13</v>
      </c>
      <c r="CB194" s="22">
        <f t="shared" si="171"/>
        <v>1.0676332069095257E-12</v>
      </c>
      <c r="CC194" s="62">
        <f t="shared" si="119"/>
        <v>290.67630622250465</v>
      </c>
      <c r="CD194" s="62">
        <f ca="1">AVERAGE(OFFSET($CC$3,0,0,'Données projet'!$E$12+1,1))-AVERAGE(OFFSET($H$3,0,0,'Données projet'!$E$12+1,1))</f>
        <v>211.76609132110815</v>
      </c>
      <c r="CE194" s="62">
        <f t="shared" si="148"/>
        <v>363.07965692095752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0.40732149511306137</v>
      </c>
      <c r="CL194" s="23">
        <f>EXP(-LN(2)/25)*CL193+(1-EXP(-LN(2)/25))/(LN(2)/25)*Calculateur!CG194*Calculateur!CI194*VLOOKUP('Données projet'!$B$12,Paramètres!$A$1:$I$89,3,0)*0.475*44/12</f>
        <v>6.2655502900628671E-2</v>
      </c>
      <c r="CM194" s="23">
        <f>EXP(-LN(2)/2)*CM193+(1-EXP(-LN(2)/2))/(LN(2)/2)*CG194*CJ194*VLOOKUP('Données projet'!$B$12,Paramètres!$A$1:$I$89,3,0)*0.475*44/12</f>
        <v>1.3791557335267467E-24</v>
      </c>
      <c r="CN194" s="24">
        <f t="shared" si="172"/>
        <v>0.46997699801369003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-5.1431925385259088E-14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374.91250349988451</v>
      </c>
      <c r="CZ194" s="62">
        <f t="shared" si="150"/>
        <v>529.46825265662869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0.43646212704379317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0.43646212704379317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4.9658410716801891E-14</v>
      </c>
      <c r="DQ194" s="14">
        <f t="shared" si="176"/>
        <v>8.0934058173791862E-13</v>
      </c>
      <c r="DR194" s="22">
        <f t="shared" si="177"/>
        <v>1.4960899118586383E-12</v>
      </c>
      <c r="DS194" s="62">
        <f t="shared" si="125"/>
        <v>290.67630622250505</v>
      </c>
      <c r="DT194" s="62">
        <f ca="1">AVERAGE(OFFSET($DS$3,0,0,'Données projet'!$E$14+1,1))-AVERAGE(OFFSET($H$3,0,0,'Données projet'!$E$14+1,1))</f>
        <v>289.18543665577761</v>
      </c>
      <c r="DU194" s="62">
        <f t="shared" si="152"/>
        <v>291.40065947222843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0.12823626312492289</v>
      </c>
      <c r="EC194" s="23">
        <f>EXP(-LN(2)/2)*EC193+(1-EXP(-LN(2)/2))/(LN(2)/2)*DW194*DZ194*VLOOKUP('Données projet'!$B$14,Paramètres!$A$1:$I$89,3,0)*0.475*44/12</f>
        <v>6.1219659422305742E-24</v>
      </c>
      <c r="ED194" s="24">
        <f t="shared" si="178"/>
        <v>0.12823626312492289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514.72748286045442</v>
      </c>
      <c r="EP194" s="62">
        <f t="shared" si="154"/>
        <v>322.28702110656116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0.11785389188539594</v>
      </c>
      <c r="EX194" s="23">
        <f>EXP(-LN(2)/2)*EX193+(1-EXP(-LN(2)/2))/(LN(2)/2)*ER194*EU194*VLOOKUP('Données projet'!$B$15,Paramètres!$A$1:$I$89,3,0)*0.475*44/12</f>
        <v>9.7733126340250422E-24</v>
      </c>
      <c r="EY194" s="24">
        <f t="shared" si="181"/>
        <v>0.11785389188539594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69.275356242500976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4.0999999999999996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15.033333333333331</v>
      </c>
      <c r="H195" s="70">
        <f t="shared" si="110"/>
        <v>196.53333333333333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70.794576398719499</v>
      </c>
      <c r="T195" s="62">
        <f t="shared" si="142"/>
        <v>328.91236364911629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5.5597310627233439E-26</v>
      </c>
      <c r="AC195" s="24">
        <f t="shared" si="163"/>
        <v>5.5597310627233439E-26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466.75323833427217</v>
      </c>
      <c r="AO195" s="62">
        <f t="shared" si="144"/>
        <v>293.88550076209378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0.10228627567414053</v>
      </c>
      <c r="AW195" s="23">
        <f>EXP(-LN(2)/2)*AW194+(1-EXP(-LN(2)/2))/(LN(2)/2)*AQ195*AT195*VLOOKUP('Données projet'!$B$10,Paramètres!$A$1:$I$89,3,0)*0.475*44/12</f>
        <v>6.1665382617564018E-24</v>
      </c>
      <c r="AX195" s="23">
        <f t="shared" si="166"/>
        <v>0.10228627567414053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68.47741055388687</v>
      </c>
      <c r="BJ195" s="62">
        <f t="shared" si="146"/>
        <v>335.34467252166542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2.0789591184462122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2.5695945050613078E-25</v>
      </c>
      <c r="BS195" s="24">
        <f t="shared" si="169"/>
        <v>2.0789591184462122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3.3992364478763198E-14</v>
      </c>
      <c r="CA195" s="14">
        <f t="shared" si="170"/>
        <v>5.790027782444094E-13</v>
      </c>
      <c r="CB195" s="22">
        <f t="shared" si="171"/>
        <v>1.0676332069095257E-12</v>
      </c>
      <c r="CC195" s="62">
        <f t="shared" si="119"/>
        <v>290.72239970265491</v>
      </c>
      <c r="CD195" s="62">
        <f ca="1">AVERAGE(OFFSET($CC$3,0,0,'Données projet'!$E$12+1,1))-AVERAGE(OFFSET($H$3,0,0,'Données projet'!$E$12+1,1))</f>
        <v>211.76609132110815</v>
      </c>
      <c r="CE195" s="62">
        <f t="shared" si="148"/>
        <v>363.07965692095752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0.3993341690354747</v>
      </c>
      <c r="CL195" s="23">
        <f>EXP(-LN(2)/25)*CL194+(1-EXP(-LN(2)/25))/(LN(2)/25)*Calculateur!CG195*Calculateur!CI195*VLOOKUP('Données projet'!$B$12,Paramètres!$A$1:$I$89,3,0)*0.475*44/12</f>
        <v>6.0942184878901282E-2</v>
      </c>
      <c r="CM195" s="23">
        <f>EXP(-LN(2)/2)*CM194+(1-EXP(-LN(2)/2))/(LN(2)/2)*CG195*CJ195*VLOOKUP('Données projet'!$B$12,Paramètres!$A$1:$I$89,3,0)*0.475*44/12</f>
        <v>9.7521037148906967E-25</v>
      </c>
      <c r="CN195" s="24">
        <f t="shared" si="172"/>
        <v>0.46027635391437599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-5.1431925385259088E-14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374.91250349988451</v>
      </c>
      <c r="CZ195" s="62">
        <f t="shared" si="150"/>
        <v>529.46825265662869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0.42790337094807529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0.42790337094807529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4.9658410716801891E-14</v>
      </c>
      <c r="DQ195" s="14">
        <f t="shared" si="176"/>
        <v>8.0934058173791862E-13</v>
      </c>
      <c r="DR195" s="22">
        <f t="shared" si="177"/>
        <v>1.4960899118586383E-12</v>
      </c>
      <c r="DS195" s="62">
        <f t="shared" si="125"/>
        <v>290.72239970265531</v>
      </c>
      <c r="DT195" s="62">
        <f ca="1">AVERAGE(OFFSET($DS$3,0,0,'Données projet'!$E$14+1,1))-AVERAGE(OFFSET($H$3,0,0,'Données projet'!$E$14+1,1))</f>
        <v>289.18543665577761</v>
      </c>
      <c r="DU195" s="62">
        <f t="shared" si="152"/>
        <v>291.40065947222843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0.1247296357661199</v>
      </c>
      <c r="EC195" s="23">
        <f>EXP(-LN(2)/2)*EC194+(1-EXP(-LN(2)/2))/(LN(2)/2)*DW195*DZ195*VLOOKUP('Données projet'!$B$14,Paramètres!$A$1:$I$89,3,0)*0.475*44/12</f>
        <v>4.3288836319443308E-24</v>
      </c>
      <c r="ED195" s="24">
        <f t="shared" si="178"/>
        <v>0.1247296357661199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514.72748286045442</v>
      </c>
      <c r="EP195" s="62">
        <f t="shared" si="154"/>
        <v>322.28702110656116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0.11463117101412297</v>
      </c>
      <c r="EX195" s="23">
        <f>EXP(-LN(2)/2)*EX194+(1-EXP(-LN(2)/2))/(LN(2)/2)*ER195*EU195*VLOOKUP('Données projet'!$B$15,Paramètres!$A$1:$I$89,3,0)*0.475*44/12</f>
        <v>6.9107756381752659E-24</v>
      </c>
      <c r="EY195" s="24">
        <f t="shared" si="181"/>
        <v>0.11463117101412297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69.287927191632861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4.0999999999999996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15.033333333333331</v>
      </c>
      <c r="H196" s="70">
        <f t="shared" ref="H196:H203" si="192">(B196+E196+F196)*44/12+(C196+D196)*0.475*44/12</f>
        <v>196.53333333333333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70.794576398719499</v>
      </c>
      <c r="T196" s="62">
        <f t="shared" si="142"/>
        <v>328.91236364911629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3.931323536025167E-26</v>
      </c>
      <c r="AC196" s="24">
        <f t="shared" si="163"/>
        <v>3.931323536025167E-26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466.75323833427217</v>
      </c>
      <c r="AO196" s="62">
        <f t="shared" si="144"/>
        <v>293.88550076209378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9.9489252086829696E-2</v>
      </c>
      <c r="AW196" s="23">
        <f>EXP(-LN(2)/2)*AW195+(1-EXP(-LN(2)/2))/(LN(2)/2)*AQ196*AT196*VLOOKUP('Données projet'!$B$10,Paramètres!$A$1:$I$89,3,0)*0.475*44/12</f>
        <v>4.3604010213342571E-24</v>
      </c>
      <c r="AX196" s="23">
        <f t="shared" si="166"/>
        <v>9.9489252086829696E-2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68.47741055388687</v>
      </c>
      <c r="BJ196" s="62">
        <f t="shared" si="146"/>
        <v>335.34467252166542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2.0381919981733359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1.8169776994285411E-25</v>
      </c>
      <c r="BS196" s="24">
        <f t="shared" si="169"/>
        <v>2.0381919981733359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3.3992364478763198E-14</v>
      </c>
      <c r="CA196" s="14">
        <f t="shared" si="170"/>
        <v>5.790027782444094E-13</v>
      </c>
      <c r="CB196" s="22">
        <f t="shared" si="171"/>
        <v>1.0676332069095257E-12</v>
      </c>
      <c r="CC196" s="62">
        <f t="shared" ref="CC196:CC203" si="195">CB196+(BT196+BU196)*44/12</f>
        <v>290.76769356397403</v>
      </c>
      <c r="CD196" s="62">
        <f ca="1">AVERAGE(OFFSET($CC$3,0,0,'Données projet'!$E$12+1,1))-AVERAGE(OFFSET($H$3,0,0,'Données projet'!$E$12+1,1))</f>
        <v>211.76609132110815</v>
      </c>
      <c r="CE196" s="62">
        <f t="shared" si="148"/>
        <v>363.07965692095752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0.39150346955048165</v>
      </c>
      <c r="CL196" s="23">
        <f>EXP(-LN(2)/25)*CL195+(1-EXP(-LN(2)/25))/(LN(2)/25)*Calculateur!CG196*Calculateur!CI196*VLOOKUP('Données projet'!$B$12,Paramètres!$A$1:$I$89,3,0)*0.475*44/12</f>
        <v>5.9275717628577508E-2</v>
      </c>
      <c r="CM196" s="23">
        <f>EXP(-LN(2)/2)*CM195+(1-EXP(-LN(2)/2))/(LN(2)/2)*CG196*CJ196*VLOOKUP('Données projet'!$B$12,Paramètres!$A$1:$I$89,3,0)*0.475*44/12</f>
        <v>6.8957786676337333E-25</v>
      </c>
      <c r="CN196" s="24">
        <f t="shared" si="172"/>
        <v>0.45077918717905918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-5.1431925385259088E-14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374.91250349988451</v>
      </c>
      <c r="CZ196" s="62">
        <f t="shared" si="150"/>
        <v>529.46825265662869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0.41951244683906869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0.41951244683906869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4.9658410716801891E-14</v>
      </c>
      <c r="DQ196" s="14">
        <f t="shared" si="176"/>
        <v>8.0934058173791862E-13</v>
      </c>
      <c r="DR196" s="22">
        <f t="shared" si="177"/>
        <v>1.4960899118586383E-12</v>
      </c>
      <c r="DS196" s="62">
        <f t="shared" ref="DS196:DS203" si="197">DR196+(DJ196+DK196)*44/12</f>
        <v>290.76769356397443</v>
      </c>
      <c r="DT196" s="62">
        <f ca="1">AVERAGE(OFFSET($DS$3,0,0,'Données projet'!$E$14+1,1))-AVERAGE(OFFSET($H$3,0,0,'Données projet'!$E$14+1,1))</f>
        <v>289.18543665577761</v>
      </c>
      <c r="DU196" s="62">
        <f t="shared" si="152"/>
        <v>291.40065947222843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0.12131889731684888</v>
      </c>
      <c r="EC196" s="23">
        <f>EXP(-LN(2)/2)*EC195+(1-EXP(-LN(2)/2))/(LN(2)/2)*DW196*DZ196*VLOOKUP('Données projet'!$B$14,Paramètres!$A$1:$I$89,3,0)*0.475*44/12</f>
        <v>3.0609829711152871E-24</v>
      </c>
      <c r="ED196" s="24">
        <f t="shared" si="178"/>
        <v>0.12131889731684888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514.72748286045442</v>
      </c>
      <c r="EP196" s="62">
        <f t="shared" si="154"/>
        <v>322.28702110656116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0.11149657561455049</v>
      </c>
      <c r="EX196" s="23">
        <f>EXP(-LN(2)/2)*EX195+(1-EXP(-LN(2)/2))/(LN(2)/2)*ER196*EU196*VLOOKUP('Données projet'!$B$15,Paramètres!$A$1:$I$89,3,0)*0.475*44/12</f>
        <v>4.8866563170125211E-24</v>
      </c>
      <c r="EY196" s="24">
        <f t="shared" si="181"/>
        <v>0.11149657561455049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69.30028006290172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4.0999999999999996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15.033333333333331</v>
      </c>
      <c r="H197" s="70">
        <f t="shared" si="192"/>
        <v>196.53333333333333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70.794576398719499</v>
      </c>
      <c r="T197" s="62">
        <f t="shared" ref="T197:T203" si="204">$T$3</f>
        <v>328.91236364911629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2.779865531361672E-26</v>
      </c>
      <c r="AC197" s="24">
        <f t="shared" si="163"/>
        <v>2.779865531361672E-26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466.75323833427217</v>
      </c>
      <c r="AO197" s="62">
        <f t="shared" ref="AO197:AO203" si="205">$AO$3</f>
        <v>293.88550076209378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9.6768713256602953E-2</v>
      </c>
      <c r="AW197" s="23">
        <f>EXP(-LN(2)/2)*AW196+(1-EXP(-LN(2)/2))/(LN(2)/2)*AQ197*AT197*VLOOKUP('Données projet'!$B$10,Paramètres!$A$1:$I$89,3,0)*0.475*44/12</f>
        <v>3.0832691308782009E-24</v>
      </c>
      <c r="AX197" s="23">
        <f t="shared" si="166"/>
        <v>9.6768713256602953E-2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68.47741055388687</v>
      </c>
      <c r="BJ197" s="62">
        <f t="shared" ref="BJ197:BJ203" si="206">$BJ$3</f>
        <v>335.34467252166542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1.9982242962635224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1.2847972525306539E-25</v>
      </c>
      <c r="BS197" s="24">
        <f t="shared" si="169"/>
        <v>1.9982242962635224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3.3992364478763198E-14</v>
      </c>
      <c r="CA197" s="14">
        <f t="shared" si="170"/>
        <v>5.790027782444094E-13</v>
      </c>
      <c r="CB197" s="22">
        <f t="shared" si="171"/>
        <v>1.0676332069095257E-12</v>
      </c>
      <c r="CC197" s="62">
        <f t="shared" si="195"/>
        <v>290.81220167806123</v>
      </c>
      <c r="CD197" s="62">
        <f ca="1">AVERAGE(OFFSET($CC$3,0,0,'Données projet'!$E$12+1,1))-AVERAGE(OFFSET($H$3,0,0,'Données projet'!$E$12+1,1))</f>
        <v>211.76609132110815</v>
      </c>
      <c r="CE197" s="62">
        <f t="shared" ref="CE197:CE203" si="207">$CE$3</f>
        <v>363.07965692095752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0.38382632530613425</v>
      </c>
      <c r="CL197" s="23">
        <f>EXP(-LN(2)/25)*CL196+(1-EXP(-LN(2)/25))/(LN(2)/25)*Calculateur!CG197*Calculateur!CI197*VLOOKUP('Données projet'!$B$12,Paramètres!$A$1:$I$89,3,0)*0.475*44/12</f>
        <v>5.7654820012849543E-2</v>
      </c>
      <c r="CM197" s="23">
        <f>EXP(-LN(2)/2)*CM196+(1-EXP(-LN(2)/2))/(LN(2)/2)*CG197*CJ197*VLOOKUP('Données projet'!$B$12,Paramètres!$A$1:$I$89,3,0)*0.475*44/12</f>
        <v>4.8760518574453484E-25</v>
      </c>
      <c r="CN197" s="24">
        <f t="shared" si="172"/>
        <v>0.4414811453189838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-5.1431925385259088E-14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374.91250349988451</v>
      </c>
      <c r="CZ197" s="62">
        <f t="shared" ref="CZ197:CZ203" si="208">$CZ$3</f>
        <v>529.46825265662869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0.41128606363388132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0.41128606363388132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4.9658410716801891E-14</v>
      </c>
      <c r="DQ197" s="14">
        <f t="shared" si="176"/>
        <v>8.0934058173791862E-13</v>
      </c>
      <c r="DR197" s="22">
        <f t="shared" si="177"/>
        <v>1.4960899118586383E-12</v>
      </c>
      <c r="DS197" s="62">
        <f t="shared" si="197"/>
        <v>290.81220167806163</v>
      </c>
      <c r="DT197" s="62">
        <f ca="1">AVERAGE(OFFSET($DS$3,0,0,'Données projet'!$E$14+1,1))-AVERAGE(OFFSET($H$3,0,0,'Données projet'!$E$14+1,1))</f>
        <v>289.18543665577761</v>
      </c>
      <c r="DU197" s="62">
        <f t="shared" ref="DU197:DU203" si="209">$DU$3</f>
        <v>291.40065947222843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0.11800142568983611</v>
      </c>
      <c r="EC197" s="23">
        <f>EXP(-LN(2)/2)*EC196+(1-EXP(-LN(2)/2))/(LN(2)/2)*DW197*DZ197*VLOOKUP('Données projet'!$B$14,Paramètres!$A$1:$I$89,3,0)*0.475*44/12</f>
        <v>2.1644418159721654E-24</v>
      </c>
      <c r="ED197" s="24">
        <f t="shared" si="178"/>
        <v>0.11800142568983611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514.72748286045442</v>
      </c>
      <c r="EP197" s="62">
        <f t="shared" ref="EP197:EP203" si="210">$EP$3</f>
        <v>322.28702110656116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0.10844769589102053</v>
      </c>
      <c r="EX197" s="23">
        <f>EXP(-LN(2)/2)*EX196+(1-EXP(-LN(2)/2))/(LN(2)/2)*ER197*EU197*VLOOKUP('Données projet'!$B$15,Paramètres!$A$1:$I$89,3,0)*0.475*44/12</f>
        <v>3.4553878190876329E-24</v>
      </c>
      <c r="EY197" s="24">
        <f t="shared" si="181"/>
        <v>0.10844769589102053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69.312418639470948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4.0999999999999996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15.033333333333331</v>
      </c>
      <c r="H198" s="70">
        <f t="shared" si="192"/>
        <v>196.53333333333333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70.794576398719499</v>
      </c>
      <c r="T198" s="62">
        <f t="shared" si="204"/>
        <v>328.91236364911629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1.9656617680125835E-26</v>
      </c>
      <c r="AC198" s="24">
        <f t="shared" si="163"/>
        <v>1.9656617680125835E-26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466.75323833427217</v>
      </c>
      <c r="AO198" s="62">
        <f t="shared" si="205"/>
        <v>293.88550076209378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9.4122567703755683E-2</v>
      </c>
      <c r="AW198" s="23">
        <f>EXP(-LN(2)/2)*AW197+(1-EXP(-LN(2)/2))/(LN(2)/2)*AQ198*AT198*VLOOKUP('Données projet'!$B$10,Paramètres!$A$1:$I$89,3,0)*0.475*44/12</f>
        <v>2.1802005106671286E-24</v>
      </c>
      <c r="AX198" s="23">
        <f t="shared" si="166"/>
        <v>9.4122567703755683E-2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68.47741055388687</v>
      </c>
      <c r="BJ198" s="62">
        <f t="shared" si="206"/>
        <v>335.34467252166542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1.9590403366102693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9.0848884971427056E-26</v>
      </c>
      <c r="BS198" s="24">
        <f t="shared" si="169"/>
        <v>1.9590403366102693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3.3992364478763198E-14</v>
      </c>
      <c r="CA198" s="14">
        <f t="shared" si="170"/>
        <v>5.790027782444094E-13</v>
      </c>
      <c r="CB198" s="22">
        <f t="shared" si="171"/>
        <v>1.0676332069095257E-12</v>
      </c>
      <c r="CC198" s="62">
        <f t="shared" si="195"/>
        <v>290.85593767587426</v>
      </c>
      <c r="CD198" s="62">
        <f ca="1">AVERAGE(OFFSET($CC$3,0,0,'Données projet'!$E$12+1,1))-AVERAGE(OFFSET($H$3,0,0,'Données projet'!$E$12+1,1))</f>
        <v>211.76609132110815</v>
      </c>
      <c r="CE198" s="62">
        <f t="shared" si="207"/>
        <v>363.07965692095752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0.37629972517782284</v>
      </c>
      <c r="CL198" s="23">
        <f>EXP(-LN(2)/25)*CL197+(1-EXP(-LN(2)/25))/(LN(2)/25)*Calculateur!CG198*Calculateur!CI198*VLOOKUP('Données projet'!$B$12,Paramètres!$A$1:$I$89,3,0)*0.475*44/12</f>
        <v>5.6078245927662959E-2</v>
      </c>
      <c r="CM198" s="23">
        <f>EXP(-LN(2)/2)*CM197+(1-EXP(-LN(2)/2))/(LN(2)/2)*CG198*CJ198*VLOOKUP('Données projet'!$B$12,Paramètres!$A$1:$I$89,3,0)*0.475*44/12</f>
        <v>3.4478893338168666E-25</v>
      </c>
      <c r="CN198" s="24">
        <f t="shared" si="172"/>
        <v>0.43237797110548581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-5.1431925385259088E-14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374.91250349988451</v>
      </c>
      <c r="CZ198" s="62">
        <f t="shared" si="208"/>
        <v>529.46825265662869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0.40322099478574935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0.40322099478574935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4.9658410716801891E-14</v>
      </c>
      <c r="DQ198" s="14">
        <f t="shared" si="176"/>
        <v>8.0934058173791862E-13</v>
      </c>
      <c r="DR198" s="22">
        <f t="shared" si="177"/>
        <v>1.4960899118586383E-12</v>
      </c>
      <c r="DS198" s="62">
        <f t="shared" si="197"/>
        <v>290.85593767587466</v>
      </c>
      <c r="DT198" s="62">
        <f ca="1">AVERAGE(OFFSET($DS$3,0,0,'Données projet'!$E$14+1,1))-AVERAGE(OFFSET($H$3,0,0,'Données projet'!$E$14+1,1))</f>
        <v>289.18543665577761</v>
      </c>
      <c r="DU198" s="62">
        <f t="shared" si="209"/>
        <v>291.40065947222843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0.11477467049892226</v>
      </c>
      <c r="EC198" s="23">
        <f>EXP(-LN(2)/2)*EC197+(1-EXP(-LN(2)/2))/(LN(2)/2)*DW198*DZ198*VLOOKUP('Données projet'!$B$14,Paramètres!$A$1:$I$89,3,0)*0.475*44/12</f>
        <v>1.5304914855576435E-24</v>
      </c>
      <c r="ED198" s="24">
        <f t="shared" si="178"/>
        <v>0.11477467049892226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514.72748286045442</v>
      </c>
      <c r="EP198" s="62">
        <f t="shared" si="210"/>
        <v>322.28702110656116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0.1054821879438641</v>
      </c>
      <c r="EX198" s="23">
        <f>EXP(-LN(2)/2)*EX197+(1-EXP(-LN(2)/2))/(LN(2)/2)*ER198*EU198*VLOOKUP('Données projet'!$B$15,Paramètres!$A$1:$I$89,3,0)*0.475*44/12</f>
        <v>2.4433281585062606E-24</v>
      </c>
      <c r="EY198" s="24">
        <f t="shared" si="181"/>
        <v>0.1054821879438641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69.324346638874502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4.0999999999999996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15.033333333333331</v>
      </c>
      <c r="H199" s="70">
        <f t="shared" si="192"/>
        <v>196.53333333333333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70.794576398719499</v>
      </c>
      <c r="T199" s="62">
        <f t="shared" si="204"/>
        <v>328.91236364911629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1.389932765680836E-26</v>
      </c>
      <c r="AC199" s="24">
        <f t="shared" si="163"/>
        <v>1.389932765680836E-26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466.75323833427217</v>
      </c>
      <c r="AO199" s="62">
        <f t="shared" si="205"/>
        <v>293.88550076209378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9.1548781140205773E-2</v>
      </c>
      <c r="AW199" s="23">
        <f>EXP(-LN(2)/2)*AW198+(1-EXP(-LN(2)/2))/(LN(2)/2)*AQ199*AT199*VLOOKUP('Données projet'!$B$10,Paramètres!$A$1:$I$89,3,0)*0.475*44/12</f>
        <v>1.5416345654391005E-24</v>
      </c>
      <c r="AX199" s="23">
        <f t="shared" si="166"/>
        <v>9.1548781140205773E-2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68.47741055388687</v>
      </c>
      <c r="BJ199" s="62">
        <f t="shared" si="206"/>
        <v>335.34467252166542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1.920624750505961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6.4239862626532696E-26</v>
      </c>
      <c r="BS199" s="24">
        <f t="shared" si="169"/>
        <v>1.920624750505961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3.3992364478763198E-14</v>
      </c>
      <c r="CA199" s="14">
        <f t="shared" si="170"/>
        <v>5.790027782444094E-13</v>
      </c>
      <c r="CB199" s="22">
        <f t="shared" si="171"/>
        <v>1.0676332069095257E-12</v>
      </c>
      <c r="CC199" s="62">
        <f t="shared" si="195"/>
        <v>290.8989149519042</v>
      </c>
      <c r="CD199" s="62">
        <f ca="1">AVERAGE(OFFSET($CC$3,0,0,'Données projet'!$E$12+1,1))-AVERAGE(OFFSET($H$3,0,0,'Données projet'!$E$12+1,1))</f>
        <v>211.76609132110815</v>
      </c>
      <c r="CE199" s="62">
        <f t="shared" si="207"/>
        <v>363.07965692095752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0.36892071708725488</v>
      </c>
      <c r="CL199" s="23">
        <f>EXP(-LN(2)/25)*CL198+(1-EXP(-LN(2)/25))/(LN(2)/25)*Calculateur!CG199*Calculateur!CI199*VLOOKUP('Données projet'!$B$12,Paramètres!$A$1:$I$89,3,0)*0.475*44/12</f>
        <v>5.4544783343744234E-2</v>
      </c>
      <c r="CM199" s="23">
        <f>EXP(-LN(2)/2)*CM198+(1-EXP(-LN(2)/2))/(LN(2)/2)*CG199*CJ199*VLOOKUP('Données projet'!$B$12,Paramètres!$A$1:$I$89,3,0)*0.475*44/12</f>
        <v>2.4380259287226742E-25</v>
      </c>
      <c r="CN199" s="24">
        <f t="shared" si="172"/>
        <v>0.42346550043099912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-5.1431925385259088E-14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374.91250349988451</v>
      </c>
      <c r="CZ199" s="62">
        <f t="shared" si="208"/>
        <v>529.46825265662869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0.395314077018523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0.395314077018523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4.9658410716801891E-14</v>
      </c>
      <c r="DQ199" s="14">
        <f t="shared" si="176"/>
        <v>8.0934058173791862E-13</v>
      </c>
      <c r="DR199" s="22">
        <f t="shared" si="177"/>
        <v>1.4960899118586383E-12</v>
      </c>
      <c r="DS199" s="62">
        <f t="shared" si="197"/>
        <v>290.8989149519046</v>
      </c>
      <c r="DT199" s="62">
        <f ca="1">AVERAGE(OFFSET($DS$3,0,0,'Données projet'!$E$14+1,1))-AVERAGE(OFFSET($H$3,0,0,'Données projet'!$E$14+1,1))</f>
        <v>289.18543665577761</v>
      </c>
      <c r="DU199" s="62">
        <f t="shared" si="209"/>
        <v>291.40065947222843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0.11163615109839163</v>
      </c>
      <c r="EC199" s="23">
        <f>EXP(-LN(2)/2)*EC198+(1-EXP(-LN(2)/2))/(LN(2)/2)*DW199*DZ199*VLOOKUP('Données projet'!$B$14,Paramètres!$A$1:$I$89,3,0)*0.475*44/12</f>
        <v>1.0822209079860827E-24</v>
      </c>
      <c r="ED199" s="24">
        <f t="shared" si="178"/>
        <v>0.11163615109839163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514.72748286045442</v>
      </c>
      <c r="EP199" s="62">
        <f t="shared" si="210"/>
        <v>322.28702110656116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0.10259777196747195</v>
      </c>
      <c r="EX199" s="23">
        <f>EXP(-LN(2)/2)*EX198+(1-EXP(-LN(2)/2))/(LN(2)/2)*ER199*EU199*VLOOKUP('Données projet'!$B$15,Paramètres!$A$1:$I$89,3,0)*0.475*44/12</f>
        <v>1.7276939095438165E-24</v>
      </c>
      <c r="EY199" s="24">
        <f t="shared" si="181"/>
        <v>0.10259777196747195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69.336067714155405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4.0999999999999996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15.033333333333331</v>
      </c>
      <c r="H200" s="70">
        <f t="shared" si="192"/>
        <v>196.53333333333333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70.794576398719499</v>
      </c>
      <c r="T200" s="62">
        <f t="shared" si="204"/>
        <v>328.91236364911629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9.8283088400629174E-27</v>
      </c>
      <c r="AC200" s="24">
        <f t="shared" si="163"/>
        <v>9.8283088400629174E-27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466.75323833427217</v>
      </c>
      <c r="AO200" s="62">
        <f t="shared" si="205"/>
        <v>293.88550076209378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8.9045374905585686E-2</v>
      </c>
      <c r="AW200" s="23">
        <f>EXP(-LN(2)/2)*AW199+(1-EXP(-LN(2)/2))/(LN(2)/2)*AQ200*AT200*VLOOKUP('Données projet'!$B$10,Paramètres!$A$1:$I$89,3,0)*0.475*44/12</f>
        <v>1.0901002553335643E-24</v>
      </c>
      <c r="AX200" s="23">
        <f t="shared" si="166"/>
        <v>8.9045374905585686E-2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68.47741055388687</v>
      </c>
      <c r="BJ200" s="62">
        <f t="shared" si="206"/>
        <v>335.34467252166542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1.8829624706139643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4.5424442485713528E-26</v>
      </c>
      <c r="BS200" s="24">
        <f t="shared" si="169"/>
        <v>1.8829624706139643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3.3992364478763198E-14</v>
      </c>
      <c r="CA200" s="14">
        <f t="shared" si="170"/>
        <v>5.790027782444094E-13</v>
      </c>
      <c r="CB200" s="22">
        <f t="shared" si="171"/>
        <v>1.0676332069095257E-12</v>
      </c>
      <c r="CC200" s="62">
        <f t="shared" si="195"/>
        <v>290.94114666827784</v>
      </c>
      <c r="CD200" s="62">
        <f ca="1">AVERAGE(OFFSET($CC$3,0,0,'Données projet'!$E$12+1,1))-AVERAGE(OFFSET($H$3,0,0,'Données projet'!$E$12+1,1))</f>
        <v>211.76609132110815</v>
      </c>
      <c r="CE200" s="62">
        <f t="shared" si="207"/>
        <v>363.07965692095752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0.36168640684459241</v>
      </c>
      <c r="CL200" s="23">
        <f>EXP(-LN(2)/25)*CL199+(1-EXP(-LN(2)/25))/(LN(2)/25)*Calculateur!CG200*Calculateur!CI200*VLOOKUP('Données projet'!$B$12,Paramètres!$A$1:$I$89,3,0)*0.475*44/12</f>
        <v>5.3053253374824055E-2</v>
      </c>
      <c r="CM200" s="23">
        <f>EXP(-LN(2)/2)*CM199+(1-EXP(-LN(2)/2))/(LN(2)/2)*CG200*CJ200*VLOOKUP('Données projet'!$B$12,Paramètres!$A$1:$I$89,3,0)*0.475*44/12</f>
        <v>1.7239446669084333E-25</v>
      </c>
      <c r="CN200" s="24">
        <f t="shared" si="172"/>
        <v>0.41473966021941644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-5.1431925385259088E-14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374.91250349988451</v>
      </c>
      <c r="CZ200" s="62">
        <f t="shared" si="208"/>
        <v>529.46825265662869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0.38756220908596833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0.38756220908596833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4.9658410716801891E-14</v>
      </c>
      <c r="DQ200" s="14">
        <f t="shared" si="176"/>
        <v>8.0934058173791862E-13</v>
      </c>
      <c r="DR200" s="22">
        <f t="shared" si="177"/>
        <v>1.4960899118586383E-12</v>
      </c>
      <c r="DS200" s="62">
        <f t="shared" si="197"/>
        <v>290.94114666827824</v>
      </c>
      <c r="DT200" s="62">
        <f ca="1">AVERAGE(OFFSET($DS$3,0,0,'Données projet'!$E$14+1,1))-AVERAGE(OFFSET($H$3,0,0,'Données projet'!$E$14+1,1))</f>
        <v>289.18543665577761</v>
      </c>
      <c r="DU200" s="62">
        <f t="shared" si="209"/>
        <v>291.40065947222843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0.10858345467591607</v>
      </c>
      <c r="EC200" s="23">
        <f>EXP(-LN(2)/2)*EC199+(1-EXP(-LN(2)/2))/(LN(2)/2)*DW200*DZ200*VLOOKUP('Données projet'!$B$14,Paramètres!$A$1:$I$89,3,0)*0.475*44/12</f>
        <v>7.6524574277882177E-25</v>
      </c>
      <c r="ED200" s="24">
        <f t="shared" si="178"/>
        <v>0.10858345467591607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514.72748286045442</v>
      </c>
      <c r="EP200" s="62">
        <f t="shared" si="210"/>
        <v>322.28702110656116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9.9792230497639092E-2</v>
      </c>
      <c r="EX200" s="23">
        <f>EXP(-LN(2)/2)*EX199+(1-EXP(-LN(2)/2))/(LN(2)/2)*ER200*EU200*VLOOKUP('Données projet'!$B$15,Paramètres!$A$1:$I$89,3,0)*0.475*44/12</f>
        <v>1.2216640792531303E-24</v>
      </c>
      <c r="EY200" s="24">
        <f t="shared" si="181"/>
        <v>9.9792230497639092E-2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69.347585454984568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4.0999999999999996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15.033333333333331</v>
      </c>
      <c r="H201" s="70">
        <f t="shared" si="192"/>
        <v>196.53333333333333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70.794576398719499</v>
      </c>
      <c r="T201" s="62">
        <f t="shared" si="204"/>
        <v>328.91236364911629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6.9496638284041799E-27</v>
      </c>
      <c r="AC201" s="24">
        <f t="shared" si="163"/>
        <v>6.9496638284041799E-27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466.75323833427217</v>
      </c>
      <c r="AO201" s="62">
        <f t="shared" si="205"/>
        <v>293.88550076209378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8.661042444609969E-2</v>
      </c>
      <c r="AW201" s="23">
        <f>EXP(-LN(2)/2)*AW200+(1-EXP(-LN(2)/2))/(LN(2)/2)*AQ201*AT201*VLOOKUP('Données projet'!$B$10,Paramètres!$A$1:$I$89,3,0)*0.475*44/12</f>
        <v>7.7081728271955023E-25</v>
      </c>
      <c r="AX201" s="23">
        <f t="shared" si="166"/>
        <v>8.661042444609969E-2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68.47741055388687</v>
      </c>
      <c r="BJ201" s="62">
        <f t="shared" si="206"/>
        <v>335.34467252166542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1.8460387250589272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3.2119931313266348E-26</v>
      </c>
      <c r="BS201" s="24">
        <f t="shared" si="169"/>
        <v>1.8460387250589272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3.3992364478763198E-14</v>
      </c>
      <c r="CA201" s="14">
        <f t="shared" si="170"/>
        <v>5.790027782444094E-13</v>
      </c>
      <c r="CB201" s="22">
        <f t="shared" si="171"/>
        <v>1.0676332069095257E-12</v>
      </c>
      <c r="CC201" s="62">
        <f t="shared" si="195"/>
        <v>290.98264575878846</v>
      </c>
      <c r="CD201" s="62">
        <f ca="1">AVERAGE(OFFSET($CC$3,0,0,'Données projet'!$E$12+1,1))-AVERAGE(OFFSET($H$3,0,0,'Données projet'!$E$12+1,1))</f>
        <v>211.76609132110815</v>
      </c>
      <c r="CE201" s="62">
        <f t="shared" si="207"/>
        <v>363.07965692095752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0.35459395701329499</v>
      </c>
      <c r="CL201" s="23">
        <f>EXP(-LN(2)/25)*CL200+(1-EXP(-LN(2)/25))/(LN(2)/25)*Calculateur!CG201*Calculateur!CI201*VLOOKUP('Données projet'!$B$12,Paramètres!$A$1:$I$89,3,0)*0.475*44/12</f>
        <v>5.1602509371340151E-2</v>
      </c>
      <c r="CM201" s="23">
        <f>EXP(-LN(2)/2)*CM200+(1-EXP(-LN(2)/2))/(LN(2)/2)*CG201*CJ201*VLOOKUP('Données projet'!$B$12,Paramètres!$A$1:$I$89,3,0)*0.475*44/12</f>
        <v>1.2190129643613371E-25</v>
      </c>
      <c r="CN201" s="24">
        <f t="shared" si="172"/>
        <v>0.40619646638463514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-5.1431925385259088E-14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374.91250349988451</v>
      </c>
      <c r="CZ201" s="62">
        <f t="shared" si="208"/>
        <v>529.46825265662869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0.37996235055539851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0.37996235055539851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4.9658410716801891E-14</v>
      </c>
      <c r="DQ201" s="14">
        <f t="shared" si="176"/>
        <v>8.0934058173791862E-13</v>
      </c>
      <c r="DR201" s="22">
        <f t="shared" si="177"/>
        <v>1.4960899118586383E-12</v>
      </c>
      <c r="DS201" s="62">
        <f t="shared" si="197"/>
        <v>290.98264575878886</v>
      </c>
      <c r="DT201" s="62">
        <f ca="1">AVERAGE(OFFSET($DS$3,0,0,'Données projet'!$E$14+1,1))-AVERAGE(OFFSET($H$3,0,0,'Données projet'!$E$14+1,1))</f>
        <v>289.18543665577761</v>
      </c>
      <c r="DU201" s="62">
        <f t="shared" si="209"/>
        <v>291.40065947222843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0.10561423439764743</v>
      </c>
      <c r="EC201" s="23">
        <f>EXP(-LN(2)/2)*EC200+(1-EXP(-LN(2)/2))/(LN(2)/2)*DW201*DZ201*VLOOKUP('Données projet'!$B$14,Paramètres!$A$1:$I$89,3,0)*0.475*44/12</f>
        <v>5.4111045399304135E-25</v>
      </c>
      <c r="ED201" s="24">
        <f t="shared" si="178"/>
        <v>0.10561423439764743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514.72748286045442</v>
      </c>
      <c r="EP201" s="62">
        <f t="shared" si="210"/>
        <v>322.28702110656116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9.7063406706835831E-2</v>
      </c>
      <c r="EX201" s="23">
        <f>EXP(-LN(2)/2)*EX200+(1-EXP(-LN(2)/2))/(LN(2)/2)*ER201*EU201*VLOOKUP('Données projet'!$B$15,Paramètres!$A$1:$I$89,3,0)*0.475*44/12</f>
        <v>8.6384695477190824E-25</v>
      </c>
      <c r="EY201" s="24">
        <f t="shared" si="181"/>
        <v>9.7063406706835831E-2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69.358903388760197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4.0999999999999996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15.033333333333331</v>
      </c>
      <c r="H202" s="70">
        <f t="shared" si="192"/>
        <v>196.53333333333333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70.794576398719499</v>
      </c>
      <c r="T202" s="62">
        <f t="shared" si="204"/>
        <v>328.91236364911629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4.9141544200314587E-27</v>
      </c>
      <c r="AC202" s="24">
        <f t="shared" si="163"/>
        <v>4.9141544200314587E-27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466.75323833427217</v>
      </c>
      <c r="AO202" s="62">
        <f t="shared" si="205"/>
        <v>293.88550076209378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8.4242057834976819E-2</v>
      </c>
      <c r="AW202" s="23">
        <f>EXP(-LN(2)/2)*AW201+(1-EXP(-LN(2)/2))/(LN(2)/2)*AQ202*AT202*VLOOKUP('Données projet'!$B$10,Paramètres!$A$1:$I$89,3,0)*0.475*44/12</f>
        <v>5.4505012766678214E-25</v>
      </c>
      <c r="AX202" s="23">
        <f t="shared" si="166"/>
        <v>8.4242057834976819E-2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68.47741055388687</v>
      </c>
      <c r="BJ202" s="62">
        <f t="shared" si="206"/>
        <v>335.34467252166542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1.8098390316329633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2.2712221242856764E-26</v>
      </c>
      <c r="BS202" s="24">
        <f t="shared" si="169"/>
        <v>1.8098390316329633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3.3992364478763198E-14</v>
      </c>
      <c r="CA202" s="14">
        <f t="shared" si="170"/>
        <v>5.790027782444094E-13</v>
      </c>
      <c r="CB202" s="22">
        <f t="shared" si="171"/>
        <v>1.0676332069095257E-12</v>
      </c>
      <c r="CC202" s="62">
        <f t="shared" si="195"/>
        <v>291.02342493285664</v>
      </c>
      <c r="CD202" s="62">
        <f ca="1">AVERAGE(OFFSET($CC$3,0,0,'Données projet'!$E$12+1,1))-AVERAGE(OFFSET($H$3,0,0,'Données projet'!$E$12+1,1))</f>
        <v>211.76609132110815</v>
      </c>
      <c r="CE202" s="62">
        <f t="shared" si="207"/>
        <v>363.07965692095752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0.34764058579722207</v>
      </c>
      <c r="CL202" s="23">
        <f>EXP(-LN(2)/25)*CL201+(1-EXP(-LN(2)/25))/(LN(2)/25)*Calculateur!CG202*Calculateur!CI202*VLOOKUP('Données projet'!$B$12,Paramètres!$A$1:$I$89,3,0)*0.475*44/12</f>
        <v>5.0191436038922822E-2</v>
      </c>
      <c r="CM202" s="23">
        <f>EXP(-LN(2)/2)*CM201+(1-EXP(-LN(2)/2))/(LN(2)/2)*CG202*CJ202*VLOOKUP('Données projet'!$B$12,Paramètres!$A$1:$I$89,3,0)*0.475*44/12</f>
        <v>8.6197233345421666E-26</v>
      </c>
      <c r="CN202" s="24">
        <f t="shared" si="172"/>
        <v>0.39783202183614491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-5.1431925385259088E-14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374.91250349988451</v>
      </c>
      <c r="CZ202" s="62">
        <f t="shared" si="208"/>
        <v>529.46825265662869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0.37251152061515719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0.37251152061515719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4.9658410716801891E-14</v>
      </c>
      <c r="DQ202" s="14">
        <f t="shared" si="176"/>
        <v>8.0934058173791862E-13</v>
      </c>
      <c r="DR202" s="22">
        <f t="shared" si="177"/>
        <v>1.4960899118586383E-12</v>
      </c>
      <c r="DS202" s="62">
        <f t="shared" si="197"/>
        <v>291.02342493285704</v>
      </c>
      <c r="DT202" s="62">
        <f ca="1">AVERAGE(OFFSET($DS$3,0,0,'Données projet'!$E$14+1,1))-AVERAGE(OFFSET($H$3,0,0,'Données projet'!$E$14+1,1))</f>
        <v>289.18543665577761</v>
      </c>
      <c r="DU202" s="62">
        <f t="shared" si="209"/>
        <v>291.40065947222843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0.10272620760403256</v>
      </c>
      <c r="EC202" s="23">
        <f>EXP(-LN(2)/2)*EC201+(1-EXP(-LN(2)/2))/(LN(2)/2)*DW202*DZ202*VLOOKUP('Données projet'!$B$14,Paramètres!$A$1:$I$89,3,0)*0.475*44/12</f>
        <v>3.8262287138941088E-25</v>
      </c>
      <c r="ED202" s="24">
        <f t="shared" si="178"/>
        <v>0.10272620760403256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514.72748286045442</v>
      </c>
      <c r="EP202" s="62">
        <f t="shared" si="210"/>
        <v>322.28702110656116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9.4409202746094684E-2</v>
      </c>
      <c r="EX202" s="23">
        <f>EXP(-LN(2)/2)*EX201+(1-EXP(-LN(2)/2))/(LN(2)/2)*ER202*EU202*VLOOKUP('Données projet'!$B$15,Paramètres!$A$1:$I$89,3,0)*0.475*44/12</f>
        <v>6.1083203962656514E-25</v>
      </c>
      <c r="EY202" s="24">
        <f t="shared" si="181"/>
        <v>9.4409202746094684E-2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69.370024981687891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4.0999999999999996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49.5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15.033333333333331</v>
      </c>
      <c r="H203" s="70">
        <f t="shared" si="192"/>
        <v>196.53333333333333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70.794576398719499</v>
      </c>
      <c r="T203" s="62">
        <f t="shared" si="204"/>
        <v>328.91236364911629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3.47483191420209E-27</v>
      </c>
      <c r="AC203" s="24">
        <f t="shared" si="163"/>
        <v>3.47483191420209E-27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466.75323833427217</v>
      </c>
      <c r="AO203" s="62">
        <f t="shared" si="205"/>
        <v>293.88550076209378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8.1938454333382094E-2</v>
      </c>
      <c r="AW203" s="23">
        <f>EXP(-LN(2)/2)*AW202+(1-EXP(-LN(2)/2))/(LN(2)/2)*AQ203*AT203*VLOOKUP('Données projet'!$B$10,Paramètres!$A$1:$I$89,3,0)*0.475*44/12</f>
        <v>3.8540864135977511E-25</v>
      </c>
      <c r="AX203" s="23">
        <f t="shared" si="166"/>
        <v>8.1938454333382094E-2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68.47741055388687</v>
      </c>
      <c r="BJ203" s="62">
        <f t="shared" si="206"/>
        <v>335.34467252166542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1.7743491921154499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1.6059965656633174E-26</v>
      </c>
      <c r="BS203" s="24">
        <f t="shared" si="169"/>
        <v>1.7743491921154499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3.3992364478763198E-14</v>
      </c>
      <c r="CA203" s="14">
        <f t="shared" si="170"/>
        <v>5.790027782444094E-13</v>
      </c>
      <c r="CB203" s="22">
        <f t="shared" si="171"/>
        <v>1.0676332069095257E-12</v>
      </c>
      <c r="CC203" s="62">
        <f t="shared" si="195"/>
        <v>291.06349667942345</v>
      </c>
      <c r="CD203" s="62">
        <f ca="1">AVERAGE(OFFSET($CC$3,0,0,'Données projet'!$E$12+1,1))-AVERAGE(OFFSET($H$3,0,0,'Données projet'!$E$12+1,1))</f>
        <v>211.76609132110815</v>
      </c>
      <c r="CE203" s="62">
        <f t="shared" si="207"/>
        <v>363.07965692095752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0.3408235659495587</v>
      </c>
      <c r="CL203" s="23">
        <f>EXP(-LN(2)/25)*CL202+(1-EXP(-LN(2)/25))/(LN(2)/25)*Calculateur!CG203*Calculateur!CI203*VLOOKUP('Données projet'!$B$12,Paramètres!$A$1:$I$89,3,0)*0.475*44/12</f>
        <v>4.8818948580985573E-2</v>
      </c>
      <c r="CM203" s="23">
        <f>EXP(-LN(2)/2)*CM202+(1-EXP(-LN(2)/2))/(LN(2)/2)*CG203*CJ203*VLOOKUP('Données projet'!$B$12,Paramètres!$A$1:$I$89,3,0)*0.475*44/12</f>
        <v>6.0950648218066855E-26</v>
      </c>
      <c r="CN203" s="24">
        <f t="shared" si="172"/>
        <v>0.38964251453054427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-5.1431925385259088E-14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374.91250349988451</v>
      </c>
      <c r="CZ203" s="62">
        <f t="shared" si="208"/>
        <v>529.46825265662869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0.36520679690548646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0.36520679690548646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4.9658410716801891E-14</v>
      </c>
      <c r="DQ203" s="14">
        <f t="shared" si="176"/>
        <v>8.0934058173791862E-13</v>
      </c>
      <c r="DR203" s="22">
        <f t="shared" si="177"/>
        <v>1.4960899118586383E-12</v>
      </c>
      <c r="DS203" s="62">
        <f t="shared" si="197"/>
        <v>291.06349667942385</v>
      </c>
      <c r="DT203" s="62">
        <f ca="1">AVERAGE(OFFSET($DS$3,0,0,'Données projet'!$E$14+1,1))-AVERAGE(OFFSET($H$3,0,0,'Données projet'!$E$14+1,1))</f>
        <v>289.18543665577761</v>
      </c>
      <c r="DU203" s="62">
        <f t="shared" si="209"/>
        <v>291.40065947222843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9.9917154054963819E-2</v>
      </c>
      <c r="EC203" s="23">
        <f>EXP(-LN(2)/2)*EC202+(1-EXP(-LN(2)/2))/(LN(2)/2)*DW203*DZ203*VLOOKUP('Données projet'!$B$14,Paramètres!$A$1:$I$89,3,0)*0.475*44/12</f>
        <v>2.7055522699652067E-25</v>
      </c>
      <c r="ED203" s="24">
        <f t="shared" si="178"/>
        <v>9.9917154054963819E-2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514.72748286045442</v>
      </c>
      <c r="EP203" s="62">
        <f t="shared" si="210"/>
        <v>322.28702110656116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9.1827578132238533E-2</v>
      </c>
      <c r="EX203" s="23">
        <f>EXP(-LN(2)/2)*EX202+(1-EXP(-LN(2)/2))/(LN(2)/2)*ER203*EU203*VLOOKUP('Données projet'!$B$15,Paramètres!$A$1:$I$89,3,0)*0.475*44/12</f>
        <v>4.3192347738595412E-25</v>
      </c>
      <c r="EY203" s="24">
        <f t="shared" si="181"/>
        <v>9.1827578132238533E-2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69.38095363984246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1.668290386219033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1.3642575862360187</v>
      </c>
      <c r="BV205" s="88">
        <f>EXP(LN('Données projet'!B114)/'Données projet'!A114)</f>
        <v>1.3939124009120489</v>
      </c>
      <c r="CQ205" s="88">
        <f>EXP(LN('Données projet'!B140)/'Données projet'!A140)</f>
        <v>2.0243974584998852</v>
      </c>
      <c r="DL205" s="88">
        <f>EXP(LN('Données projet'!B166)/'Données projet'!A166)</f>
        <v>1.2441746677543575</v>
      </c>
      <c r="EG205" s="88">
        <f>EXP(LN('Données projet'!B192)/'Données projet'!A192)</f>
        <v>1.2392705892426346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1" workbookViewId="0">
      <selection activeCell="N17" sqref="N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Eucalyptus</v>
      </c>
      <c r="B6" s="155">
        <f>'Données projet'!D9</f>
        <v>10.6454</v>
      </c>
      <c r="C6" s="156">
        <f ca="1">IF(OR('Données projet'!B9="",'Données projet'!C9="",'Données projet'!C9=0%),0,Calculateur!S3)</f>
        <v>70.794576398719499</v>
      </c>
      <c r="D6" s="156">
        <f>IF(OR('Données projet'!B9="",'Données projet'!C9="",'Données projet'!C9=0%),0,Calculateur!T3)</f>
        <v>328.91236364911629</v>
      </c>
      <c r="E6" s="156">
        <f ca="1">MIN(C6,D6)</f>
        <v>70.794576398719499</v>
      </c>
      <c r="F6" s="156">
        <f ca="1">E6*B6</f>
        <v>753.63658359492854</v>
      </c>
      <c r="G6" s="156">
        <f ca="1">F6*(100%-'Données projet'!$C$24)*(100%-'Données projet'!$C$25)*(100%-'Données projet'!$C$26)*(100%-'Données projet'!$C$27)</f>
        <v>644.35927897366389</v>
      </c>
      <c r="H6" s="157">
        <f>IF(OR('Données projet'!B9="",'Données projet'!C9="",'Données projet'!C9=0%),0,AVERAGE(Calculateur!$AC$3:$AC$33)*B6)</f>
        <v>161.27771622557157</v>
      </c>
      <c r="I6" s="158">
        <f>H6*(100%-'Données projet'!$C$24)*(100%-'Données projet'!$C$25)*(100%-'Données projet'!$C$26)*(100%-'Données projet'!$C$27)</f>
        <v>137.89244737286367</v>
      </c>
      <c r="J6" s="159">
        <f>IF(OR('Données projet'!B9="",'Données projet'!C9="",'Données projet'!C9=0%),0,SUM(Calculateur!$V$3:$V$33)*VLOOKUP('Données projet'!$B$9,Paramètres!$A$1:$I$89,9,0)*B6)</f>
        <v>444.44544999999999</v>
      </c>
      <c r="K6" s="160">
        <f>J6*(100%-'Données projet'!$C$24)*(100%-'Données projet'!$C$25)*(100%-'Données projet'!$C$26)*(100%-'Données projet'!$C$27)</f>
        <v>380.00085974999996</v>
      </c>
      <c r="L6" s="161">
        <f ca="1">G6+I6+K6</f>
        <v>1162.2525860965275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8.9284000000000017</v>
      </c>
      <c r="C7" s="156">
        <f ca="1">IF(OR('Données projet'!B10="",'Données projet'!C10="",'Données projet'!C10=0%),0,Calculateur!AN3)</f>
        <v>466.75323833427217</v>
      </c>
      <c r="D7" s="156">
        <f>IF(OR('Données projet'!B10="",'Données projet'!C10="",'Données projet'!C10=0%),0,Calculateur!AO3)</f>
        <v>293.88550076209378</v>
      </c>
      <c r="E7" s="156">
        <f t="shared" ref="E7:E15" ca="1" si="0">MIN(C7,D7)</f>
        <v>293.88550076209378</v>
      </c>
      <c r="F7" s="156">
        <f t="shared" ref="F7:F15" ca="1" si="1">E7*B7</f>
        <v>2623.9273050042784</v>
      </c>
      <c r="G7" s="156">
        <f ca="1">F7*(100%-'Données projet'!$C$24)*(100%-'Données projet'!$C$25)*(100%-'Données projet'!$C$26)*(100%-'Données projet'!$C$27)</f>
        <v>2243.4578457786583</v>
      </c>
      <c r="H7" s="164">
        <f>IF(OR('Données projet'!B10="",'Données projet'!C10="",'Données projet'!C10=0%),0,AVERAGE(Calculateur!$AX$3:$AX$33)*B7)</f>
        <v>25.375474804553036</v>
      </c>
      <c r="I7" s="158">
        <f>H7*(100%-'Données projet'!$C$24)*(100%-'Données projet'!$C$25)*(100%-'Données projet'!$C$26)*(100%-'Données projet'!$C$27)</f>
        <v>21.696030957892848</v>
      </c>
      <c r="J7" s="159">
        <f>IF(OR('Données projet'!B10="",'Données projet'!C10="",'Données projet'!C10=0%),0,SUM(Calculateur!$AQ$3:$AQ$33)*VLOOKUP('Données projet'!$B$10,Paramètres!$A$1:$I$89,9,0)*B7)</f>
        <v>138.39020000000002</v>
      </c>
      <c r="K7" s="160">
        <f>J7*(100%-'Données projet'!$C$24)*(100%-'Données projet'!$C$25)*(100%-'Données projet'!$C$26)*(100%-'Données projet'!$C$27)</f>
        <v>118.32362100000002</v>
      </c>
      <c r="L7" s="161">
        <f t="shared" ref="L7:L15" ca="1" si="2">G7+I7+K7</f>
        <v>2383.4774977365514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Dorskamp</v>
      </c>
      <c r="B8" s="163">
        <f>'Données projet'!D11</f>
        <v>1.0302</v>
      </c>
      <c r="C8" s="156">
        <f ca="1">IF(OR('Données projet'!B11="",'Données projet'!C11="",'Données projet'!C11=0%),0,Calculateur!BI3)</f>
        <v>68.47741055388687</v>
      </c>
      <c r="D8" s="156">
        <f>IF(OR('Données projet'!B11="",'Données projet'!C11="",'Données projet'!C11=0%),0,Calculateur!BJ3)</f>
        <v>335.34467252166542</v>
      </c>
      <c r="E8" s="156">
        <f t="shared" ca="1" si="0"/>
        <v>68.47741055388687</v>
      </c>
      <c r="F8" s="156">
        <f t="shared" ca="1" si="1"/>
        <v>70.545428352614252</v>
      </c>
      <c r="G8" s="156">
        <f ca="1">F8*(100%-'Données projet'!$C$24)*(100%-'Données projet'!$C$25)*(100%-'Données projet'!$C$26)*(100%-'Données projet'!$C$27)</f>
        <v>60.316341241485183</v>
      </c>
      <c r="H8" s="164">
        <f>IF(OR('Données projet'!B11="",'Données projet'!C11="",'Données projet'!C11=0%),0,AVERAGE(Calculateur!$BS$3:$BS$33)*B8)</f>
        <v>29.550777271775608</v>
      </c>
      <c r="I8" s="158">
        <f>H8*(100%-'Données projet'!$C$24)*(100%-'Données projet'!$C$25)*(100%-'Données projet'!$C$26)*(100%-'Données projet'!$C$27)</f>
        <v>25.265914567368146</v>
      </c>
      <c r="J8" s="159">
        <f>IF(OR('Données projet'!B11="",'Données projet'!C11="",'Données projet'!C11=0%),0,SUM(Calculateur!$BL$3:$BL$33)*VLOOKUP('Données projet'!$B$11,Paramètres!$A$1:$I$89,9,0)*B8)</f>
        <v>284.37640800000003</v>
      </c>
      <c r="K8" s="160">
        <f>J8*(100%-'Données projet'!$C$24)*(100%-'Données projet'!$C$25)*(100%-'Données projet'!$C$26)*(100%-'Données projet'!$C$27)</f>
        <v>243.14182884000002</v>
      </c>
      <c r="L8" s="161">
        <f t="shared" ca="1" si="2"/>
        <v>328.72408464885336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maritime</v>
      </c>
      <c r="B9" s="163">
        <f>'Données projet'!D12</f>
        <v>5.4944000000000006</v>
      </c>
      <c r="C9" s="156">
        <f ca="1">IF(OR('Données projet'!B12="",'Données projet'!C12="",'Données projet'!C12=0%),0,Calculateur!CD3)</f>
        <v>211.76609132110815</v>
      </c>
      <c r="D9" s="156">
        <f>IF(OR('Données projet'!B12="",'Données projet'!C12="",'Données projet'!C12=0%),0,Calculateur!CE3)</f>
        <v>363.07965692095752</v>
      </c>
      <c r="E9" s="156">
        <f t="shared" ca="1" si="0"/>
        <v>211.76609132110815</v>
      </c>
      <c r="F9" s="156">
        <f t="shared" ca="1" si="1"/>
        <v>1163.5276121546967</v>
      </c>
      <c r="G9" s="156">
        <f ca="1">F9*(100%-'Données projet'!$C$24)*(100%-'Données projet'!$C$25)*(100%-'Données projet'!$C$26)*(100%-'Données projet'!$C$27)</f>
        <v>994.81610839226573</v>
      </c>
      <c r="H9" s="164">
        <f>IF(OR('Données projet'!B12="",'Données projet'!C12="",'Données projet'!C12=0%),0,AVERAGE(Calculateur!$CN$3:$CN$33)*B9)</f>
        <v>38.623600107356751</v>
      </c>
      <c r="I9" s="158">
        <f>H9*(100%-'Données projet'!$C$24)*(100%-'Données projet'!$C$25)*(100%-'Données projet'!$C$26)*(100%-'Données projet'!$C$27)</f>
        <v>33.023178091790022</v>
      </c>
      <c r="J9" s="159">
        <f>IF(OR('Données projet'!B12="",'Données projet'!C12="",'Données projet'!C12=0%),0,SUM(Calculateur!$CG$3:$CG$33)*VLOOKUP('Données projet'!$B$12,Paramètres!$A$1:$I$89,9,0)*B9)</f>
        <v>353.34486400000003</v>
      </c>
      <c r="K9" s="160">
        <f>J9*(100%-'Données projet'!$C$24)*(100%-'Données projet'!$C$25)*(100%-'Données projet'!$C$26)*(100%-'Données projet'!$C$27)</f>
        <v>302.10985872000003</v>
      </c>
      <c r="L9" s="161">
        <f t="shared" ca="1" si="2"/>
        <v>1329.9491452040556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Robinier faux-acacia</v>
      </c>
      <c r="B10" s="163">
        <f>'Données projet'!D13</f>
        <v>2.0604</v>
      </c>
      <c r="C10" s="156">
        <f ca="1">IF(OR('Données projet'!B13="",'Données projet'!C13="",'Données projet'!C13=0%),0,Calculateur!CY3)</f>
        <v>374.91250349988451</v>
      </c>
      <c r="D10" s="156">
        <f>IF(OR('Données projet'!B13="",'Données projet'!C13="",'Données projet'!C13=0%),0,Calculateur!CZ3)</f>
        <v>529.46825265662869</v>
      </c>
      <c r="E10" s="156">
        <f t="shared" ca="1" si="0"/>
        <v>374.91250349988451</v>
      </c>
      <c r="F10" s="156">
        <f t="shared" ca="1" si="1"/>
        <v>772.46972221116209</v>
      </c>
      <c r="G10" s="156">
        <f ca="1">F10*(100%-'Données projet'!$C$24)*(100%-'Données projet'!$C$25)*(100%-'Données projet'!$C$26)*(100%-'Données projet'!$C$27)</f>
        <v>660.46161249054364</v>
      </c>
      <c r="H10" s="164">
        <f>IF(OR('Données projet'!B13="",'Données projet'!C13="",'Données projet'!C13=0%),0,AVERAGE(Calculateur!$DI$3:$DI$33)*B10)</f>
        <v>5.6111165332029866</v>
      </c>
      <c r="I10" s="158">
        <f>H10*(100%-'Données projet'!$C$24)*(100%-'Données projet'!$C$25)*(100%-'Données projet'!$C$26)*(100%-'Données projet'!$C$27)</f>
        <v>4.7975046358885534</v>
      </c>
      <c r="J10" s="159">
        <f>IF(OR('Données projet'!B13="",'Données projet'!C13="",'Données projet'!C13=0%),0,SUM(Calculateur!$DB$3:$DB$33)*VLOOKUP('Données projet'!$B$13,Paramètres!$A$1:$I$89,9,0)*B10)</f>
        <v>51.51</v>
      </c>
      <c r="K10" s="160">
        <f>J10*(100%-'Données projet'!$C$24)*(100%-'Données projet'!$C$25)*(100%-'Données projet'!$C$26)*(100%-'Données projet'!$C$27)</f>
        <v>44.041049999999998</v>
      </c>
      <c r="L10" s="161">
        <f t="shared" ca="1" si="2"/>
        <v>709.30016712643226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Chêne rouge d'Amérique</v>
      </c>
      <c r="B11" s="163">
        <f>'Données projet'!D14</f>
        <v>3.7774000000000005</v>
      </c>
      <c r="C11" s="156">
        <f ca="1">IF(OR('Données projet'!B14="",'Données projet'!C14="",'Données projet'!C14=0%),0,Calculateur!DT3)</f>
        <v>289.18543665577761</v>
      </c>
      <c r="D11" s="156">
        <f>IF(OR('Données projet'!B14="",'Données projet'!C14="",'Données projet'!C14=0%),0,Calculateur!DU3)</f>
        <v>291.40065947222843</v>
      </c>
      <c r="E11" s="156">
        <f t="shared" ca="1" si="0"/>
        <v>289.18543665577761</v>
      </c>
      <c r="F11" s="156">
        <f t="shared" ca="1" si="1"/>
        <v>1092.3690684235346</v>
      </c>
      <c r="G11" s="156">
        <f ca="1">F11*(100%-'Données projet'!$C$24)*(100%-'Données projet'!$C$25)*(100%-'Données projet'!$C$26)*(100%-'Données projet'!$C$27)</f>
        <v>933.97555350212212</v>
      </c>
      <c r="H11" s="164">
        <f>IF(OR('Données projet'!B14="",'Données projet'!C14="",'Données projet'!C14=0%),0,AVERAGE(Calculateur!$ED$3:$ED$33)*B11)</f>
        <v>9.4036877641070191</v>
      </c>
      <c r="I11" s="158">
        <f>H11*(100%-'Données projet'!$C$24)*(100%-'Données projet'!$C$25)*(100%-'Données projet'!$C$26)*(100%-'Données projet'!$C$27)</f>
        <v>8.0401530383114999</v>
      </c>
      <c r="J11" s="159">
        <f>IF(OR('Données projet'!B14="",'Données projet'!C14="",'Données projet'!C14=0%),0,SUM(Calculateur!$DW$3:$DW$33)*VLOOKUP('Données projet'!$B$14,Paramètres!$A$1:$I$89,9,0)*B11)</f>
        <v>65.160150000000016</v>
      </c>
      <c r="K11" s="160">
        <f>J11*(100%-'Données projet'!$C$24)*(100%-'Données projet'!$C$25)*(100%-'Données projet'!$C$26)*(100%-'Données projet'!$C$27)</f>
        <v>55.711928250000007</v>
      </c>
      <c r="L11" s="161">
        <f t="shared" ca="1" si="2"/>
        <v>997.72763479043363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Chêne pubescent</v>
      </c>
      <c r="B12" s="163">
        <f>'Données projet'!D15</f>
        <v>2.4038000000000004</v>
      </c>
      <c r="C12" s="156">
        <f ca="1">IF(OR('Données projet'!B15="",'Données projet'!C15="",'Données projet'!C15=0%),0,Calculateur!EO3)</f>
        <v>514.72748286045442</v>
      </c>
      <c r="D12" s="156">
        <f>IF(OR('Données projet'!B15="",'Données projet'!C15="",'Données projet'!C15=0%),0,Calculateur!EP3)</f>
        <v>322.28702110656116</v>
      </c>
      <c r="E12" s="156">
        <f t="shared" ca="1" si="0"/>
        <v>322.28702110656116</v>
      </c>
      <c r="F12" s="156">
        <f t="shared" ca="1" si="1"/>
        <v>774.71354133595185</v>
      </c>
      <c r="G12" s="156">
        <f ca="1">F12*(100%-'Données projet'!$C$24)*(100%-'Données projet'!$C$25)*(100%-'Données projet'!$C$26)*(100%-'Données projet'!$C$27)</f>
        <v>662.38007784223885</v>
      </c>
      <c r="H12" s="164">
        <f>IF(OR('Données projet'!B15="",'Données projet'!C15="",'Données projet'!C15=0%),0,AVERAGE(Calculateur!$EY$3:$EY$33)*B12)</f>
        <v>7.6563932599944513</v>
      </c>
      <c r="I12" s="158">
        <f>H12*(100%-'Données projet'!$C$24)*(100%-'Données projet'!$C$25)*(100%-'Données projet'!$C$26)*(100%-'Données projet'!$C$27)</f>
        <v>6.5462162372952557</v>
      </c>
      <c r="J12" s="159">
        <f>IF(OR('Données projet'!B15="",'Données projet'!C15="",'Données projet'!C15=0%),0,SUM(Calculateur!$ER$3:$ER$33)*VLOOKUP('Données projet'!$B$15,Paramètres!$A$1:$I$89,9,0)*B12)</f>
        <v>37.258900000000004</v>
      </c>
      <c r="K12" s="160">
        <f>J12*(100%-'Données projet'!$C$24)*(100%-'Données projet'!$C$25)*(100%-'Données projet'!$C$26)*(100%-'Données projet'!$C$27)</f>
        <v>31.856359500000003</v>
      </c>
      <c r="L12" s="161">
        <f t="shared" ca="1" si="2"/>
        <v>700.78265357953421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7251.1892610771665</v>
      </c>
      <c r="G16" s="175">
        <f t="shared" ca="1" si="3"/>
        <v>6199.7668182209782</v>
      </c>
      <c r="H16" s="176">
        <f t="shared" si="3"/>
        <v>277.49876596656139</v>
      </c>
      <c r="I16" s="176">
        <f t="shared" si="3"/>
        <v>237.26144490140999</v>
      </c>
      <c r="J16" s="177">
        <f t="shared" si="3"/>
        <v>1374.4859720000002</v>
      </c>
      <c r="K16" s="177">
        <f t="shared" si="3"/>
        <v>1175.1855060600001</v>
      </c>
      <c r="L16" s="178">
        <f t="shared" ca="1" si="3"/>
        <v>7612.2137691823873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Eucalyptus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Dorskamp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maritime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Robinier faux-acacia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Chêne rouge d'Amérique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Chêne pubescent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0" sqref="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Eucalyptus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5484.3320678498785</v>
      </c>
      <c r="U10" s="190">
        <f>'Données projet'!D9</f>
        <v>10.6454</v>
      </c>
      <c r="V10" s="189">
        <f>U10*T10</f>
        <v>58382.908595089102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807.77022275832178</v>
      </c>
      <c r="U11" s="190">
        <f>'Données projet'!D10</f>
        <v>8.9284000000000017</v>
      </c>
      <c r="V11" s="189">
        <f>U11*T11</f>
        <v>7212.0956568754018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Dorskamp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8494.5349195708131</v>
      </c>
      <c r="U12" s="190">
        <f>'Données projet'!D11</f>
        <v>1.0302</v>
      </c>
      <c r="V12" s="189">
        <f t="shared" ref="V12:V19" si="0">U12*T12</f>
        <v>8751.069874141851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maritime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3413.6579135777565</v>
      </c>
      <c r="U13" s="190">
        <f>'Données projet'!D12</f>
        <v>5.4944000000000006</v>
      </c>
      <c r="V13" s="189">
        <f t="shared" si="0"/>
        <v>18756.002040361629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Eucalyptus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Robinier faux-acacia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69.873425302365547</v>
      </c>
      <c r="U14" s="190">
        <f>'Données projet'!D13</f>
        <v>2.0604</v>
      </c>
      <c r="V14" s="189">
        <f t="shared" si="0"/>
        <v>143.96720549299397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0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rouge d'Amérique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485.17536503806218</v>
      </c>
      <c r="U15" s="190">
        <f>'Données projet'!D14</f>
        <v>3.7774000000000005</v>
      </c>
      <c r="V15" s="189">
        <f t="shared" si="0"/>
        <v>1832.7014238947763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/>
      <c r="O16" s="25"/>
      <c r="P16" s="25"/>
      <c r="Q16" s="265"/>
      <c r="R16" s="25"/>
      <c r="S16" s="185" t="str">
        <f>B200</f>
        <v>Chêne pubescent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807.77022275832178</v>
      </c>
      <c r="U16" s="190">
        <f>'Données projet'!D15</f>
        <v>2.4038000000000004</v>
      </c>
      <c r="V16" s="189">
        <f t="shared" si="0"/>
        <v>1941.7180614664542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1</v>
      </c>
      <c r="I20" s="204">
        <v>3045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10</v>
      </c>
      <c r="B23" s="193">
        <f>'Données projet'!D36</f>
        <v>167</v>
      </c>
      <c r="C23" s="206">
        <v>51</v>
      </c>
      <c r="D23" s="194">
        <f>B23*C23</f>
        <v>8517</v>
      </c>
      <c r="E23" s="206"/>
      <c r="F23" s="261"/>
      <c r="H23" s="203"/>
      <c r="I23" s="204"/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-3042.0251809553301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1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1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5">
        <f ca="1">T23-T24</f>
        <v>-3042.0251809553301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1"/>
        <v>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1"/>
        <v>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1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1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1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1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1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1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1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2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1"/>
        <v>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2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1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1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1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1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1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1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1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 t="str">
        <f>IF(O43+1&lt;=MIN('Données projet'!$E$9:$E$18),O43+1,"STOP")</f>
        <v>STOP</v>
      </c>
      <c r="P44" s="197" t="e">
        <f t="shared" si="2"/>
        <v>#VALUE!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 t="e">
        <f>IF(O44+1&lt;=MIN('Données projet'!$E$9:$E$18),O44+1,"STOP")</f>
        <v>#VALUE!</v>
      </c>
      <c r="P45" s="197" t="e">
        <f t="shared" si="2"/>
        <v>#VALUE!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 t="e">
        <f>IF(O45+1&lt;=MIN('Données projet'!$E$9:$E$18),O45+1,"STOP")</f>
        <v>#VALUE!</v>
      </c>
      <c r="P46" s="200" t="e">
        <f t="shared" si="2"/>
        <v>#VALUE!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 t="e">
        <f>IF(O46+1&lt;=MIN('Données projet'!$E$9:$E$18),O46+1,"STOP")</f>
        <v>#VALUE!</v>
      </c>
      <c r="P47" s="197" t="e">
        <f t="shared" si="2"/>
        <v>#VALUE!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 t="e">
        <f>IF(O47+1&lt;=MIN('Données projet'!$E$9:$E$18),O47+1,"STOP")</f>
        <v>#VALUE!</v>
      </c>
      <c r="P48" s="197" t="e">
        <f t="shared" si="2"/>
        <v>#VALUE!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 t="e">
        <f>IF(O48+1&lt;=MIN('Données projet'!$E$9:$E$18),O48+1,"STOP")</f>
        <v>#VALUE!</v>
      </c>
      <c r="P49" s="197" t="e">
        <f t="shared" si="2"/>
        <v>#VALUE!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e">
        <f>IF(O49+1&lt;=MIN('Données projet'!$E$9:$E$18),O49+1,"STOP")</f>
        <v>#VALUE!</v>
      </c>
      <c r="P50" s="197" t="e">
        <f t="shared" si="2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2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2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2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4">
        <v>12.5</v>
      </c>
      <c r="D54" s="191">
        <f>B54*C54</f>
        <v>75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2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4"/>
      <c r="D55" s="191">
        <f t="shared" ref="D55:D73" si="3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2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4">
        <v>13</v>
      </c>
      <c r="D56" s="191">
        <f t="shared" si="3"/>
        <v>364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2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4">
        <v>13</v>
      </c>
      <c r="D57" s="191">
        <f t="shared" si="3"/>
        <v>364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2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13</v>
      </c>
      <c r="D58" s="191">
        <f t="shared" si="3"/>
        <v>364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2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4">
        <v>13</v>
      </c>
      <c r="D59" s="191">
        <f t="shared" si="3"/>
        <v>364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2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13</v>
      </c>
      <c r="D60" s="191">
        <f t="shared" si="3"/>
        <v>364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2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13</v>
      </c>
      <c r="D61" s="191">
        <f t="shared" si="3"/>
        <v>364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2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20</v>
      </c>
      <c r="D62" s="191">
        <f t="shared" si="3"/>
        <v>560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2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20</v>
      </c>
      <c r="D63" s="191">
        <f t="shared" si="3"/>
        <v>560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2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20</v>
      </c>
      <c r="D64" s="191">
        <f t="shared" si="3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2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20</v>
      </c>
      <c r="D65" s="191">
        <f t="shared" si="3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4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20</v>
      </c>
      <c r="D66" s="191">
        <f t="shared" si="3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4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20</v>
      </c>
      <c r="D67" s="191">
        <f t="shared" si="3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4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20</v>
      </c>
      <c r="D68" s="191">
        <f t="shared" si="3"/>
        <v>560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4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20</v>
      </c>
      <c r="D69" s="191">
        <f t="shared" si="3"/>
        <v>560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4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20</v>
      </c>
      <c r="D70" s="191">
        <f t="shared" si="3"/>
        <v>540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4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50</v>
      </c>
      <c r="D71" s="191">
        <f t="shared" si="3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4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50</v>
      </c>
      <c r="D72" s="191">
        <f t="shared" si="3"/>
        <v>1250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4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04">
        <v>105</v>
      </c>
      <c r="D73" s="191">
        <f t="shared" si="3"/>
        <v>34650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4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4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4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Dorskamp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4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4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4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4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4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4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4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4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4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18</v>
      </c>
      <c r="B85" s="193">
        <f>'Données projet'!D88</f>
        <v>268</v>
      </c>
      <c r="C85" s="204">
        <v>70</v>
      </c>
      <c r="D85" s="191">
        <f>B85*C85</f>
        <v>18760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4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5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4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5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4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5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4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5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4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5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4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5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4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5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4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5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4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5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4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5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4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5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4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5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6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5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6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5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6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5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6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5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6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5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6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5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6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5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6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6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6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maritime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6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6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6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6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6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6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6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6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6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13</v>
      </c>
      <c r="B116" s="193">
        <f>'Données projet'!D114</f>
        <v>15</v>
      </c>
      <c r="C116" s="204">
        <v>20</v>
      </c>
      <c r="D116" s="191">
        <f>B116*C116</f>
        <v>300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6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19</v>
      </c>
      <c r="B117" s="193">
        <f>'Données projet'!D115</f>
        <v>40</v>
      </c>
      <c r="C117" s="204">
        <v>20</v>
      </c>
      <c r="D117" s="191">
        <f t="shared" ref="D117:D135" si="7">B117*C117</f>
        <v>800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6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54</v>
      </c>
      <c r="C118" s="204">
        <v>20</v>
      </c>
      <c r="D118" s="191">
        <f t="shared" si="7"/>
        <v>1080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6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7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6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38</v>
      </c>
      <c r="B120" s="193">
        <f>'Données projet'!D118</f>
        <v>338</v>
      </c>
      <c r="C120" s="204">
        <v>40</v>
      </c>
      <c r="D120" s="191">
        <f t="shared" si="7"/>
        <v>13520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6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7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6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7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6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7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6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7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6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7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6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7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6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7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6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7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6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7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7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7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7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7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7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7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Robinier faux-acacia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5</v>
      </c>
      <c r="B147" s="187">
        <f>'Données projet'!D140</f>
        <v>6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10</v>
      </c>
      <c r="B148" s="187">
        <f>'Données projet'!D141</f>
        <v>28</v>
      </c>
      <c r="C148" s="204"/>
      <c r="D148" s="194">
        <f t="shared" ref="D148:D166" si="8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15</v>
      </c>
      <c r="B149" s="187">
        <f>'Données projet'!D142</f>
        <v>23</v>
      </c>
      <c r="C149" s="204"/>
      <c r="D149" s="194">
        <f t="shared" si="8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20</v>
      </c>
      <c r="B150" s="187">
        <f>'Données projet'!D143</f>
        <v>18</v>
      </c>
      <c r="C150" s="204"/>
      <c r="D150" s="194">
        <f t="shared" si="8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25</v>
      </c>
      <c r="B151" s="187">
        <f>'Données projet'!D144</f>
        <v>14</v>
      </c>
      <c r="C151" s="204">
        <v>15</v>
      </c>
      <c r="D151" s="194">
        <f t="shared" si="8"/>
        <v>210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30</v>
      </c>
      <c r="B152" s="187">
        <f>'Données projet'!D145</f>
        <v>11</v>
      </c>
      <c r="C152" s="204"/>
      <c r="D152" s="194">
        <f t="shared" si="8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35</v>
      </c>
      <c r="B153" s="187">
        <f>'Données projet'!D146</f>
        <v>9</v>
      </c>
      <c r="C153" s="204"/>
      <c r="D153" s="194">
        <f t="shared" si="8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40</v>
      </c>
      <c r="B154" s="187">
        <f>'Données projet'!D147</f>
        <v>7</v>
      </c>
      <c r="C154" s="204"/>
      <c r="D154" s="194">
        <f t="shared" si="8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45</v>
      </c>
      <c r="B155" s="187">
        <f>'Données projet'!D148</f>
        <v>312</v>
      </c>
      <c r="C155" s="204"/>
      <c r="D155" s="194">
        <f t="shared" si="8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8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8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8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8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8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8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8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8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8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8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8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Chêne rouge d'Amérique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17</v>
      </c>
      <c r="C178" s="206">
        <v>12.5</v>
      </c>
      <c r="D178" s="191">
        <f>B178*C178</f>
        <v>212.5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26</v>
      </c>
      <c r="C179" s="206"/>
      <c r="D179" s="191">
        <f t="shared" ref="D179:D197" si="9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26</v>
      </c>
      <c r="C180" s="206">
        <v>12.5</v>
      </c>
      <c r="D180" s="191">
        <f t="shared" si="9"/>
        <v>325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25</v>
      </c>
      <c r="C181" s="206"/>
      <c r="D181" s="191">
        <f t="shared" si="9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23</v>
      </c>
      <c r="C182" s="206">
        <v>20</v>
      </c>
      <c r="D182" s="191">
        <f t="shared" si="9"/>
        <v>460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21</v>
      </c>
      <c r="C183" s="206"/>
      <c r="D183" s="191">
        <f t="shared" si="9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19</v>
      </c>
      <c r="C184" s="206">
        <v>50</v>
      </c>
      <c r="D184" s="191">
        <f t="shared" si="9"/>
        <v>950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18</v>
      </c>
      <c r="C185" s="206"/>
      <c r="D185" s="191">
        <f t="shared" si="9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16</v>
      </c>
      <c r="C186" s="206">
        <v>86</v>
      </c>
      <c r="D186" s="191">
        <f t="shared" si="9"/>
        <v>1376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14</v>
      </c>
      <c r="C187" s="206"/>
      <c r="D187" s="191">
        <f t="shared" si="9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12</v>
      </c>
      <c r="C188" s="206"/>
      <c r="D188" s="191">
        <f t="shared" si="9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11</v>
      </c>
      <c r="C189" s="206"/>
      <c r="D189" s="191">
        <f t="shared" si="9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80</v>
      </c>
      <c r="B190" s="193">
        <f>'Données projet'!D178</f>
        <v>9</v>
      </c>
      <c r="C190" s="206">
        <v>105</v>
      </c>
      <c r="D190" s="191">
        <f t="shared" si="9"/>
        <v>945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85</v>
      </c>
      <c r="B191" s="193">
        <f>'Données projet'!D179</f>
        <v>8</v>
      </c>
      <c r="C191" s="206"/>
      <c r="D191" s="191">
        <f t="shared" si="9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90</v>
      </c>
      <c r="B192" s="193">
        <f>'Données projet'!D180</f>
        <v>193</v>
      </c>
      <c r="C192" s="206"/>
      <c r="D192" s="191">
        <f t="shared" si="9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9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Chêne pubescent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6</v>
      </c>
      <c r="C209" s="204">
        <v>12.5</v>
      </c>
      <c r="D209" s="191">
        <f>B209*C209</f>
        <v>75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28</v>
      </c>
      <c r="C210" s="204"/>
      <c r="D210" s="191">
        <f t="shared" ref="D210:D228" si="10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28</v>
      </c>
      <c r="C211" s="204">
        <v>13</v>
      </c>
      <c r="D211" s="191">
        <f t="shared" si="10"/>
        <v>364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28</v>
      </c>
      <c r="C212" s="204">
        <v>13</v>
      </c>
      <c r="D212" s="191">
        <f t="shared" si="10"/>
        <v>364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28</v>
      </c>
      <c r="C213" s="204">
        <v>13</v>
      </c>
      <c r="D213" s="191">
        <f t="shared" si="10"/>
        <v>364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28</v>
      </c>
      <c r="C214" s="204">
        <v>13</v>
      </c>
      <c r="D214" s="191">
        <f t="shared" si="10"/>
        <v>364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28</v>
      </c>
      <c r="C215" s="204">
        <v>13</v>
      </c>
      <c r="D215" s="191">
        <f t="shared" si="10"/>
        <v>364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28</v>
      </c>
      <c r="C216" s="204">
        <v>13</v>
      </c>
      <c r="D216" s="191">
        <f t="shared" si="10"/>
        <v>364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28</v>
      </c>
      <c r="C217" s="204">
        <v>20</v>
      </c>
      <c r="D217" s="191">
        <f t="shared" si="10"/>
        <v>560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28</v>
      </c>
      <c r="C218" s="204">
        <v>20</v>
      </c>
      <c r="D218" s="191">
        <f t="shared" si="10"/>
        <v>560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28</v>
      </c>
      <c r="C219" s="204">
        <v>20</v>
      </c>
      <c r="D219" s="191">
        <f t="shared" si="10"/>
        <v>560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28</v>
      </c>
      <c r="C220" s="204">
        <v>20</v>
      </c>
      <c r="D220" s="191">
        <f t="shared" si="10"/>
        <v>560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80</v>
      </c>
      <c r="B221" s="193">
        <f>'Données projet'!D204</f>
        <v>28</v>
      </c>
      <c r="C221" s="204">
        <v>20</v>
      </c>
      <c r="D221" s="191">
        <f t="shared" si="10"/>
        <v>560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85</v>
      </c>
      <c r="B222" s="193">
        <f>'Données projet'!D205</f>
        <v>28</v>
      </c>
      <c r="C222" s="204">
        <v>20</v>
      </c>
      <c r="D222" s="191">
        <f t="shared" si="10"/>
        <v>560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90</v>
      </c>
      <c r="B223" s="193">
        <f>'Données projet'!D206</f>
        <v>28</v>
      </c>
      <c r="C223" s="204">
        <v>20</v>
      </c>
      <c r="D223" s="191">
        <f t="shared" si="10"/>
        <v>560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95</v>
      </c>
      <c r="B224" s="193">
        <f>'Données projet'!D207</f>
        <v>28</v>
      </c>
      <c r="C224" s="204">
        <v>20</v>
      </c>
      <c r="D224" s="191">
        <f t="shared" si="10"/>
        <v>560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100</v>
      </c>
      <c r="B225" s="193">
        <f>'Données projet'!D208</f>
        <v>27</v>
      </c>
      <c r="C225" s="204">
        <v>20</v>
      </c>
      <c r="D225" s="191">
        <f t="shared" si="10"/>
        <v>540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105</v>
      </c>
      <c r="B226" s="193">
        <f>'Données projet'!D209</f>
        <v>26</v>
      </c>
      <c r="C226" s="204">
        <v>50</v>
      </c>
      <c r="D226" s="191">
        <f t="shared" si="10"/>
        <v>1300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110</v>
      </c>
      <c r="B227" s="193">
        <f>'Données projet'!D210</f>
        <v>25</v>
      </c>
      <c r="C227" s="204">
        <v>50</v>
      </c>
      <c r="D227" s="191">
        <f t="shared" si="10"/>
        <v>1250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115</v>
      </c>
      <c r="B228" s="193">
        <f>'Données projet'!D211</f>
        <v>330</v>
      </c>
      <c r="C228" s="204">
        <v>105</v>
      </c>
      <c r="D228" s="191">
        <f t="shared" si="10"/>
        <v>34650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1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1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1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1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1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1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1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1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1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1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1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1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1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1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2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2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2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2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2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2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2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2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2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2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2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2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3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3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3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3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3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3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3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3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3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3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3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3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3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2024-07-23T13:57:17Z</dcterms:modified>
</cp:coreProperties>
</file>