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060\Z00F7PEK\"/>
    </mc:Choice>
  </mc:AlternateContent>
  <xr:revisionPtr revIDLastSave="0" documentId="13_ncr:1_{D20099A7-C2C8-424A-910B-DC2A0CE4D7D9}" xr6:coauthVersionLast="47" xr6:coauthVersionMax="47" xr10:uidLastSave="{00000000-0000-0000-0000-000000000000}"/>
  <bookViews>
    <workbookView xWindow="286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E17" i="6"/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AH19" i="2" a="1"/>
  <c r="AH19" i="2" s="1"/>
  <c r="AH90" i="2" a="1"/>
  <c r="AH90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<sst xmlns="http://schemas.openxmlformats.org/spreadsheetml/2006/main" count="1170" uniqueCount="324">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</sst>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F25" sqref="F2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3.75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30</v>
      </c>
      <c r="C9" s="32">
        <v>1</v>
      </c>
      <c r="D9" s="33">
        <f t="shared" ref="D9:D18" si="0">C9*$C$5</f>
        <v>3.75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3.75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Noyer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f>22+D36</f>
        <v>37</v>
      </c>
      <c r="C36" s="60">
        <v>1</v>
      </c>
      <c r="D36" s="60">
        <v>15</v>
      </c>
      <c r="E36" s="51"/>
      <c r="F36" s="51"/>
      <c r="G36" s="51"/>
      <c r="H36" s="51">
        <v>1</v>
      </c>
      <c r="I36" s="49">
        <f>IFERROR(B36/A36,"")</f>
        <v>2.4666666666666668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52+D37</f>
        <v>80</v>
      </c>
      <c r="C37" s="60">
        <v>2</v>
      </c>
      <c r="D37" s="60">
        <v>28</v>
      </c>
      <c r="E37" s="51"/>
      <c r="F37" s="51">
        <v>0.2</v>
      </c>
      <c r="G37" s="51">
        <v>0.4</v>
      </c>
      <c r="H37" s="51">
        <v>0.4</v>
      </c>
      <c r="I37" s="53">
        <f t="shared" ref="I37:I55" si="1">IF(A37&lt;&gt;0,(B37-(B36-D36))/(A37-A36),"")</f>
        <v>11.6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f>87+D38</f>
        <v>115</v>
      </c>
      <c r="C38" s="60">
        <v>3</v>
      </c>
      <c r="D38" s="60">
        <v>28</v>
      </c>
      <c r="E38" s="51"/>
      <c r="F38" s="51">
        <v>0.2</v>
      </c>
      <c r="G38" s="51">
        <v>0.5</v>
      </c>
      <c r="H38" s="51">
        <v>0.3</v>
      </c>
      <c r="I38" s="53">
        <f t="shared" si="1"/>
        <v>12.6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118+D39</f>
        <v>146</v>
      </c>
      <c r="C39" s="60">
        <v>4</v>
      </c>
      <c r="D39" s="60">
        <v>28</v>
      </c>
      <c r="E39" s="51">
        <v>0.2</v>
      </c>
      <c r="F39" s="51">
        <v>0.4</v>
      </c>
      <c r="G39" s="51">
        <v>0.4</v>
      </c>
      <c r="H39" s="51"/>
      <c r="I39" s="49">
        <f t="shared" si="1"/>
        <v>11.8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f>144+D40</f>
        <v>172</v>
      </c>
      <c r="C40" s="60">
        <v>5</v>
      </c>
      <c r="D40" s="60">
        <v>28</v>
      </c>
      <c r="E40" s="51">
        <v>0.2</v>
      </c>
      <c r="F40" s="51">
        <v>0.4</v>
      </c>
      <c r="G40" s="51">
        <v>0.4</v>
      </c>
      <c r="H40" s="51"/>
      <c r="I40" s="49">
        <f t="shared" si="1"/>
        <v>10.8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164+D41</f>
        <v>192</v>
      </c>
      <c r="C41" s="60">
        <v>6</v>
      </c>
      <c r="D41" s="60">
        <v>28</v>
      </c>
      <c r="E41" s="51"/>
      <c r="F41" s="51"/>
      <c r="G41" s="51"/>
      <c r="H41" s="51"/>
      <c r="I41" s="53">
        <f t="shared" si="1"/>
        <v>9.6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f>183+D42</f>
        <v>205</v>
      </c>
      <c r="C42" s="60">
        <v>7</v>
      </c>
      <c r="D42" s="60">
        <v>22</v>
      </c>
      <c r="E42" s="51"/>
      <c r="F42" s="51"/>
      <c r="G42" s="51"/>
      <c r="H42" s="51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f>202+D43</f>
        <v>219</v>
      </c>
      <c r="C43" s="60">
        <v>8</v>
      </c>
      <c r="D43" s="60">
        <v>17</v>
      </c>
      <c r="E43" s="51"/>
      <c r="F43" s="51"/>
      <c r="G43" s="51"/>
      <c r="H43" s="51"/>
      <c r="I43" s="49">
        <f t="shared" si="1"/>
        <v>7.2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f>219+D44</f>
        <v>232</v>
      </c>
      <c r="C44" s="60">
        <v>9</v>
      </c>
      <c r="D44" s="60">
        <v>13</v>
      </c>
      <c r="E44" s="51"/>
      <c r="F44" s="51"/>
      <c r="G44" s="51"/>
      <c r="H44" s="51"/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f>233+D45</f>
        <v>245</v>
      </c>
      <c r="C45" s="60">
        <v>10</v>
      </c>
      <c r="D45" s="60">
        <v>12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f>244+D46</f>
        <v>255</v>
      </c>
      <c r="C46" s="60">
        <v>11</v>
      </c>
      <c r="D46" s="60">
        <v>11</v>
      </c>
      <c r="E46" s="51"/>
      <c r="F46" s="51"/>
      <c r="G46" s="51"/>
      <c r="H46" s="51"/>
      <c r="I46" s="49">
        <f t="shared" si="1"/>
        <v>4.4000000000000004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70</v>
      </c>
      <c r="B47" s="60">
        <f>253+D47</f>
        <v>263</v>
      </c>
      <c r="C47" s="60">
        <v>12</v>
      </c>
      <c r="D47" s="60">
        <v>10</v>
      </c>
      <c r="E47" s="51"/>
      <c r="F47" s="51"/>
      <c r="G47" s="51"/>
      <c r="H47" s="51"/>
      <c r="I47" s="49">
        <f t="shared" si="1"/>
        <v>3.8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75</v>
      </c>
      <c r="B48" s="60">
        <f>261+D48</f>
        <v>270</v>
      </c>
      <c r="C48" s="60">
        <v>13</v>
      </c>
      <c r="D48" s="60">
        <v>9</v>
      </c>
      <c r="E48" s="51"/>
      <c r="F48" s="51"/>
      <c r="G48" s="51"/>
      <c r="H48" s="51"/>
      <c r="I48" s="49">
        <f t="shared" si="1"/>
        <v>3.4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80</v>
      </c>
      <c r="B49" s="60">
        <f>267+8</f>
        <v>275</v>
      </c>
      <c r="C49" s="60">
        <v>14</v>
      </c>
      <c r="D49" s="60">
        <v>275</v>
      </c>
      <c r="E49" s="51"/>
      <c r="F49" s="51"/>
      <c r="G49" s="51"/>
      <c r="H49" s="51"/>
      <c r="I49" s="49">
        <f t="shared" si="1"/>
        <v>2.8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4" sqref="G1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Noyer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328.16808330103993</v>
      </c>
      <c r="T3" s="59">
        <f>IF('Données projet'!E9&gt;30,$R$33-$H$33,LOOKUP('Données projet'!$E$9,$A$3:$A$203,R3:R203)-LOOKUP('Données projet'!$E$9,$A$3:$A$203,$H$3:$H$203))</f>
        <v>316.57989180609252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2.4666666666666668</v>
      </c>
      <c r="N4" s="13">
        <f>IF('Données projet'!$A$36&gt;35,N3+M4-V3,IF(A4&lt;'Données projet'!$A$36,$K$205^A4,IF(A4='Données projet'!$A$36,'Données projet'!$B$36,N3+M4-V3)))</f>
        <v>1.2721747796233518</v>
      </c>
      <c r="O4" s="13">
        <f>N4*VLOOKUP('Données projet'!$B$9,Paramètres!$A$1:$I$89,3,0)*VLOOKUP('Données projet'!$B$9,Paramètres!$A$1:$I$89,5,0)</f>
        <v>1.031988181230463</v>
      </c>
      <c r="P4" s="13">
        <f>EXP(-1.0587+0.8836*LN(O4)+0.284)</f>
        <v>0.47384363432899212</v>
      </c>
      <c r="Q4" s="20">
        <f t="shared" ref="Q4:Q34" si="2">(O4+P4)*0.475*44/12</f>
        <v>2.6226570787660513</v>
      </c>
      <c r="R4" s="59">
        <f t="shared" si="0"/>
        <v>170.43509103168989</v>
      </c>
      <c r="S4" s="59">
        <f ca="1">AVERAGE(OFFSET($R$3,0,0,'Données projet'!$E$9+1,1))-AVERAGE(OFFSET($H$3,0,0,'Données projet'!$E$9+1,1))</f>
        <v>328.16808330103993</v>
      </c>
      <c r="T4" s="59">
        <f>$T$3</f>
        <v>316.57989180609252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2.4666666666666668</v>
      </c>
      <c r="N5" s="13">
        <f>IF('Données projet'!$A$36&gt;35,N4+M5-V4,IF(A5&lt;'Données projet'!$A$36,$K$205^A5,IF(A5='Données projet'!$A$36,'Données projet'!$B$36,N4+M5-V4)))</f>
        <v>1.6184286699097237</v>
      </c>
      <c r="O5" s="13">
        <f>N5*VLOOKUP('Données projet'!$B$9,Paramètres!$A$1:$I$89,3,0)*VLOOKUP('Données projet'!$B$9,Paramètres!$A$1:$I$89,5,0)</f>
        <v>1.312869337030768</v>
      </c>
      <c r="P5" s="13">
        <f t="shared" ref="P5:P68" si="33">EXP(-1.0587+0.8836*LN(O5)+0.284)</f>
        <v>0.58615515240543437</v>
      </c>
      <c r="Q5" s="20">
        <f t="shared" si="2"/>
        <v>3.3074676524347191</v>
      </c>
      <c r="R5" s="59">
        <f t="shared" si="0"/>
        <v>173.90474893993556</v>
      </c>
      <c r="S5" s="59">
        <f ca="1">AVERAGE(OFFSET($R$3,0,0,'Données projet'!$E$9+1,1))-AVERAGE(OFFSET($H$3,0,0,'Données projet'!$E$9+1,1))</f>
        <v>328.16808330103993</v>
      </c>
      <c r="T5" s="59">
        <f t="shared" ref="T5:T68" si="34">$T$3</f>
        <v>316.57989180609252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2.4666666666666668</v>
      </c>
      <c r="N6" s="13">
        <f>IF('Données projet'!$A$36&gt;35,N5+M6-V5,IF(A6&lt;'Données projet'!$A$36,$K$205^A6,IF(A6='Données projet'!$A$36,'Données projet'!$B$36,N5+M6-V5)))</f>
        <v>2.0589241364785171</v>
      </c>
      <c r="O6" s="13">
        <f>N6*VLOOKUP('Données projet'!$B$9,Paramètres!$A$1:$I$89,3,0)*VLOOKUP('Données projet'!$B$9,Paramètres!$A$1:$I$89,5,0)</f>
        <v>1.6701992595113733</v>
      </c>
      <c r="P6" s="13">
        <f t="shared" si="33"/>
        <v>0.72508700718957031</v>
      </c>
      <c r="Q6" s="20">
        <f t="shared" si="2"/>
        <v>4.1717902478374764</v>
      </c>
      <c r="R6" s="59">
        <f t="shared" si="0"/>
        <v>177.52681081772235</v>
      </c>
      <c r="S6" s="59">
        <f ca="1">AVERAGE(OFFSET($R$3,0,0,'Données projet'!$E$9+1,1))-AVERAGE(OFFSET($H$3,0,0,'Données projet'!$E$9+1,1))</f>
        <v>328.16808330103993</v>
      </c>
      <c r="T6" s="59">
        <f t="shared" si="34"/>
        <v>316.57989180609252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2.4666666666666668</v>
      </c>
      <c r="N7" s="13">
        <f>IF('Données projet'!$A$36&gt;35,N6+M7-V6,IF(A7&lt;'Données projet'!$A$36,$K$205^A7,IF(A7='Données projet'!$A$36,'Données projet'!$B$36,N6+M7-V6)))</f>
        <v>2.6193113595857573</v>
      </c>
      <c r="O7" s="13">
        <f>N7*VLOOKUP('Données projet'!$B$9,Paramètres!$A$1:$I$89,3,0)*VLOOKUP('Données projet'!$B$9,Paramètres!$A$1:$I$89,5,0)</f>
        <v>2.1247853748959664</v>
      </c>
      <c r="P7" s="13">
        <f t="shared" si="33"/>
        <v>0.89694881267796833</v>
      </c>
      <c r="Q7" s="20">
        <f t="shared" si="2"/>
        <v>5.2628537100246024</v>
      </c>
      <c r="R7" s="59">
        <f t="shared" si="0"/>
        <v>181.34897577420156</v>
      </c>
      <c r="S7" s="59">
        <f ca="1">AVERAGE(OFFSET($R$3,0,0,'Données projet'!$E$9+1,1))-AVERAGE(OFFSET($H$3,0,0,'Données projet'!$E$9+1,1))</f>
        <v>328.16808330103993</v>
      </c>
      <c r="T7" s="59">
        <f t="shared" si="34"/>
        <v>316.57989180609252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2.4666666666666668</v>
      </c>
      <c r="N8" s="13">
        <f>IF('Données projet'!$A$36&gt;35,N7+M8-V7,IF(A8&lt;'Données projet'!$A$36,$K$205^A8,IF(A8='Données projet'!$A$36,'Données projet'!$B$36,N7+M8-V7)))</f>
        <v>3.332221851645953</v>
      </c>
      <c r="O8" s="13">
        <f>N8*VLOOKUP('Données projet'!$B$9,Paramètres!$A$1:$I$89,3,0)*VLOOKUP('Données projet'!$B$9,Paramètres!$A$1:$I$89,5,0)</f>
        <v>2.703098366055197</v>
      </c>
      <c r="P8" s="13">
        <f t="shared" si="33"/>
        <v>1.1095457022222992</v>
      </c>
      <c r="Q8" s="20">
        <f t="shared" si="2"/>
        <v>6.6403550855833053</v>
      </c>
      <c r="R8" s="59">
        <f t="shared" si="0"/>
        <v>185.43140296203066</v>
      </c>
      <c r="S8" s="59">
        <f ca="1">AVERAGE(OFFSET($R$3,0,0,'Données projet'!$E$9+1,1))-AVERAGE(OFFSET($H$3,0,0,'Données projet'!$E$9+1,1))</f>
        <v>328.16808330103993</v>
      </c>
      <c r="T8" s="59">
        <f t="shared" si="34"/>
        <v>316.57989180609252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2.4666666666666668</v>
      </c>
      <c r="N9" s="13">
        <f>IF('Données projet'!$A$36&gt;35,N8+M9-V8,IF(A9&lt;'Données projet'!$A$36,$K$205^A9,IF(A9='Données projet'!$A$36,'Données projet'!$B$36,N8+M9-V8)))</f>
        <v>4.2391685997738069</v>
      </c>
      <c r="O9" s="13">
        <f>N9*VLOOKUP('Données projet'!$B$9,Paramètres!$A$1:$I$89,3,0)*VLOOKUP('Données projet'!$B$9,Paramètres!$A$1:$I$89,5,0)</f>
        <v>3.4388135681365122</v>
      </c>
      <c r="P9" s="13">
        <f t="shared" si="33"/>
        <v>1.3725327999982246</v>
      </c>
      <c r="Q9" s="20">
        <f t="shared" si="2"/>
        <v>8.3797615911680001</v>
      </c>
      <c r="R9" s="59">
        <f t="shared" si="0"/>
        <v>189.85001368742698</v>
      </c>
      <c r="S9" s="59">
        <f ca="1">AVERAGE(OFFSET($R$3,0,0,'Données projet'!$E$9+1,1))-AVERAGE(OFFSET($H$3,0,0,'Données projet'!$E$9+1,1))</f>
        <v>328.16808330103993</v>
      </c>
      <c r="T9" s="59">
        <f t="shared" si="34"/>
        <v>316.57989180609252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2.4666666666666668</v>
      </c>
      <c r="N10" s="13">
        <f>IF('Données projet'!$A$36&gt;35,N9+M10-V9,IF(A10&lt;'Données projet'!$A$36,$K$205^A10,IF(A10='Données projet'!$A$36,'Données projet'!$B$36,N9+M10-V9)))</f>
        <v>5.3929633792034757</v>
      </c>
      <c r="O10" s="13">
        <f>N10*VLOOKUP('Données projet'!$B$9,Paramètres!$A$1:$I$89,3,0)*VLOOKUP('Données projet'!$B$9,Paramètres!$A$1:$I$89,5,0)</f>
        <v>4.3747718932098598</v>
      </c>
      <c r="P10" s="13">
        <f t="shared" si="33"/>
        <v>1.6978537101246285</v>
      </c>
      <c r="Q10" s="20">
        <f t="shared" si="2"/>
        <v>10.576489592474234</v>
      </c>
      <c r="R10" s="59">
        <f t="shared" si="0"/>
        <v>194.70067052821048</v>
      </c>
      <c r="S10" s="59">
        <f ca="1">AVERAGE(OFFSET($R$3,0,0,'Données projet'!$E$9+1,1))-AVERAGE(OFFSET($H$3,0,0,'Données projet'!$E$9+1,1))</f>
        <v>328.16808330103993</v>
      </c>
      <c r="T10" s="59">
        <f t="shared" si="34"/>
        <v>316.57989180609252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2.4666666666666668</v>
      </c>
      <c r="N11" s="13">
        <f>IF('Données projet'!$A$36&gt;35,N10+M11-V10,IF(A11&lt;'Données projet'!$A$36,$K$205^A11,IF(A11='Données projet'!$A$36,'Données projet'!$B$36,N10+M11-V10)))</f>
        <v>6.8607919984549888</v>
      </c>
      <c r="O11" s="13">
        <f>N11*VLOOKUP('Données projet'!$B$9,Paramètres!$A$1:$I$89,3,0)*VLOOKUP('Données projet'!$B$9,Paramètres!$A$1:$I$89,5,0)</f>
        <v>5.5654744691466869</v>
      </c>
      <c r="P11" s="13">
        <f t="shared" si="33"/>
        <v>2.10028293749169</v>
      </c>
      <c r="Q11" s="20">
        <f t="shared" si="2"/>
        <v>13.351194149895173</v>
      </c>
      <c r="R11" s="59">
        <f t="shared" si="0"/>
        <v>200.10446701611573</v>
      </c>
      <c r="S11" s="59">
        <f ca="1">AVERAGE(OFFSET($R$3,0,0,'Données projet'!$E$9+1,1))-AVERAGE(OFFSET($H$3,0,0,'Données projet'!$E$9+1,1))</f>
        <v>328.16808330103993</v>
      </c>
      <c r="T11" s="59">
        <f t="shared" si="34"/>
        <v>316.57989180609252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2.4666666666666668</v>
      </c>
      <c r="N12" s="13">
        <f>IF('Données projet'!$A$36&gt;35,N11+M12-V11,IF(A12&lt;'Données projet'!$A$36,$K$205^A12,IF(A12='Données projet'!$A$36,'Données projet'!$B$36,N11+M12-V11)))</f>
        <v>8.7281265486761299</v>
      </c>
      <c r="O12" s="13">
        <f>N12*VLOOKUP('Données projet'!$B$9,Paramètres!$A$1:$I$89,3,0)*VLOOKUP('Données projet'!$B$9,Paramètres!$A$1:$I$89,5,0)</f>
        <v>7.0802562562860771</v>
      </c>
      <c r="P12" s="13">
        <f t="shared" si="33"/>
        <v>2.5980968744326778</v>
      </c>
      <c r="Q12" s="20">
        <f t="shared" si="2"/>
        <v>16.856465036001829</v>
      </c>
      <c r="R12" s="59">
        <f t="shared" si="0"/>
        <v>206.21442378855789</v>
      </c>
      <c r="S12" s="59">
        <f ca="1">AVERAGE(OFFSET($R$3,0,0,'Données projet'!$E$9+1,1))-AVERAGE(OFFSET($H$3,0,0,'Données projet'!$E$9+1,1))</f>
        <v>328.16808330103993</v>
      </c>
      <c r="T12" s="59">
        <f t="shared" si="34"/>
        <v>316.57989180609252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2.4666666666666668</v>
      </c>
      <c r="N13" s="13">
        <f>IF('Données projet'!$A$36&gt;35,N12+M13-V12,IF(A13&lt;'Données projet'!$A$36,$K$205^A13,IF(A13='Données projet'!$A$36,'Données projet'!$B$36,N12+M13-V12)))</f>
        <v>11.103702468586782</v>
      </c>
      <c r="O13" s="13">
        <f>N13*VLOOKUP('Données projet'!$B$9,Paramètres!$A$1:$I$89,3,0)*VLOOKUP('Données projet'!$B$9,Paramètres!$A$1:$I$89,5,0)</f>
        <v>9.007323442517599</v>
      </c>
      <c r="P13" s="13">
        <f t="shared" si="33"/>
        <v>3.2139038262141559</v>
      </c>
      <c r="Q13" s="20">
        <f t="shared" si="2"/>
        <v>21.285304159707806</v>
      </c>
      <c r="R13" s="59">
        <f t="shared" si="0"/>
        <v>213.22396614475269</v>
      </c>
      <c r="S13" s="59">
        <f ca="1">AVERAGE(OFFSET($R$3,0,0,'Données projet'!$E$9+1,1))-AVERAGE(OFFSET($H$3,0,0,'Données projet'!$E$9+1,1))</f>
        <v>328.16808330103993</v>
      </c>
      <c r="T13" s="59">
        <f t="shared" si="34"/>
        <v>316.57989180609252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2.4666666666666668</v>
      </c>
      <c r="N14" s="13">
        <f>IF('Données projet'!$A$36&gt;35,N13+M14-V13,IF(A14&lt;'Données projet'!$A$36,$K$205^A14,IF(A14='Données projet'!$A$36,'Données projet'!$B$36,N13+M14-V13)))</f>
        <v>14.125850240977657</v>
      </c>
      <c r="O14" s="13">
        <f>N14*VLOOKUP('Données projet'!$B$9,Paramètres!$A$1:$I$89,3,0)*VLOOKUP('Données projet'!$B$9,Paramètres!$A$1:$I$89,5,0)</f>
        <v>11.458889715481076</v>
      </c>
      <c r="P14" s="13">
        <f t="shared" si="33"/>
        <v>3.9756707710945065</v>
      </c>
      <c r="Q14" s="20">
        <f t="shared" si="2"/>
        <v>26.881859514119139</v>
      </c>
      <c r="R14" s="59">
        <f t="shared" si="0"/>
        <v>221.37765812323326</v>
      </c>
      <c r="S14" s="59">
        <f ca="1">AVERAGE(OFFSET($R$3,0,0,'Données projet'!$E$9+1,1))-AVERAGE(OFFSET($H$3,0,0,'Données projet'!$E$9+1,1))</f>
        <v>328.16808330103993</v>
      </c>
      <c r="T14" s="59">
        <f t="shared" si="34"/>
        <v>316.57989180609252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2.4666666666666668</v>
      </c>
      <c r="N15" s="13">
        <f>IF('Données projet'!$A$36&gt;35,N14+M15-V14,IF(A15&lt;'Données projet'!$A$36,$K$205^A15,IF(A15='Données projet'!$A$36,'Données projet'!$B$36,N14+M15-V14)))</f>
        <v>17.970550417308221</v>
      </c>
      <c r="O15" s="13">
        <f>N15*VLOOKUP('Données projet'!$B$9,Paramètres!$A$1:$I$89,3,0)*VLOOKUP('Données projet'!$B$9,Paramètres!$A$1:$I$89,5,0)</f>
        <v>14.57771049852043</v>
      </c>
      <c r="P15" s="13">
        <f t="shared" si="33"/>
        <v>4.9179934854347964</v>
      </c>
      <c r="Q15" s="20">
        <f t="shared" si="2"/>
        <v>33.955017772055356</v>
      </c>
      <c r="R15" s="59">
        <f t="shared" si="0"/>
        <v>230.98479522478823</v>
      </c>
      <c r="S15" s="59">
        <f ca="1">AVERAGE(OFFSET($R$3,0,0,'Données projet'!$E$9+1,1))-AVERAGE(OFFSET($H$3,0,0,'Données projet'!$E$9+1,1))</f>
        <v>328.16808330103993</v>
      </c>
      <c r="T15" s="59">
        <f t="shared" si="34"/>
        <v>316.57989180609252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2.4666666666666668</v>
      </c>
      <c r="N16" s="13">
        <f>IF('Données projet'!$A$36&gt;35,N15+M16-V15,IF(A16&lt;'Données projet'!$A$36,$K$205^A16,IF(A16='Données projet'!$A$36,'Données projet'!$B$36,N15+M16-V15)))</f>
        <v>22.86168101684942</v>
      </c>
      <c r="O16" s="13">
        <f>N16*VLOOKUP('Données projet'!$B$9,Paramètres!$A$1:$I$89,3,0)*VLOOKUP('Données projet'!$B$9,Paramètres!$A$1:$I$89,5,0)</f>
        <v>18.545395640868254</v>
      </c>
      <c r="P16" s="13">
        <f t="shared" si="33"/>
        <v>6.0836677168115934</v>
      </c>
      <c r="Q16" s="20">
        <f t="shared" si="2"/>
        <v>42.895618681292397</v>
      </c>
      <c r="R16" s="59">
        <f t="shared" si="0"/>
        <v>242.43661893291122</v>
      </c>
      <c r="S16" s="59">
        <f ca="1">AVERAGE(OFFSET($R$3,0,0,'Données projet'!$E$9+1,1))-AVERAGE(OFFSET($H$3,0,0,'Données projet'!$E$9+1,1))</f>
        <v>328.16808330103993</v>
      </c>
      <c r="T16" s="59">
        <f t="shared" si="34"/>
        <v>316.57989180609252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2.4666666666666668</v>
      </c>
      <c r="N17" s="13">
        <f>IF('Données projet'!$A$36&gt;35,N16+M17-V16,IF(A17&lt;'Données projet'!$A$36,$K$205^A17,IF(A17='Données projet'!$A$36,'Données projet'!$B$36,N16+M17-V16)))</f>
        <v>29.084054009429774</v>
      </c>
      <c r="O17" s="13">
        <f>N17*VLOOKUP('Données projet'!$B$9,Paramètres!$A$1:$I$89,3,0)*VLOOKUP('Données projet'!$B$9,Paramètres!$A$1:$I$89,5,0)</f>
        <v>23.592984612449435</v>
      </c>
      <c r="P17" s="13">
        <f t="shared" si="33"/>
        <v>7.5256327602279143</v>
      </c>
      <c r="Q17" s="20">
        <f t="shared" si="2"/>
        <v>54.198258590746377</v>
      </c>
      <c r="R17" s="59">
        <f t="shared" si="0"/>
        <v>256.22812036301957</v>
      </c>
      <c r="S17" s="59">
        <f ca="1">AVERAGE(OFFSET($R$3,0,0,'Données projet'!$E$9+1,1))-AVERAGE(OFFSET($H$3,0,0,'Données projet'!$E$9+1,1))</f>
        <v>328.16808330103993</v>
      </c>
      <c r="T17" s="59">
        <f t="shared" si="34"/>
        <v>316.57989180609252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37</v>
      </c>
      <c r="L18" s="12">
        <f>VLOOKUP(A18,'Données projet'!$A$35:$I$55,9,0)</f>
        <v>2.4666666666666668</v>
      </c>
      <c r="M18" s="12">
        <f t="array" ref="M18">INDEX(L:L,MIN(IF(ISNUMBER(L18:L214),ROW(L18:L214),"")))</f>
        <v>2.4666666666666668</v>
      </c>
      <c r="N18" s="13">
        <f>IF('Données projet'!$A$36&gt;35,N17+M18-V17,IF(A18&lt;'Données projet'!$A$36,$K$205^A18,IF(A18='Données projet'!$A$36,'Données projet'!$B$36,N17+M18-V17)))</f>
        <v>37</v>
      </c>
      <c r="O18" s="13">
        <f>N18*VLOOKUP('Données projet'!$B$9,Paramètres!$A$1:$I$89,3,0)*VLOOKUP('Données projet'!$B$9,Paramètres!$A$1:$I$89,5,0)</f>
        <v>30.014400000000006</v>
      </c>
      <c r="P18" s="13">
        <f t="shared" si="33"/>
        <v>9.309375705269078</v>
      </c>
      <c r="Q18" s="20">
        <f t="shared" si="2"/>
        <v>68.488909353343658</v>
      </c>
      <c r="R18" s="59">
        <f t="shared" si="0"/>
        <v>272.98565928622469</v>
      </c>
      <c r="S18" s="59">
        <f ca="1">AVERAGE(OFFSET($R$3,0,0,'Données projet'!$E$9+1,1))-AVERAGE(OFFSET($H$3,0,0,'Données projet'!$E$9+1,1))</f>
        <v>328.16808330103993</v>
      </c>
      <c r="T18" s="59">
        <f t="shared" si="34"/>
        <v>316.57989180609252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15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11.6</v>
      </c>
      <c r="N19" s="13">
        <f>IF('Données projet'!$A$36&gt;35,N18+M19-V18,IF(A19&lt;'Données projet'!$A$36,$K$205^A19,IF(A19='Données projet'!$A$36,'Données projet'!$B$36,N18+M19-V18)))</f>
        <v>33.6</v>
      </c>
      <c r="O19" s="13">
        <f>N19*VLOOKUP('Données projet'!$B$9,Paramètres!$A$1:$I$89,3,0)*VLOOKUP('Données projet'!$B$9,Paramètres!$A$1:$I$89,5,0)</f>
        <v>27.256320000000002</v>
      </c>
      <c r="P19" s="13">
        <f t="shared" si="33"/>
        <v>8.5493067504276556</v>
      </c>
      <c r="Q19" s="20">
        <f t="shared" si="2"/>
        <v>62.361466590328156</v>
      </c>
      <c r="R19" s="59">
        <f t="shared" si="0"/>
        <v>269.30351251244224</v>
      </c>
      <c r="S19" s="59">
        <f ca="1">AVERAGE(OFFSET($R$3,0,0,'Données projet'!$E$9+1,1))-AVERAGE(OFFSET($H$3,0,0,'Données projet'!$E$9+1,1))</f>
        <v>328.16808330103993</v>
      </c>
      <c r="T19" s="59">
        <f t="shared" si="34"/>
        <v>316.57989180609252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11.6</v>
      </c>
      <c r="N20" s="13">
        <f>IF('Données projet'!$A$36&gt;35,N19+M20-V19,IF(A20&lt;'Données projet'!$A$36,$K$205^A20,IF(A20='Données projet'!$A$36,'Données projet'!$B$36,N19+M20-V19)))</f>
        <v>45.2</v>
      </c>
      <c r="O20" s="13">
        <f>N20*VLOOKUP('Données projet'!$B$9,Paramètres!$A$1:$I$89,3,0)*VLOOKUP('Données projet'!$B$9,Paramètres!$A$1:$I$89,5,0)</f>
        <v>36.666240000000002</v>
      </c>
      <c r="P20" s="13">
        <f t="shared" si="33"/>
        <v>11.110608259650514</v>
      </c>
      <c r="Q20" s="20">
        <f t="shared" si="2"/>
        <v>83.211344052224646</v>
      </c>
      <c r="R20" s="59">
        <f t="shared" si="0"/>
        <v>292.57746836809736</v>
      </c>
      <c r="S20" s="59">
        <f ca="1">AVERAGE(OFFSET($R$3,0,0,'Données projet'!$E$9+1,1))-AVERAGE(OFFSET($H$3,0,0,'Données projet'!$E$9+1,1))</f>
        <v>328.16808330103993</v>
      </c>
      <c r="T20" s="59">
        <f t="shared" si="34"/>
        <v>316.57989180609252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11.6</v>
      </c>
      <c r="N21" s="13">
        <f>IF('Données projet'!$A$36&gt;35,N20+M21-V20,IF(A21&lt;'Données projet'!$A$36,$K$205^A21,IF(A21='Données projet'!$A$36,'Données projet'!$B$36,N20+M21-V20)))</f>
        <v>56.800000000000004</v>
      </c>
      <c r="O21" s="13">
        <f>N21*VLOOKUP('Données projet'!$B$9,Paramètres!$A$1:$I$89,3,0)*VLOOKUP('Données projet'!$B$9,Paramètres!$A$1:$I$89,5,0)</f>
        <v>46.076160000000009</v>
      </c>
      <c r="P21" s="13">
        <f t="shared" si="33"/>
        <v>13.595641486972058</v>
      </c>
      <c r="Q21" s="20">
        <f t="shared" si="2"/>
        <v>103.92838758980967</v>
      </c>
      <c r="R21" s="59">
        <f t="shared" si="0"/>
        <v>315.6977407818128</v>
      </c>
      <c r="S21" s="59">
        <f ca="1">AVERAGE(OFFSET($R$3,0,0,'Données projet'!$E$9+1,1))-AVERAGE(OFFSET($H$3,0,0,'Données projet'!$E$9+1,1))</f>
        <v>328.16808330103993</v>
      </c>
      <c r="T21" s="59">
        <f t="shared" si="34"/>
        <v>316.57989180609252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11.6</v>
      </c>
      <c r="N22" s="13">
        <f>IF('Données projet'!$A$36&gt;35,N21+M22-V21,IF(A22&lt;'Données projet'!$A$36,$K$205^A22,IF(A22='Données projet'!$A$36,'Données projet'!$B$36,N21+M22-V21)))</f>
        <v>68.400000000000006</v>
      </c>
      <c r="O22" s="13">
        <f>N22*VLOOKUP('Données projet'!$B$9,Paramètres!$A$1:$I$89,3,0)*VLOOKUP('Données projet'!$B$9,Paramètres!$A$1:$I$89,5,0)</f>
        <v>55.486080000000008</v>
      </c>
      <c r="P22" s="13">
        <f t="shared" si="33"/>
        <v>16.021865657934267</v>
      </c>
      <c r="Q22" s="20">
        <f t="shared" si="2"/>
        <v>124.54300535423552</v>
      </c>
      <c r="R22" s="59">
        <f t="shared" si="0"/>
        <v>338.69509959725906</v>
      </c>
      <c r="S22" s="59">
        <f ca="1">AVERAGE(OFFSET($R$3,0,0,'Données projet'!$E$9+1,1))-AVERAGE(OFFSET($H$3,0,0,'Données projet'!$E$9+1,1))</f>
        <v>328.16808330103993</v>
      </c>
      <c r="T22" s="59">
        <f t="shared" si="34"/>
        <v>316.57989180609252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80</v>
      </c>
      <c r="L23" s="12">
        <f>VLOOKUP(A23,'Données projet'!$A$35:$I$55,9,0)</f>
        <v>11.6</v>
      </c>
      <c r="M23" s="12">
        <f t="array" ref="M23">INDEX(L:L,MIN(IF(ISNUMBER(L23:L219),ROW(L23:L219),"")))</f>
        <v>11.6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64.896000000000001</v>
      </c>
      <c r="P23" s="13">
        <f t="shared" si="33"/>
        <v>18.400423846102964</v>
      </c>
      <c r="Q23" s="20">
        <f t="shared" si="2"/>
        <v>145.07460486529598</v>
      </c>
      <c r="R23" s="59">
        <f t="shared" si="0"/>
        <v>361.5893077521917</v>
      </c>
      <c r="S23" s="59">
        <f ca="1">AVERAGE(OFFSET($R$3,0,0,'Données projet'!$E$9+1,1))-AVERAGE(OFFSET($H$3,0,0,'Données projet'!$E$9+1,1))</f>
        <v>328.16808330103993</v>
      </c>
      <c r="T23" s="59">
        <f t="shared" si="34"/>
        <v>316.57989180609252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0.10600000000000001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2.651096832615671</v>
      </c>
      <c r="AB23" s="21">
        <f>EXP(-LN(2)/2)*AB22+(1-EXP(-LN(2)/2))/(LN(2)/2)*V23*Y23*VLOOKUP('Données projet'!$B$9,Paramètres!$A$1:$I$89,3,0)*0.475*44/12</f>
        <v>8.5723571710323778</v>
      </c>
      <c r="AC23" s="22">
        <f t="shared" si="3"/>
        <v>11.223454003648049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12.6</v>
      </c>
      <c r="N24" s="13">
        <f>IF('Données projet'!$A$36&gt;35,N23+M24-V23,IF(A24&lt;'Données projet'!$A$36,$K$205^A24,IF(A24='Données projet'!$A$36,'Données projet'!$B$36,N23+M24-V23)))</f>
        <v>64.599999999999994</v>
      </c>
      <c r="O24" s="13">
        <f>N24*VLOOKUP('Données projet'!$B$9,Paramètres!$A$1:$I$89,3,0)*VLOOKUP('Données projet'!$B$9,Paramètres!$A$1:$I$89,5,0)</f>
        <v>52.40352</v>
      </c>
      <c r="P24" s="13">
        <f t="shared" si="33"/>
        <v>15.232772897226488</v>
      </c>
      <c r="Q24" s="20">
        <f t="shared" si="2"/>
        <v>117.79987679600281</v>
      </c>
      <c r="R24" s="59">
        <f t="shared" si="0"/>
        <v>336.6574051718772</v>
      </c>
      <c r="S24" s="59">
        <f ca="1">AVERAGE(OFFSET($R$3,0,0,'Données projet'!$E$9+1,1))-AVERAGE(OFFSET($H$3,0,0,'Données projet'!$E$9+1,1))</f>
        <v>328.16808330103993</v>
      </c>
      <c r="T24" s="59">
        <f t="shared" si="34"/>
        <v>316.57989180609252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2.5786024503126721</v>
      </c>
      <c r="AB24" s="21">
        <f>EXP(-LN(2)/2)*AB23+(1-EXP(-LN(2)/2))/(LN(2)/2)*V24*Y24*VLOOKUP('Données projet'!$B$9,Paramètres!$A$1:$I$89,3,0)*0.475*44/12</f>
        <v>6.0615718863901238</v>
      </c>
      <c r="AC24" s="22">
        <f t="shared" si="3"/>
        <v>8.6401743367027954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12.6</v>
      </c>
      <c r="N25" s="13">
        <f>IF('Données projet'!$A$36&gt;35,N24+M25-V24,IF(A25&lt;'Données projet'!$A$36,$K$205^A25,IF(A25='Données projet'!$A$36,'Données projet'!$B$36,N24+M25-V24)))</f>
        <v>77.199999999999989</v>
      </c>
      <c r="O25" s="13">
        <f>N25*VLOOKUP('Données projet'!$B$9,Paramètres!$A$1:$I$89,3,0)*VLOOKUP('Données projet'!$B$9,Paramètres!$A$1:$I$89,5,0)</f>
        <v>62.624639999999999</v>
      </c>
      <c r="P25" s="13">
        <f t="shared" si="33"/>
        <v>17.830197796836153</v>
      </c>
      <c r="Q25" s="20">
        <f t="shared" si="2"/>
        <v>140.12550916282296</v>
      </c>
      <c r="R25" s="59">
        <f t="shared" si="0"/>
        <v>361.30642306629136</v>
      </c>
      <c r="S25" s="59">
        <f ca="1">AVERAGE(OFFSET($R$3,0,0,'Données projet'!$E$9+1,1))-AVERAGE(OFFSET($H$3,0,0,'Données projet'!$E$9+1,1))</f>
        <v>328.16808330103993</v>
      </c>
      <c r="T25" s="59">
        <f t="shared" si="34"/>
        <v>316.57989180609252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2.5080904307060625</v>
      </c>
      <c r="AB25" s="21">
        <f>EXP(-LN(2)/2)*AB24+(1-EXP(-LN(2)/2))/(LN(2)/2)*V25*Y25*VLOOKUP('Données projet'!$B$9,Paramètres!$A$1:$I$89,3,0)*0.475*44/12</f>
        <v>4.2861785855161898</v>
      </c>
      <c r="AC25" s="22">
        <f t="shared" si="3"/>
        <v>6.7942690162222519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12.6</v>
      </c>
      <c r="N26" s="13">
        <f>IF('Données projet'!$A$36&gt;35,N25+M26-V25,IF(A26&lt;'Données projet'!$A$36,$K$205^A26,IF(A26='Données projet'!$A$36,'Données projet'!$B$36,N25+M26-V25)))</f>
        <v>89.799999999999983</v>
      </c>
      <c r="O26" s="13">
        <f>N26*VLOOKUP('Données projet'!$B$9,Paramètres!$A$1:$I$89,3,0)*VLOOKUP('Données projet'!$B$9,Paramètres!$A$1:$I$89,5,0)</f>
        <v>72.845759999999984</v>
      </c>
      <c r="P26" s="13">
        <f t="shared" si="33"/>
        <v>20.378512751497539</v>
      </c>
      <c r="Q26" s="20">
        <f t="shared" si="2"/>
        <v>162.36560837552486</v>
      </c>
      <c r="R26" s="59">
        <f t="shared" si="0"/>
        <v>385.85080508507133</v>
      </c>
      <c r="S26" s="59">
        <f ca="1">AVERAGE(OFFSET($R$3,0,0,'Données projet'!$E$9+1,1))-AVERAGE(OFFSET($H$3,0,0,'Données projet'!$E$9+1,1))</f>
        <v>328.16808330103993</v>
      </c>
      <c r="T26" s="59">
        <f t="shared" si="34"/>
        <v>316.57989180609252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2.4395065659836619</v>
      </c>
      <c r="AB26" s="21">
        <f>EXP(-LN(2)/2)*AB25+(1-EXP(-LN(2)/2))/(LN(2)/2)*V26*Y26*VLOOKUP('Données projet'!$B$9,Paramètres!$A$1:$I$89,3,0)*0.475*44/12</f>
        <v>3.0307859431950623</v>
      </c>
      <c r="AC26" s="22">
        <f t="shared" si="3"/>
        <v>5.4702925091787247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12.6</v>
      </c>
      <c r="N27" s="13">
        <f>IF('Données projet'!$A$36&gt;35,N26+M27-V26,IF(A27&lt;'Données projet'!$A$36,$K$205^A27,IF(A27='Données projet'!$A$36,'Données projet'!$B$36,N26+M27-V26)))</f>
        <v>102.39999999999998</v>
      </c>
      <c r="O27" s="13">
        <f>N27*VLOOKUP('Données projet'!$B$9,Paramètres!$A$1:$I$89,3,0)*VLOOKUP('Données projet'!$B$9,Paramètres!$A$1:$I$89,5,0)</f>
        <v>83.066879999999983</v>
      </c>
      <c r="P27" s="13">
        <f t="shared" si="33"/>
        <v>22.88540255569357</v>
      </c>
      <c r="Q27" s="20">
        <f t="shared" si="2"/>
        <v>184.5335587844996</v>
      </c>
      <c r="R27" s="59">
        <f t="shared" si="0"/>
        <v>410.30426696811941</v>
      </c>
      <c r="S27" s="59">
        <f ca="1">AVERAGE(OFFSET($R$3,0,0,'Données projet'!$E$9+1,1))-AVERAGE(OFFSET($H$3,0,0,'Données projet'!$E$9+1,1))</f>
        <v>328.16808330103993</v>
      </c>
      <c r="T27" s="59">
        <f t="shared" si="34"/>
        <v>316.57989180609252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2.3727981306487638</v>
      </c>
      <c r="AB27" s="21">
        <f>EXP(-LN(2)/2)*AB26+(1-EXP(-LN(2)/2))/(LN(2)/2)*V27*Y27*VLOOKUP('Données projet'!$B$9,Paramètres!$A$1:$I$89,3,0)*0.475*44/12</f>
        <v>2.1430892927580953</v>
      </c>
      <c r="AC27" s="22">
        <f t="shared" si="3"/>
        <v>4.5158874234068591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115</v>
      </c>
      <c r="L28" s="12">
        <f>VLOOKUP(A28,'Données projet'!$A$35:$I$55,9,0)</f>
        <v>12.6</v>
      </c>
      <c r="M28" s="12">
        <f t="array" ref="M28">INDEX(L:L,MIN(IF(ISNUMBER(L28:L224),ROW(L28:L224),"")))</f>
        <v>12.6</v>
      </c>
      <c r="N28" s="13">
        <f>IF('Données projet'!$A$36&gt;35,N27+M28-V27,IF(A28&lt;'Données projet'!$A$36,$K$205^A28,IF(A28='Données projet'!$A$36,'Données projet'!$B$36,N27+M28-V27)))</f>
        <v>114.99999999999997</v>
      </c>
      <c r="O28" s="13">
        <f>N28*VLOOKUP('Données projet'!$B$9,Paramètres!$A$1:$I$89,3,0)*VLOOKUP('Données projet'!$B$9,Paramètres!$A$1:$I$89,5,0)</f>
        <v>93.287999999999982</v>
      </c>
      <c r="P28" s="13">
        <f t="shared" si="33"/>
        <v>25.356547829040977</v>
      </c>
      <c r="Q28" s="20">
        <f t="shared" si="2"/>
        <v>206.63925413557965</v>
      </c>
      <c r="R28" s="59">
        <f t="shared" si="0"/>
        <v>434.67702810191179</v>
      </c>
      <c r="S28" s="59">
        <f ca="1">AVERAGE(OFFSET($R$3,0,0,'Données projet'!$E$9+1,1))-AVERAGE(OFFSET($H$3,0,0,'Données projet'!$E$9+1,1))</f>
        <v>328.16808330103993</v>
      </c>
      <c r="T28" s="59">
        <f t="shared" si="34"/>
        <v>316.57989180609252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0.10600000000000001</v>
      </c>
      <c r="Y28" s="16">
        <f>IF(ISNA(VLOOKUP(A28,'Données projet'!$A$35:$I$55,7,0)),0%,VLOOKUP(A28,'Données projet'!$A$35:$I$55,7,0))</f>
        <v>0.5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4.9590106736018136</v>
      </c>
      <c r="AB28" s="21">
        <f>EXP(-LN(2)/2)*AB27+(1-EXP(-LN(2)/2))/(LN(2)/2)*V28*Y28*VLOOKUP('Données projet'!$B$9,Paramètres!$A$1:$I$89,3,0)*0.475*44/12</f>
        <v>12.230839435388004</v>
      </c>
      <c r="AC28" s="22">
        <f t="shared" si="3"/>
        <v>17.189850108989816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11.8</v>
      </c>
      <c r="N29" s="13">
        <f>IF('Données projet'!$A$36&gt;35,N28+M29-V28,IF(A29&lt;'Données projet'!$A$36,$K$205^A29,IF(A29='Données projet'!$A$36,'Données projet'!$B$36,N28+M29-V28)))</f>
        <v>98.799999999999969</v>
      </c>
      <c r="O29" s="13">
        <f>N29*VLOOKUP('Données projet'!$B$9,Paramètres!$A$1:$I$89,3,0)*VLOOKUP('Données projet'!$B$9,Paramètres!$A$1:$I$89,5,0)</f>
        <v>80.14655999999998</v>
      </c>
      <c r="P29" s="13">
        <f t="shared" si="33"/>
        <v>22.17301499240547</v>
      </c>
      <c r="Q29" s="20">
        <f t="shared" si="2"/>
        <v>178.2065931117728</v>
      </c>
      <c r="R29" s="59">
        <f t="shared" si="0"/>
        <v>408.49330716096301</v>
      </c>
      <c r="S29" s="59">
        <f ca="1">AVERAGE(OFFSET($R$3,0,0,'Données projet'!$E$9+1,1))-AVERAGE(OFFSET($H$3,0,0,'Données projet'!$E$9+1,1))</f>
        <v>328.16808330103993</v>
      </c>
      <c r="T29" s="59">
        <f t="shared" si="34"/>
        <v>316.57989180609252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4.823406265949135</v>
      </c>
      <c r="AB29" s="21">
        <f>EXP(-LN(2)/2)*AB28+(1-EXP(-LN(2)/2))/(LN(2)/2)*V29*Y29*VLOOKUP('Données projet'!$B$9,Paramètres!$A$1:$I$89,3,0)*0.475*44/12</f>
        <v>8.648509504366702</v>
      </c>
      <c r="AC29" s="22">
        <f t="shared" si="3"/>
        <v>13.471915770315837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11.8</v>
      </c>
      <c r="N30" s="13">
        <f>IF('Données projet'!$A$36&gt;35,N29+M30-V29,IF(A30&lt;'Données projet'!$A$36,$K$205^A30,IF(A30='Données projet'!$A$36,'Données projet'!$B$36,N29+M30-V29)))</f>
        <v>110.59999999999997</v>
      </c>
      <c r="O30" s="13">
        <f>N30*VLOOKUP('Données projet'!$B$9,Paramètres!$A$1:$I$89,3,0)*VLOOKUP('Données projet'!$B$9,Paramètres!$A$1:$I$89,5,0)</f>
        <v>89.718719999999976</v>
      </c>
      <c r="P30" s="13">
        <f t="shared" si="33"/>
        <v>24.49737467739692</v>
      </c>
      <c r="Q30" s="20">
        <f t="shared" si="2"/>
        <v>198.92636489646625</v>
      </c>
      <c r="R30" s="59">
        <f t="shared" si="0"/>
        <v>431.44420776902973</v>
      </c>
      <c r="S30" s="59">
        <f ca="1">AVERAGE(OFFSET($R$3,0,0,'Données projet'!$E$9+1,1))-AVERAGE(OFFSET($H$3,0,0,'Données projet'!$E$9+1,1))</f>
        <v>328.16808330103993</v>
      </c>
      <c r="T30" s="59">
        <f t="shared" si="34"/>
        <v>316.57989180609252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4.6915099679548442</v>
      </c>
      <c r="AB30" s="21">
        <f>EXP(-LN(2)/2)*AB29+(1-EXP(-LN(2)/2))/(LN(2)/2)*V30*Y30*VLOOKUP('Données projet'!$B$9,Paramètres!$A$1:$I$89,3,0)*0.475*44/12</f>
        <v>6.1154197176940022</v>
      </c>
      <c r="AC30" s="22">
        <f t="shared" si="3"/>
        <v>10.806929685648846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11.8</v>
      </c>
      <c r="N31" s="13">
        <f>IF('Données projet'!$A$36&gt;35,N30+M31-V30,IF(A31&lt;'Données projet'!$A$36,$K$205^A31,IF(A31='Données projet'!$A$36,'Données projet'!$B$36,N30+M31-V30)))</f>
        <v>122.39999999999996</v>
      </c>
      <c r="O31" s="13">
        <f>N31*VLOOKUP('Données projet'!$B$9,Paramètres!$A$1:$I$89,3,0)*VLOOKUP('Données projet'!$B$9,Paramètres!$A$1:$I$89,5,0)</f>
        <v>99.290879999999973</v>
      </c>
      <c r="P31" s="13">
        <f t="shared" si="33"/>
        <v>26.792989580133234</v>
      </c>
      <c r="Q31" s="20">
        <f t="shared" si="2"/>
        <v>219.5960728520653</v>
      </c>
      <c r="R31" s="59">
        <f t="shared" si="0"/>
        <v>454.32754227404939</v>
      </c>
      <c r="S31" s="59">
        <f ca="1">AVERAGE(OFFSET($R$3,0,0,'Données projet'!$E$9+1,1))-AVERAGE(OFFSET($H$3,0,0,'Données projet'!$E$9+1,1))</f>
        <v>328.16808330103993</v>
      </c>
      <c r="T31" s="59">
        <f t="shared" si="34"/>
        <v>316.57989180609252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4.5632203811653325</v>
      </c>
      <c r="AB31" s="21">
        <f>EXP(-LN(2)/2)*AB30+(1-EXP(-LN(2)/2))/(LN(2)/2)*V31*Y31*VLOOKUP('Données projet'!$B$9,Paramètres!$A$1:$I$89,3,0)*0.475*44/12</f>
        <v>4.324254752183351</v>
      </c>
      <c r="AC31" s="22">
        <f t="shared" si="3"/>
        <v>8.8874751333486834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11.8</v>
      </c>
      <c r="N32" s="13">
        <f>IF('Données projet'!$A$36&gt;35,N31+M32-V31,IF(A32&lt;'Données projet'!$A$36,$K$205^A32,IF(A32='Données projet'!$A$36,'Données projet'!$B$36,N31+M32-V31)))</f>
        <v>134.19999999999996</v>
      </c>
      <c r="O32" s="13">
        <f>N32*VLOOKUP('Données projet'!$B$9,Paramètres!$A$1:$I$89,3,0)*VLOOKUP('Données projet'!$B$9,Paramètres!$A$1:$I$89,5,0)</f>
        <v>108.86303999999997</v>
      </c>
      <c r="P32" s="13">
        <f t="shared" si="33"/>
        <v>29.062946162784755</v>
      </c>
      <c r="Q32" s="20">
        <f t="shared" si="2"/>
        <v>240.22109256685007</v>
      </c>
      <c r="R32" s="59">
        <f t="shared" si="0"/>
        <v>477.14898988962591</v>
      </c>
      <c r="S32" s="59">
        <f ca="1">AVERAGE(OFFSET($R$3,0,0,'Données projet'!$E$9+1,1))-AVERAGE(OFFSET($H$3,0,0,'Données projet'!$E$9+1,1))</f>
        <v>328.16808330103993</v>
      </c>
      <c r="T32" s="59">
        <f t="shared" si="34"/>
        <v>316.57989180609252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4.4384388798730363</v>
      </c>
      <c r="AB32" s="21">
        <f>EXP(-LN(2)/2)*AB31+(1-EXP(-LN(2)/2))/(LN(2)/2)*V32*Y32*VLOOKUP('Données projet'!$B$9,Paramètres!$A$1:$I$89,3,0)*0.475*44/12</f>
        <v>3.0577098588470011</v>
      </c>
      <c r="AC32" s="22">
        <f t="shared" si="3"/>
        <v>7.4961487387200378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11.8</v>
      </c>
      <c r="M33" s="12">
        <f t="array" ref="M33">INDEX(L:L,MIN(IF(ISNUMBER(L33:L229),ROW(L33:L229),"")))</f>
        <v>11.8</v>
      </c>
      <c r="N33" s="13">
        <f>IF('Données projet'!$A$36&gt;35,N32+M33-V32,IF(A33&lt;'Données projet'!$A$36,$K$205^A33,IF(A33='Données projet'!$A$36,'Données projet'!$B$36,N32+M33-V32)))</f>
        <v>145.99999999999997</v>
      </c>
      <c r="O33" s="13">
        <f>N33*VLOOKUP('Données projet'!$B$9,Paramètres!$A$1:$I$89,3,0)*VLOOKUP('Données projet'!$B$9,Paramètres!$A$1:$I$89,5,0)</f>
        <v>118.43519999999998</v>
      </c>
      <c r="P33" s="13">
        <f t="shared" si="33"/>
        <v>31.309757056296963</v>
      </c>
      <c r="Q33" s="20">
        <f t="shared" si="2"/>
        <v>260.80580020638388</v>
      </c>
      <c r="R33" s="59">
        <f t="shared" si="0"/>
        <v>499.91322513942589</v>
      </c>
      <c r="S33" s="59">
        <f ca="1">AVERAGE(OFFSET($R$3,0,0,'Données projet'!$E$9+1,1))-AVERAGE(OFFSET($H$3,0,0,'Données projet'!$E$9+1,1))</f>
        <v>328.16808330103993</v>
      </c>
      <c r="T33" s="59">
        <f t="shared" si="34"/>
        <v>316.57989180609252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0.10600000000000001</v>
      </c>
      <c r="X33" s="16">
        <f>IF(ISNA(VLOOKUP(A33,'Données projet'!$A$35:$I$55,6,0)),0%,VLOOKUP(A33,'Données projet'!$A$35:$I$55,6,0)*VLOOKUP('Données projet'!$B$9,Paramètres!$A$1:$I$89,7,0))</f>
        <v>0.21200000000000002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2.6615764733313196</v>
      </c>
      <c r="AA33" s="21">
        <f>EXP(-LN(2)/25)*AA32+(1-EXP(-LN(2)/25))/(LN(2)/25)*Calculateur!V33*Calculateur!X33*VLOOKUP('Données projet'!$B$9,Paramètres!$A$1:$I$89,3,0)*0.475*44/12</f>
        <v>9.6192632005268948</v>
      </c>
      <c r="AB33" s="21">
        <f>EXP(-LN(2)/2)*AB32+(1-EXP(-LN(2)/2))/(LN(2)/2)*V33*Y33*VLOOKUP('Données projet'!$B$9,Paramètres!$A$1:$I$89,3,0)*0.475*44/12</f>
        <v>10.734484547124053</v>
      </c>
      <c r="AC33" s="22">
        <f t="shared" si="3"/>
        <v>23.015324220982265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128.79999999999998</v>
      </c>
      <c r="O34" s="13">
        <f>N34*VLOOKUP('Données projet'!$B$9,Paramètres!$A$1:$I$89,3,0)*VLOOKUP('Données projet'!$B$9,Paramètres!$A$1:$I$89,5,0)</f>
        <v>104.48256000000001</v>
      </c>
      <c r="P34" s="13">
        <f t="shared" si="33"/>
        <v>28.02716504477474</v>
      </c>
      <c r="Q34" s="20">
        <f t="shared" si="2"/>
        <v>230.78777111964931</v>
      </c>
      <c r="R34" s="59">
        <f t="shared" si="0"/>
        <v>470.83589433246686</v>
      </c>
      <c r="S34" s="59">
        <f ca="1">AVERAGE(OFFSET($R$3,0,0,'Données projet'!$E$9+1,1))-AVERAGE(OFFSET($H$3,0,0,'Données projet'!$E$9+1,1))</f>
        <v>328.16808330103993</v>
      </c>
      <c r="T34" s="59">
        <f t="shared" si="34"/>
        <v>316.57989180609252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2.6093845820906436</v>
      </c>
      <c r="AA34" s="21">
        <f>EXP(-LN(2)/25)*AA33+(1-EXP(-LN(2)/25))/(LN(2)/25)*Calculateur!V34*Calculateur!X34*VLOOKUP('Données projet'!$B$9,Paramètres!$A$1:$I$89,3,0)*0.475*44/12</f>
        <v>9.3562239424534202</v>
      </c>
      <c r="AB34" s="21">
        <f>EXP(-LN(2)/2)*AB33+(1-EXP(-LN(2)/2))/(LN(2)/2)*V34*Y34*VLOOKUP('Données projet'!$B$9,Paramètres!$A$1:$I$89,3,0)*0.475*44/12</f>
        <v>7.5904268158136237</v>
      </c>
      <c r="AC34" s="22">
        <f t="shared" si="3"/>
        <v>19.556035340357688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139.6</v>
      </c>
      <c r="O35" s="13">
        <f>N35*VLOOKUP('Données projet'!$B$9,Paramètres!$A$1:$I$89,3,0)*VLOOKUP('Données projet'!$B$9,Paramètres!$A$1:$I$89,5,0)</f>
        <v>113.24352</v>
      </c>
      <c r="P35" s="13">
        <f t="shared" si="33"/>
        <v>30.093885898919435</v>
      </c>
      <c r="Q35" s="20">
        <f t="shared" ref="Q35:Q66" si="53">(O35+P35)*0.475*44/12</f>
        <v>249.64598194061804</v>
      </c>
      <c r="R35" s="59">
        <f t="shared" si="0"/>
        <v>490.61848442114336</v>
      </c>
      <c r="S35" s="59">
        <f ca="1">AVERAGE(OFFSET($R$3,0,0,'Données projet'!$E$9+1,1))-AVERAGE(OFFSET($H$3,0,0,'Données projet'!$E$9+1,1))</f>
        <v>328.16808330103993</v>
      </c>
      <c r="T35" s="59">
        <f t="shared" si="34"/>
        <v>316.57989180609252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2.5582161420032867</v>
      </c>
      <c r="AA35" s="21">
        <f>EXP(-LN(2)/25)*AA34+(1-EXP(-LN(2)/25))/(LN(2)/25)*Calculateur!V35*Calculateur!X35*VLOOKUP('Données projet'!$B$9,Paramètres!$A$1:$I$89,3,0)*0.475*44/12</f>
        <v>9.1003775067245982</v>
      </c>
      <c r="AB35" s="21">
        <f>EXP(-LN(2)/2)*AB34+(1-EXP(-LN(2)/2))/(LN(2)/2)*V35*Y35*VLOOKUP('Données projet'!$B$9,Paramètres!$A$1:$I$89,3,0)*0.475*44/12</f>
        <v>5.3672422735620273</v>
      </c>
      <c r="AC35" s="22">
        <f t="shared" si="3"/>
        <v>17.025835922289914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150.4</v>
      </c>
      <c r="O36" s="13">
        <f>N36*VLOOKUP('Données projet'!$B$9,Paramètres!$A$1:$I$89,3,0)*VLOOKUP('Données projet'!$B$9,Paramètres!$A$1:$I$89,5,0)</f>
        <v>122.00448000000003</v>
      </c>
      <c r="P36" s="13">
        <f t="shared" si="33"/>
        <v>32.142059634860118</v>
      </c>
      <c r="Q36" s="20">
        <f t="shared" si="53"/>
        <v>268.47188986404808</v>
      </c>
      <c r="R36" s="59">
        <f t="shared" si="0"/>
        <v>510.35273569858884</v>
      </c>
      <c r="S36" s="59">
        <f ca="1">AVERAGE(OFFSET($R$3,0,0,'Données projet'!$E$9+1,1))-AVERAGE(OFFSET($H$3,0,0,'Données projet'!$E$9+1,1))</f>
        <v>328.16808330103993</v>
      </c>
      <c r="T36" s="59">
        <f t="shared" si="34"/>
        <v>316.57989180609252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2.5080510838163765</v>
      </c>
      <c r="AA36" s="21">
        <f>EXP(-LN(2)/25)*AA35+(1-EXP(-LN(2)/25))/(LN(2)/25)*Calculateur!V36*Calculateur!X36*VLOOKUP('Données projet'!$B$9,Paramètres!$A$1:$I$89,3,0)*0.475*44/12</f>
        <v>8.8515272052351595</v>
      </c>
      <c r="AB36" s="21">
        <f>EXP(-LN(2)/2)*AB35+(1-EXP(-LN(2)/2))/(LN(2)/2)*V36*Y36*VLOOKUP('Données projet'!$B$9,Paramètres!$A$1:$I$89,3,0)*0.475*44/12</f>
        <v>3.7952134079068127</v>
      </c>
      <c r="AC36" s="22">
        <f t="shared" si="3"/>
        <v>15.154791696958348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161.20000000000002</v>
      </c>
      <c r="O37" s="13">
        <f>N37*VLOOKUP('Données projet'!$B$9,Paramètres!$A$1:$I$89,3,0)*VLOOKUP('Données projet'!$B$9,Paramètres!$A$1:$I$89,5,0)</f>
        <v>130.76544000000001</v>
      </c>
      <c r="P37" s="13">
        <f t="shared" si="33"/>
        <v>34.173169564532692</v>
      </c>
      <c r="Q37" s="20">
        <f t="shared" si="53"/>
        <v>287.26807832489447</v>
      </c>
      <c r="R37" s="59">
        <f t="shared" si="0"/>
        <v>530.04150978701</v>
      </c>
      <c r="S37" s="59">
        <f ca="1">AVERAGE(OFFSET($R$3,0,0,'Données projet'!$E$9+1,1))-AVERAGE(OFFSET($H$3,0,0,'Données projet'!$E$9+1,1))</f>
        <v>328.16808330103993</v>
      </c>
      <c r="T37" s="59">
        <f t="shared" si="34"/>
        <v>316.57989180609252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2.4588697318228472</v>
      </c>
      <c r="AA37" s="21">
        <f>EXP(-LN(2)/25)*AA36+(1-EXP(-LN(2)/25))/(LN(2)/25)*Calculateur!V37*Calculateur!X37*VLOOKUP('Données projet'!$B$9,Paramètres!$A$1:$I$89,3,0)*0.475*44/12</f>
        <v>8.6094817283264184</v>
      </c>
      <c r="AB37" s="21">
        <f>EXP(-LN(2)/2)*AB36+(1-EXP(-LN(2)/2))/(LN(2)/2)*V37*Y37*VLOOKUP('Données projet'!$B$9,Paramètres!$A$1:$I$89,3,0)*0.475*44/12</f>
        <v>2.6836211367810141</v>
      </c>
      <c r="AC37" s="22">
        <f t="shared" si="3"/>
        <v>13.75197259693028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172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172.00000000000003</v>
      </c>
      <c r="O38" s="13">
        <f>N38*VLOOKUP('Données projet'!$B$9,Paramètres!$A$1:$I$89,3,0)*VLOOKUP('Données projet'!$B$9,Paramètres!$A$1:$I$89,5,0)</f>
        <v>139.52640000000002</v>
      </c>
      <c r="P38" s="13">
        <f t="shared" si="33"/>
        <v>36.188488997813884</v>
      </c>
      <c r="Q38" s="20">
        <f t="shared" si="53"/>
        <v>306.03676500452588</v>
      </c>
      <c r="R38" s="59">
        <f t="shared" si="0"/>
        <v>549.68729772910035</v>
      </c>
      <c r="S38" s="59">
        <f ca="1">AVERAGE(OFFSET($R$3,0,0,'Données projet'!$E$9+1,1))-AVERAGE(OFFSET($H$3,0,0,'Données projet'!$E$9+1,1))</f>
        <v>328.16808330103993</v>
      </c>
      <c r="T38" s="59">
        <f t="shared" si="34"/>
        <v>316.57989180609252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0.10600000000000001</v>
      </c>
      <c r="X38" s="16">
        <f>IF(ISNA(VLOOKUP(A38,'Données projet'!$A$35:$I$55,6,0)),0%,VLOOKUP(A38,'Données projet'!$A$35:$I$55,6,0)*VLOOKUP('Données projet'!$B$9,Paramètres!$A$1:$I$89,7,0))</f>
        <v>0.21200000000000002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5.0722292694755673</v>
      </c>
      <c r="AA38" s="21">
        <f>EXP(-LN(2)/25)*AA37+(1-EXP(-LN(2)/25))/(LN(2)/25)*Calculateur!V38*Calculateur!X38*VLOOKUP('Données projet'!$B$9,Paramètres!$A$1:$I$89,3,0)*0.475*44/12</f>
        <v>13.676248662943706</v>
      </c>
      <c r="AB38" s="21">
        <f>EXP(-LN(2)/2)*AB37+(1-EXP(-LN(2)/2))/(LN(2)/2)*V38*Y38*VLOOKUP('Données projet'!$B$9,Paramètres!$A$1:$I$89,3,0)*0.475*44/12</f>
        <v>10.469963874985785</v>
      </c>
      <c r="AC38" s="22">
        <f t="shared" si="3"/>
        <v>29.218441807405057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9.6</v>
      </c>
      <c r="N39" s="13">
        <f>IF('Données projet'!$A$36&gt;35,N38+M39-V38,IF(A39&lt;'Données projet'!$A$36,$K$205^A39,IF(A39='Données projet'!$A$36,'Données projet'!$B$36,N38+M39-V38)))</f>
        <v>153.60000000000002</v>
      </c>
      <c r="O39" s="13">
        <f>N39*VLOOKUP('Données projet'!$B$9,Paramètres!$A$1:$I$89,3,0)*VLOOKUP('Données projet'!$B$9,Paramètres!$A$1:$I$89,5,0)</f>
        <v>124.60032000000002</v>
      </c>
      <c r="P39" s="13">
        <f t="shared" si="33"/>
        <v>32.745587947600931</v>
      </c>
      <c r="Q39" s="20">
        <f t="shared" si="53"/>
        <v>274.04412300873832</v>
      </c>
      <c r="R39" s="59">
        <f t="shared" si="0"/>
        <v>518.55654124977275</v>
      </c>
      <c r="S39" s="59">
        <f ca="1">AVERAGE(OFFSET($R$3,0,0,'Données projet'!$E$9+1,1))-AVERAGE(OFFSET($H$3,0,0,'Données projet'!$E$9+1,1))</f>
        <v>328.16808330103993</v>
      </c>
      <c r="T39" s="59">
        <f t="shared" si="34"/>
        <v>316.57989180609252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4.9727659472555228</v>
      </c>
      <c r="AA39" s="21">
        <f>EXP(-LN(2)/25)*AA38+(1-EXP(-LN(2)/25))/(LN(2)/25)*Calculateur!V39*Calculateur!X39*VLOOKUP('Données projet'!$B$9,Paramètres!$A$1:$I$89,3,0)*0.475*44/12</f>
        <v>13.30227092405285</v>
      </c>
      <c r="AB39" s="21">
        <f>EXP(-LN(2)/2)*AB38+(1-EXP(-LN(2)/2))/(LN(2)/2)*V39*Y39*VLOOKUP('Données projet'!$B$9,Paramètres!$A$1:$I$89,3,0)*0.475*44/12</f>
        <v>7.4033824547806315</v>
      </c>
      <c r="AC39" s="22">
        <f t="shared" si="3"/>
        <v>25.678419326089006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9.6</v>
      </c>
      <c r="N40" s="13">
        <f>IF('Données projet'!$A$36&gt;35,N39+M40-V39,IF(A40&lt;'Données projet'!$A$36,$K$205^A40,IF(A40='Données projet'!$A$36,'Données projet'!$B$36,N39+M40-V39)))</f>
        <v>163.20000000000002</v>
      </c>
      <c r="O40" s="13">
        <f>N40*VLOOKUP('Données projet'!$B$9,Paramètres!$A$1:$I$89,3,0)*VLOOKUP('Données projet'!$B$9,Paramètres!$A$1:$I$89,5,0)</f>
        <v>132.38784000000004</v>
      </c>
      <c r="P40" s="13">
        <f t="shared" si="33"/>
        <v>34.547533199821324</v>
      </c>
      <c r="Q40" s="20">
        <f t="shared" si="53"/>
        <v>290.74577498968887</v>
      </c>
      <c r="R40" s="59">
        <f t="shared" si="0"/>
        <v>536.10512696035994</v>
      </c>
      <c r="S40" s="59">
        <f ca="1">AVERAGE(OFFSET($R$3,0,0,'Données projet'!$E$9+1,1))-AVERAGE(OFFSET($H$3,0,0,'Données projet'!$E$9+1,1))</f>
        <v>328.16808330103993</v>
      </c>
      <c r="T40" s="59">
        <f t="shared" si="34"/>
        <v>316.57989180609252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4.8752530401175775</v>
      </c>
      <c r="AA40" s="21">
        <f>EXP(-LN(2)/25)*AA39+(1-EXP(-LN(2)/25))/(LN(2)/25)*Calculateur!V40*Calculateur!X40*VLOOKUP('Données projet'!$B$9,Paramètres!$A$1:$I$89,3,0)*0.475*44/12</f>
        <v>12.9385196260986</v>
      </c>
      <c r="AB40" s="21">
        <f>EXP(-LN(2)/2)*AB39+(1-EXP(-LN(2)/2))/(LN(2)/2)*V40*Y40*VLOOKUP('Données projet'!$B$9,Paramètres!$A$1:$I$89,3,0)*0.475*44/12</f>
        <v>5.2349819374928934</v>
      </c>
      <c r="AC40" s="22">
        <f t="shared" si="3"/>
        <v>23.048754603709071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9.6</v>
      </c>
      <c r="N41" s="13">
        <f>IF('Données projet'!$A$36&gt;35,N40+M41-V40,IF(A41&lt;'Données projet'!$A$36,$K$205^A41,IF(A41='Données projet'!$A$36,'Données projet'!$B$36,N40+M41-V40)))</f>
        <v>172.8</v>
      </c>
      <c r="O41" s="13">
        <f>N41*VLOOKUP('Données projet'!$B$9,Paramètres!$A$1:$I$89,3,0)*VLOOKUP('Données projet'!$B$9,Paramètres!$A$1:$I$89,5,0)</f>
        <v>140.17536000000001</v>
      </c>
      <c r="P41" s="13">
        <f t="shared" si="33"/>
        <v>36.337175081323657</v>
      </c>
      <c r="Q41" s="20">
        <f t="shared" si="53"/>
        <v>307.42599859997205</v>
      </c>
      <c r="R41" s="59">
        <f t="shared" si="0"/>
        <v>553.61759189353074</v>
      </c>
      <c r="S41" s="59">
        <f ca="1">AVERAGE(OFFSET($R$3,0,0,'Données projet'!$E$9+1,1))-AVERAGE(OFFSET($H$3,0,0,'Données projet'!$E$9+1,1))</f>
        <v>328.16808330103993</v>
      </c>
      <c r="T41" s="59">
        <f t="shared" si="34"/>
        <v>316.57989180609252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4.7796523016116064</v>
      </c>
      <c r="AA41" s="21">
        <f>EXP(-LN(2)/25)*AA40+(1-EXP(-LN(2)/25))/(LN(2)/25)*Calculateur!V41*Calculateur!X41*VLOOKUP('Données projet'!$B$9,Paramètres!$A$1:$I$89,3,0)*0.475*44/12</f>
        <v>12.584715126515759</v>
      </c>
      <c r="AB41" s="21">
        <f>EXP(-LN(2)/2)*AB40+(1-EXP(-LN(2)/2))/(LN(2)/2)*V41*Y41*VLOOKUP('Données projet'!$B$9,Paramètres!$A$1:$I$89,3,0)*0.475*44/12</f>
        <v>3.7016912273903162</v>
      </c>
      <c r="AC41" s="22">
        <f t="shared" si="3"/>
        <v>21.066058655517683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9.6</v>
      </c>
      <c r="N42" s="13">
        <f>IF('Données projet'!$A$36&gt;35,N41+M42-V41,IF(A42&lt;'Données projet'!$A$36,$K$205^A42,IF(A42='Données projet'!$A$36,'Données projet'!$B$36,N41+M42-V41)))</f>
        <v>182.4</v>
      </c>
      <c r="O42" s="13">
        <f>N42*VLOOKUP('Données projet'!$B$9,Paramètres!$A$1:$I$89,3,0)*VLOOKUP('Données projet'!$B$9,Paramètres!$A$1:$I$89,5,0)</f>
        <v>147.96288000000001</v>
      </c>
      <c r="P42" s="13">
        <f t="shared" si="33"/>
        <v>38.115275017059226</v>
      </c>
      <c r="Q42" s="20">
        <f t="shared" si="53"/>
        <v>324.0861199880448</v>
      </c>
      <c r="R42" s="59">
        <f t="shared" si="0"/>
        <v>571.09551707815194</v>
      </c>
      <c r="S42" s="59">
        <f ca="1">AVERAGE(OFFSET($R$3,0,0,'Données projet'!$E$9+1,1))-AVERAGE(OFFSET($H$3,0,0,'Données projet'!$E$9+1,1))</f>
        <v>328.16808330103993</v>
      </c>
      <c r="T42" s="59">
        <f t="shared" si="34"/>
        <v>316.57989180609252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4.6859262352770452</v>
      </c>
      <c r="AA42" s="21">
        <f>EXP(-LN(2)/25)*AA41+(1-EXP(-LN(2)/25))/(LN(2)/25)*Calculateur!V42*Calculateur!X42*VLOOKUP('Données projet'!$B$9,Paramètres!$A$1:$I$89,3,0)*0.475*44/12</f>
        <v>12.240585429579779</v>
      </c>
      <c r="AB42" s="21">
        <f>EXP(-LN(2)/2)*AB41+(1-EXP(-LN(2)/2))/(LN(2)/2)*V42*Y42*VLOOKUP('Données projet'!$B$9,Paramètres!$A$1:$I$89,3,0)*0.475*44/12</f>
        <v>2.6174909687464472</v>
      </c>
      <c r="AC42" s="22">
        <f t="shared" si="3"/>
        <v>19.544002633603274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192</v>
      </c>
      <c r="L43" s="12">
        <f>VLOOKUP(A43,'Données projet'!$A$35:$I$55,9,0)</f>
        <v>9.6</v>
      </c>
      <c r="M43" s="12">
        <f t="array" ref="M43">INDEX(L:L,MIN(IF(ISNUMBER(L43:L239),ROW(L43:L239),"")))</f>
        <v>9.6</v>
      </c>
      <c r="N43" s="13">
        <f>IF('Données projet'!$A$36&gt;35,N42+M43-V42,IF(A43&lt;'Données projet'!$A$36,$K$205^A43,IF(A43='Données projet'!$A$36,'Données projet'!$B$36,N42+M43-V42)))</f>
        <v>192</v>
      </c>
      <c r="O43" s="13">
        <f>N43*VLOOKUP('Données projet'!$B$9,Paramètres!$A$1:$I$89,3,0)*VLOOKUP('Données projet'!$B$9,Paramètres!$A$1:$I$89,5,0)</f>
        <v>155.75040000000001</v>
      </c>
      <c r="P43" s="13">
        <f t="shared" si="33"/>
        <v>39.882509755133754</v>
      </c>
      <c r="Q43" s="20">
        <f t="shared" si="53"/>
        <v>340.72731782352463</v>
      </c>
      <c r="R43" s="59">
        <f t="shared" si="0"/>
        <v>588.54033164264547</v>
      </c>
      <c r="S43" s="59">
        <f ca="1">AVERAGE(OFFSET($R$3,0,0,'Données projet'!$E$9+1,1))-AVERAGE(OFFSET($H$3,0,0,'Données projet'!$E$9+1,1))</f>
        <v>328.16808330103993</v>
      </c>
      <c r="T43" s="59">
        <f t="shared" si="34"/>
        <v>316.57989180609252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4.5940380799360483</v>
      </c>
      <c r="AA43" s="21">
        <f>EXP(-LN(2)/25)*AA42+(1-EXP(-LN(2)/25))/(LN(2)/25)*Calculateur!V43*Calculateur!X43*VLOOKUP('Données projet'!$B$9,Paramètres!$A$1:$I$89,3,0)*0.475*44/12</f>
        <v>11.905865977303508</v>
      </c>
      <c r="AB43" s="21">
        <f>EXP(-LN(2)/2)*AB42+(1-EXP(-LN(2)/2))/(LN(2)/2)*V43*Y43*VLOOKUP('Données projet'!$B$9,Paramètres!$A$1:$I$89,3,0)*0.475*44/12</f>
        <v>1.8508456136951585</v>
      </c>
      <c r="AC43" s="22">
        <f t="shared" si="3"/>
        <v>18.350749670934714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8.1999999999999993</v>
      </c>
      <c r="N44" s="13">
        <f>IF('Données projet'!$A$36&gt;35,N43+M44-V43,IF(A44&lt;'Données projet'!$A$36,$K$205^A44,IF(A44='Données projet'!$A$36,'Données projet'!$B$36,N43+M44-V43)))</f>
        <v>172.2</v>
      </c>
      <c r="O44" s="13">
        <f>N44*VLOOKUP('Données projet'!$B$9,Paramètres!$A$1:$I$89,3,0)*VLOOKUP('Données projet'!$B$9,Paramètres!$A$1:$I$89,5,0)</f>
        <v>139.68863999999999</v>
      </c>
      <c r="P44" s="13">
        <f t="shared" si="33"/>
        <v>36.22566805112433</v>
      </c>
      <c r="Q44" s="20">
        <f t="shared" si="53"/>
        <v>306.38408652237484</v>
      </c>
      <c r="R44" s="59">
        <f t="shared" si="0"/>
        <v>554.98677611687879</v>
      </c>
      <c r="S44" s="59">
        <f ca="1">AVERAGE(OFFSET($R$3,0,0,'Données projet'!$E$9+1,1))-AVERAGE(OFFSET($H$3,0,0,'Données projet'!$E$9+1,1))</f>
        <v>328.16808330103993</v>
      </c>
      <c r="T44" s="59">
        <f t="shared" si="34"/>
        <v>316.57989180609252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4.5039517952750483</v>
      </c>
      <c r="AA44" s="21">
        <f>EXP(-LN(2)/25)*AA43+(1-EXP(-LN(2)/25))/(LN(2)/25)*Calculateur!V44*Calculateur!X44*VLOOKUP('Données projet'!$B$9,Paramètres!$A$1:$I$89,3,0)*0.475*44/12</f>
        <v>11.580299446051862</v>
      </c>
      <c r="AB44" s="21">
        <f>EXP(-LN(2)/2)*AB43+(1-EXP(-LN(2)/2))/(LN(2)/2)*V44*Y44*VLOOKUP('Données projet'!$B$9,Paramètres!$A$1:$I$89,3,0)*0.475*44/12</f>
        <v>1.3087454843732238</v>
      </c>
      <c r="AC44" s="22">
        <f t="shared" si="3"/>
        <v>17.392996725700133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8.1999999999999993</v>
      </c>
      <c r="N45" s="13">
        <f>IF('Données projet'!$A$36&gt;35,N44+M45-V44,IF(A45&lt;'Données projet'!$A$36,$K$205^A45,IF(A45='Données projet'!$A$36,'Données projet'!$B$36,N44+M45-V44)))</f>
        <v>180.39999999999998</v>
      </c>
      <c r="O45" s="13">
        <f>N45*VLOOKUP('Données projet'!$B$9,Paramètres!$A$1:$I$89,3,0)*VLOOKUP('Données projet'!$B$9,Paramètres!$A$1:$I$89,5,0)</f>
        <v>146.34047999999999</v>
      </c>
      <c r="P45" s="13">
        <f t="shared" si="33"/>
        <v>37.745754868861937</v>
      </c>
      <c r="Q45" s="20">
        <f t="shared" si="53"/>
        <v>320.6168590632679</v>
      </c>
      <c r="R45" s="59">
        <f t="shared" si="0"/>
        <v>569.9955253239026</v>
      </c>
      <c r="S45" s="59">
        <f ca="1">AVERAGE(OFFSET($R$3,0,0,'Données projet'!$E$9+1,1))-AVERAGE(OFFSET($H$3,0,0,'Données projet'!$E$9+1,1))</f>
        <v>328.16808330103993</v>
      </c>
      <c r="T45" s="59">
        <f t="shared" si="34"/>
        <v>316.57989180609252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4.4156320477090425</v>
      </c>
      <c r="AA45" s="21">
        <f>EXP(-LN(2)/25)*AA44+(1-EXP(-LN(2)/25))/(LN(2)/25)*Calculateur!V45*Calculateur!X45*VLOOKUP('Données projet'!$B$9,Paramètres!$A$1:$I$89,3,0)*0.475*44/12</f>
        <v>11.263635548718094</v>
      </c>
      <c r="AB45" s="21">
        <f>EXP(-LN(2)/2)*AB44+(1-EXP(-LN(2)/2))/(LN(2)/2)*V45*Y45*VLOOKUP('Données projet'!$B$9,Paramètres!$A$1:$I$89,3,0)*0.475*44/12</f>
        <v>0.92542280684757938</v>
      </c>
      <c r="AC45" s="22">
        <f t="shared" si="3"/>
        <v>16.604690403274716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8.1999999999999993</v>
      </c>
      <c r="N46" s="13">
        <f>IF('Données projet'!$A$36&gt;35,N45+M46-V45,IF(A46&lt;'Données projet'!$A$36,$K$205^A46,IF(A46='Données projet'!$A$36,'Données projet'!$B$36,N45+M46-V45)))</f>
        <v>188.59999999999997</v>
      </c>
      <c r="O46" s="13">
        <f>N46*VLOOKUP('Données projet'!$B$9,Paramètres!$A$1:$I$89,3,0)*VLOOKUP('Données projet'!$B$9,Paramètres!$A$1:$I$89,5,0)</f>
        <v>152.99231999999998</v>
      </c>
      <c r="P46" s="13">
        <f t="shared" si="33"/>
        <v>39.257817366656973</v>
      </c>
      <c r="Q46" s="20">
        <f t="shared" si="53"/>
        <v>334.83565591359422</v>
      </c>
      <c r="R46" s="59">
        <f t="shared" si="0"/>
        <v>584.97683738002627</v>
      </c>
      <c r="S46" s="59">
        <f ca="1">AVERAGE(OFFSET($R$3,0,0,'Données projet'!$E$9+1,1))-AVERAGE(OFFSET($H$3,0,0,'Données projet'!$E$9+1,1))</f>
        <v>328.16808330103993</v>
      </c>
      <c r="T46" s="59">
        <f t="shared" si="34"/>
        <v>316.57989180609252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4.3290441965230793</v>
      </c>
      <c r="AA46" s="21">
        <f>EXP(-LN(2)/25)*AA45+(1-EXP(-LN(2)/25))/(LN(2)/25)*Calculateur!V46*Calculateur!X46*VLOOKUP('Données projet'!$B$9,Paramètres!$A$1:$I$89,3,0)*0.475*44/12</f>
        <v>10.955630842309548</v>
      </c>
      <c r="AB46" s="21">
        <f>EXP(-LN(2)/2)*AB45+(1-EXP(-LN(2)/2))/(LN(2)/2)*V46*Y46*VLOOKUP('Données projet'!$B$9,Paramètres!$A$1:$I$89,3,0)*0.475*44/12</f>
        <v>0.65437274218661201</v>
      </c>
      <c r="AC46" s="22">
        <f t="shared" si="3"/>
        <v>15.939047781019239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8.1999999999999993</v>
      </c>
      <c r="N47" s="13">
        <f>IF('Données projet'!$A$36&gt;35,N46+M47-V46,IF(A47&lt;'Données projet'!$A$36,$K$205^A47,IF(A47='Données projet'!$A$36,'Données projet'!$B$36,N46+M47-V46)))</f>
        <v>196.79999999999995</v>
      </c>
      <c r="O47" s="13">
        <f>N47*VLOOKUP('Données projet'!$B$9,Paramètres!$A$1:$I$89,3,0)*VLOOKUP('Données projet'!$B$9,Paramètres!$A$1:$I$89,5,0)</f>
        <v>159.64415999999997</v>
      </c>
      <c r="P47" s="13">
        <f t="shared" si="33"/>
        <v>40.762244304130796</v>
      </c>
      <c r="Q47" s="20">
        <f t="shared" si="53"/>
        <v>349.04115416302778</v>
      </c>
      <c r="R47" s="59">
        <f t="shared" si="0"/>
        <v>599.93162290116516</v>
      </c>
      <c r="S47" s="59">
        <f ca="1">AVERAGE(OFFSET($R$3,0,0,'Données projet'!$E$9+1,1))-AVERAGE(OFFSET($H$3,0,0,'Données projet'!$E$9+1,1))</f>
        <v>328.16808330103993</v>
      </c>
      <c r="T47" s="59">
        <f t="shared" si="34"/>
        <v>316.57989180609252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4.2441542802854979</v>
      </c>
      <c r="AA47" s="21">
        <f>EXP(-LN(2)/25)*AA46+(1-EXP(-LN(2)/25))/(LN(2)/25)*Calculateur!V47*Calculateur!X47*VLOOKUP('Données projet'!$B$9,Paramètres!$A$1:$I$89,3,0)*0.475*44/12</f>
        <v>10.656048540795007</v>
      </c>
      <c r="AB47" s="21">
        <f>EXP(-LN(2)/2)*AB46+(1-EXP(-LN(2)/2))/(LN(2)/2)*V47*Y47*VLOOKUP('Données projet'!$B$9,Paramètres!$A$1:$I$89,3,0)*0.475*44/12</f>
        <v>0.46271140342378975</v>
      </c>
      <c r="AC47" s="22">
        <f t="shared" si="3"/>
        <v>15.362914224504294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205</v>
      </c>
      <c r="L48" s="12">
        <f>VLOOKUP(A48,'Données projet'!$A$35:$I$55,9,0)</f>
        <v>8.1999999999999993</v>
      </c>
      <c r="M48" s="12">
        <f t="array" ref="M48">INDEX(L:L,MIN(IF(ISNUMBER(L48:L244),ROW(L48:L244),"")))</f>
        <v>8.1999999999999993</v>
      </c>
      <c r="N48" s="13">
        <f>IF('Données projet'!$A$36&gt;35,N47+M48-V47,IF(A48&lt;'Données projet'!$A$36,$K$205^A48,IF(A48='Données projet'!$A$36,'Données projet'!$B$36,N47+M48-V47)))</f>
        <v>204.99999999999994</v>
      </c>
      <c r="O48" s="13">
        <f>N48*VLOOKUP('Données projet'!$B$9,Paramètres!$A$1:$I$89,3,0)*VLOOKUP('Données projet'!$B$9,Paramètres!$A$1:$I$89,5,0)</f>
        <v>166.29599999999996</v>
      </c>
      <c r="P48" s="13">
        <f t="shared" si="33"/>
        <v>42.259390211399776</v>
      </c>
      <c r="Q48" s="20">
        <f t="shared" si="53"/>
        <v>363.23397128485459</v>
      </c>
      <c r="R48" s="59">
        <f t="shared" si="0"/>
        <v>614.86072883568875</v>
      </c>
      <c r="S48" s="59">
        <f ca="1">AVERAGE(OFFSET($R$3,0,0,'Données projet'!$E$9+1,1))-AVERAGE(OFFSET($H$3,0,0,'Données projet'!$E$9+1,1))</f>
        <v>328.16808330103993</v>
      </c>
      <c r="T48" s="59">
        <f t="shared" si="34"/>
        <v>316.57989180609252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4.1609290035275999</v>
      </c>
      <c r="AA48" s="21">
        <f>EXP(-LN(2)/25)*AA47+(1-EXP(-LN(2)/25))/(LN(2)/25)*Calculateur!V48*Calculateur!X48*VLOOKUP('Données projet'!$B$9,Paramètres!$A$1:$I$89,3,0)*0.475*44/12</f>
        <v>10.36465833306973</v>
      </c>
      <c r="AB48" s="21">
        <f>EXP(-LN(2)/2)*AB47+(1-EXP(-LN(2)/2))/(LN(2)/2)*V48*Y48*VLOOKUP('Données projet'!$B$9,Paramètres!$A$1:$I$89,3,0)*0.475*44/12</f>
        <v>0.32718637109330606</v>
      </c>
      <c r="AC48" s="22">
        <f t="shared" si="3"/>
        <v>14.852773707690636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7.2</v>
      </c>
      <c r="N49" s="13">
        <f>IF('Données projet'!$A$36&gt;35,N48+M49-V48,IF(A49&lt;'Données projet'!$A$36,$K$205^A49,IF(A49='Données projet'!$A$36,'Données projet'!$B$36,N48+M49-V48)))</f>
        <v>190.19999999999993</v>
      </c>
      <c r="O49" s="13">
        <f>N49*VLOOKUP('Données projet'!$B$9,Paramètres!$A$1:$I$89,3,0)*VLOOKUP('Données projet'!$B$9,Paramètres!$A$1:$I$89,5,0)</f>
        <v>154.29023999999995</v>
      </c>
      <c r="P49" s="13">
        <f t="shared" si="33"/>
        <v>39.551952121114581</v>
      </c>
      <c r="Q49" s="20">
        <f t="shared" si="53"/>
        <v>337.6084846109411</v>
      </c>
      <c r="R49" s="59">
        <f t="shared" si="0"/>
        <v>589.95875800966678</v>
      </c>
      <c r="S49" s="59">
        <f ca="1">AVERAGE(OFFSET($R$3,0,0,'Données projet'!$E$9+1,1))-AVERAGE(OFFSET($H$3,0,0,'Données projet'!$E$9+1,1))</f>
        <v>328.16808330103993</v>
      </c>
      <c r="T49" s="59">
        <f t="shared" si="34"/>
        <v>316.57989180609252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4.0793357236845171</v>
      </c>
      <c r="AA49" s="21">
        <f>EXP(-LN(2)/25)*AA48+(1-EXP(-LN(2)/25))/(LN(2)/25)*Calculateur!V49*Calculateur!X49*VLOOKUP('Données projet'!$B$9,Paramètres!$A$1:$I$89,3,0)*0.475*44/12</f>
        <v>10.081236205898245</v>
      </c>
      <c r="AB49" s="21">
        <f>EXP(-LN(2)/2)*AB48+(1-EXP(-LN(2)/2))/(LN(2)/2)*V49*Y49*VLOOKUP('Données projet'!$B$9,Paramètres!$A$1:$I$89,3,0)*0.475*44/12</f>
        <v>0.23135570171189493</v>
      </c>
      <c r="AC49" s="22">
        <f t="shared" si="3"/>
        <v>14.391927631294656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</v>
      </c>
      <c r="N50" s="13">
        <f>IF('Données projet'!$A$36&gt;35,N49+M50-V49,IF(A50&lt;'Données projet'!$A$36,$K$205^A50,IF(A50='Données projet'!$A$36,'Données projet'!$B$36,N49+M50-V49)))</f>
        <v>197.39999999999992</v>
      </c>
      <c r="O50" s="13">
        <f>N50*VLOOKUP('Données projet'!$B$9,Paramètres!$A$1:$I$89,3,0)*VLOOKUP('Données projet'!$B$9,Paramètres!$A$1:$I$89,5,0)</f>
        <v>160.13087999999996</v>
      </c>
      <c r="P50" s="13">
        <f t="shared" si="33"/>
        <v>40.872034351060186</v>
      </c>
      <c r="Q50" s="20">
        <f t="shared" si="53"/>
        <v>350.08007582809643</v>
      </c>
      <c r="R50" s="59">
        <f t="shared" si="0"/>
        <v>603.14131369229176</v>
      </c>
      <c r="S50" s="59">
        <f ca="1">AVERAGE(OFFSET($R$3,0,0,'Données projet'!$E$9+1,1))-AVERAGE(OFFSET($H$3,0,0,'Données projet'!$E$9+1,1))</f>
        <v>328.16808330103993</v>
      </c>
      <c r="T50" s="59">
        <f t="shared" si="34"/>
        <v>316.57989180609252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3.999342438292171</v>
      </c>
      <c r="AA50" s="21">
        <f>EXP(-LN(2)/25)*AA49+(1-EXP(-LN(2)/25))/(LN(2)/25)*Calculateur!V50*Calculateur!X50*VLOOKUP('Données projet'!$B$9,Paramètres!$A$1:$I$89,3,0)*0.475*44/12</f>
        <v>9.8055642716987865</v>
      </c>
      <c r="AB50" s="21">
        <f>EXP(-LN(2)/2)*AB49+(1-EXP(-LN(2)/2))/(LN(2)/2)*V50*Y50*VLOOKUP('Données projet'!$B$9,Paramètres!$A$1:$I$89,3,0)*0.475*44/12</f>
        <v>0.16359318554665306</v>
      </c>
      <c r="AC50" s="22">
        <f t="shared" si="3"/>
        <v>13.96849989553761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</v>
      </c>
      <c r="N51" s="13">
        <f>IF('Données projet'!$A$36&gt;35,N50+M51-V50,IF(A51&lt;'Données projet'!$A$36,$K$205^A51,IF(A51='Données projet'!$A$36,'Données projet'!$B$36,N50+M51-V50)))</f>
        <v>204.59999999999991</v>
      </c>
      <c r="O51" s="13">
        <f>N51*VLOOKUP('Données projet'!$B$9,Paramètres!$A$1:$I$89,3,0)*VLOOKUP('Données projet'!$B$9,Paramètres!$A$1:$I$89,5,0)</f>
        <v>165.97151999999994</v>
      </c>
      <c r="P51" s="13">
        <f t="shared" si="33"/>
        <v>42.186522619819392</v>
      </c>
      <c r="Q51" s="20">
        <f t="shared" si="53"/>
        <v>362.54192422951866</v>
      </c>
      <c r="R51" s="59">
        <f t="shared" si="0"/>
        <v>616.3017929151863</v>
      </c>
      <c r="S51" s="59">
        <f ca="1">AVERAGE(OFFSET($R$3,0,0,'Données projet'!$E$9+1,1))-AVERAGE(OFFSET($H$3,0,0,'Données projet'!$E$9+1,1))</f>
        <v>328.16808330103993</v>
      </c>
      <c r="T51" s="59">
        <f t="shared" si="34"/>
        <v>316.57989180609252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3.9209177724352822</v>
      </c>
      <c r="AA51" s="21">
        <f>EXP(-LN(2)/25)*AA50+(1-EXP(-LN(2)/25))/(LN(2)/25)*Calculateur!V51*Calculateur!X51*VLOOKUP('Données projet'!$B$9,Paramètres!$A$1:$I$89,3,0)*0.475*44/12</f>
        <v>9.5374306010369683</v>
      </c>
      <c r="AB51" s="21">
        <f>EXP(-LN(2)/2)*AB50+(1-EXP(-LN(2)/2))/(LN(2)/2)*V51*Y51*VLOOKUP('Données projet'!$B$9,Paramètres!$A$1:$I$89,3,0)*0.475*44/12</f>
        <v>0.11567785085594748</v>
      </c>
      <c r="AC51" s="22">
        <f t="shared" si="3"/>
        <v>13.574026224328199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</v>
      </c>
      <c r="N52" s="13">
        <f>IF('Données projet'!$A$36&gt;35,N51+M52-V51,IF(A52&lt;'Données projet'!$A$36,$K$205^A52,IF(A52='Données projet'!$A$36,'Données projet'!$B$36,N51+M52-V51)))</f>
        <v>211.7999999999999</v>
      </c>
      <c r="O52" s="13">
        <f>N52*VLOOKUP('Données projet'!$B$9,Paramètres!$A$1:$I$89,3,0)*VLOOKUP('Données projet'!$B$9,Paramètres!$A$1:$I$89,5,0)</f>
        <v>171.81215999999992</v>
      </c>
      <c r="P52" s="13">
        <f t="shared" si="33"/>
        <v>43.49563633881931</v>
      </c>
      <c r="Q52" s="20">
        <f t="shared" si="53"/>
        <v>374.99441195677679</v>
      </c>
      <c r="R52" s="59">
        <f t="shared" si="0"/>
        <v>629.44079178106881</v>
      </c>
      <c r="S52" s="59">
        <f ca="1">AVERAGE(OFFSET($R$3,0,0,'Données projet'!$E$9+1,1))-AVERAGE(OFFSET($H$3,0,0,'Données projet'!$E$9+1,1))</f>
        <v>328.16808330103993</v>
      </c>
      <c r="T52" s="59">
        <f t="shared" si="34"/>
        <v>316.57989180609252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3.8440309664415242</v>
      </c>
      <c r="AA52" s="21">
        <f>EXP(-LN(2)/25)*AA51+(1-EXP(-LN(2)/25))/(LN(2)/25)*Calculateur!V52*Calculateur!X52*VLOOKUP('Données projet'!$B$9,Paramètres!$A$1:$I$89,3,0)*0.475*44/12</f>
        <v>9.2766290596999355</v>
      </c>
      <c r="AB52" s="21">
        <f>EXP(-LN(2)/2)*AB51+(1-EXP(-LN(2)/2))/(LN(2)/2)*V52*Y52*VLOOKUP('Données projet'!$B$9,Paramètres!$A$1:$I$89,3,0)*0.475*44/12</f>
        <v>8.1796592773326543E-2</v>
      </c>
      <c r="AC52" s="22">
        <f t="shared" si="3"/>
        <v>13.202456618914786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219</v>
      </c>
      <c r="L53" s="12">
        <f>VLOOKUP(A53,'Données projet'!$A$35:$I$55,9,0)</f>
        <v>7.2</v>
      </c>
      <c r="M53" s="12">
        <f t="array" ref="M53">INDEX(L:L,MIN(IF(ISNUMBER(L53:L249),ROW(L53:L249),"")))</f>
        <v>7.2</v>
      </c>
      <c r="N53" s="13">
        <f>IF('Données projet'!$A$36&gt;35,N52+M53-V52,IF(A53&lt;'Données projet'!$A$36,$K$205^A53,IF(A53='Données projet'!$A$36,'Données projet'!$B$36,N52+M53-V52)))</f>
        <v>218.99999999999989</v>
      </c>
      <c r="O53" s="13">
        <f>N53*VLOOKUP('Données projet'!$B$9,Paramètres!$A$1:$I$89,3,0)*VLOOKUP('Données projet'!$B$9,Paramètres!$A$1:$I$89,5,0)</f>
        <v>177.6527999999999</v>
      </c>
      <c r="P53" s="13">
        <f t="shared" si="33"/>
        <v>44.799579155749704</v>
      </c>
      <c r="Q53" s="20">
        <f t="shared" si="53"/>
        <v>387.43789369626387</v>
      </c>
      <c r="R53" s="59">
        <f t="shared" si="0"/>
        <v>642.55887522573403</v>
      </c>
      <c r="S53" s="59">
        <f ca="1">AVERAGE(OFFSET($R$3,0,0,'Données projet'!$E$9+1,1))-AVERAGE(OFFSET($H$3,0,0,'Données projet'!$E$9+1,1))</f>
        <v>328.16808330103993</v>
      </c>
      <c r="T53" s="59">
        <f t="shared" si="34"/>
        <v>316.57989180609252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17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3.7686518638169826</v>
      </c>
      <c r="AA53" s="21">
        <f>EXP(-LN(2)/25)*AA52+(1-EXP(-LN(2)/25))/(LN(2)/25)*Calculateur!V53*Calculateur!X53*VLOOKUP('Données projet'!$B$9,Paramètres!$A$1:$I$89,3,0)*0.475*44/12</f>
        <v>9.02295915022572</v>
      </c>
      <c r="AB53" s="21">
        <f>EXP(-LN(2)/2)*AB52+(1-EXP(-LN(2)/2))/(LN(2)/2)*V53*Y53*VLOOKUP('Données projet'!$B$9,Paramètres!$A$1:$I$89,3,0)*0.475*44/12</f>
        <v>5.7838925427973753E-2</v>
      </c>
      <c r="AC53" s="22">
        <f t="shared" si="3"/>
        <v>12.849449939470677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</v>
      </c>
      <c r="N54" s="13">
        <f>IF('Données projet'!$A$36&gt;35,N53+M54-V53,IF(A54&lt;'Données projet'!$A$36,$K$205^A54,IF(A54='Données projet'!$A$36,'Données projet'!$B$36,N53+M54-V53)))</f>
        <v>207.99999999999989</v>
      </c>
      <c r="O54" s="13">
        <f>N54*VLOOKUP('Données projet'!$B$9,Paramètres!$A$1:$I$89,3,0)*VLOOKUP('Données projet'!$B$9,Paramètres!$A$1:$I$89,5,0)</f>
        <v>168.72959999999992</v>
      </c>
      <c r="P54" s="13">
        <f t="shared" si="33"/>
        <v>42.805372152385068</v>
      </c>
      <c r="Q54" s="20">
        <f t="shared" si="53"/>
        <v>368.42340983207049</v>
      </c>
      <c r="R54" s="59">
        <f t="shared" si="0"/>
        <v>624.20729023531726</v>
      </c>
      <c r="S54" s="59">
        <f ca="1">AVERAGE(OFFSET($R$3,0,0,'Données projet'!$E$9+1,1))-AVERAGE(OFFSET($H$3,0,0,'Données projet'!$E$9+1,1))</f>
        <v>328.16808330103993</v>
      </c>
      <c r="T54" s="59">
        <f t="shared" si="34"/>
        <v>316.57989180609252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3.6947508994181955</v>
      </c>
      <c r="AA54" s="21">
        <f>EXP(-LN(2)/25)*AA53+(1-EXP(-LN(2)/25))/(LN(2)/25)*Calculateur!V54*Calculateur!X54*VLOOKUP('Données projet'!$B$9,Paramètres!$A$1:$I$89,3,0)*0.475*44/12</f>
        <v>8.7762258577659988</v>
      </c>
      <c r="AB54" s="21">
        <f>EXP(-LN(2)/2)*AB53+(1-EXP(-LN(2)/2))/(LN(2)/2)*V54*Y54*VLOOKUP('Données projet'!$B$9,Paramètres!$A$1:$I$89,3,0)*0.475*44/12</f>
        <v>4.0898296386663278E-2</v>
      </c>
      <c r="AC54" s="22">
        <f t="shared" si="3"/>
        <v>12.511875053570858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</v>
      </c>
      <c r="N55" s="13">
        <f>IF('Données projet'!$A$36&gt;35,N54+M55-V54,IF(A55&lt;'Données projet'!$A$36,$K$205^A55,IF(A55='Données projet'!$A$36,'Données projet'!$B$36,N54+M55-V54)))</f>
        <v>213.99999999999989</v>
      </c>
      <c r="O55" s="13">
        <f>N55*VLOOKUP('Données projet'!$B$9,Paramètres!$A$1:$I$89,3,0)*VLOOKUP('Données projet'!$B$9,Paramètres!$A$1:$I$89,5,0)</f>
        <v>173.59679999999992</v>
      </c>
      <c r="P55" s="13">
        <f t="shared" si="33"/>
        <v>43.894602908365897</v>
      </c>
      <c r="Q55" s="20">
        <f t="shared" si="53"/>
        <v>378.79752673207048</v>
      </c>
      <c r="R55" s="59">
        <f t="shared" si="0"/>
        <v>635.23280619565389</v>
      </c>
      <c r="S55" s="59">
        <f ca="1">AVERAGE(OFFSET($R$3,0,0,'Données projet'!$E$9+1,1))-AVERAGE(OFFSET($H$3,0,0,'Données projet'!$E$9+1,1))</f>
        <v>328.16808330103993</v>
      </c>
      <c r="T55" s="59">
        <f t="shared" si="34"/>
        <v>316.57989180609252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3.6222990878561312</v>
      </c>
      <c r="AA55" s="21">
        <f>EXP(-LN(2)/25)*AA54+(1-EXP(-LN(2)/25))/(LN(2)/25)*Calculateur!V55*Calculateur!X55*VLOOKUP('Données projet'!$B$9,Paramètres!$A$1:$I$89,3,0)*0.475*44/12</f>
        <v>8.5362395001637275</v>
      </c>
      <c r="AB55" s="21">
        <f>EXP(-LN(2)/2)*AB54+(1-EXP(-LN(2)/2))/(LN(2)/2)*V55*Y55*VLOOKUP('Données projet'!$B$9,Paramètres!$A$1:$I$89,3,0)*0.475*44/12</f>
        <v>2.891946271398688E-2</v>
      </c>
      <c r="AC55" s="22">
        <f t="shared" si="3"/>
        <v>12.187458050733845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</v>
      </c>
      <c r="N56" s="13">
        <f>IF('Données projet'!$A$36&gt;35,N55+M56-V55,IF(A56&lt;'Données projet'!$A$36,$K$205^A56,IF(A56='Données projet'!$A$36,'Données projet'!$B$36,N55+M56-V55)))</f>
        <v>219.99999999999989</v>
      </c>
      <c r="O56" s="13">
        <f>N56*VLOOKUP('Données projet'!$B$9,Paramètres!$A$1:$I$89,3,0)*VLOOKUP('Données projet'!$B$9,Paramètres!$A$1:$I$89,5,0)</f>
        <v>178.46399999999991</v>
      </c>
      <c r="P56" s="13">
        <f t="shared" si="33"/>
        <v>44.980284206661821</v>
      </c>
      <c r="Q56" s="20">
        <f t="shared" si="53"/>
        <v>389.16546165993583</v>
      </c>
      <c r="R56" s="59">
        <f t="shared" si="0"/>
        <v>646.24083986646906</v>
      </c>
      <c r="S56" s="59">
        <f ca="1">AVERAGE(OFFSET($R$3,0,0,'Données projet'!$E$9+1,1))-AVERAGE(OFFSET($H$3,0,0,'Données projet'!$E$9+1,1))</f>
        <v>328.16808330103993</v>
      </c>
      <c r="T56" s="59">
        <f t="shared" si="34"/>
        <v>316.57989180609252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3.5512680121275575</v>
      </c>
      <c r="AA56" s="21">
        <f>EXP(-LN(2)/25)*AA55+(1-EXP(-LN(2)/25))/(LN(2)/25)*Calculateur!V56*Calculateur!X56*VLOOKUP('Données projet'!$B$9,Paramètres!$A$1:$I$89,3,0)*0.475*44/12</f>
        <v>8.3028155821304246</v>
      </c>
      <c r="AB56" s="21">
        <f>EXP(-LN(2)/2)*AB55+(1-EXP(-LN(2)/2))/(LN(2)/2)*V56*Y56*VLOOKUP('Données projet'!$B$9,Paramètres!$A$1:$I$89,3,0)*0.475*44/12</f>
        <v>2.0449148193331643E-2</v>
      </c>
      <c r="AC56" s="22">
        <f t="shared" si="3"/>
        <v>11.874532742451315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</v>
      </c>
      <c r="N57" s="13">
        <f>IF('Données projet'!$A$36&gt;35,N56+M57-V56,IF(A57&lt;'Données projet'!$A$36,$K$205^A57,IF(A57='Données projet'!$A$36,'Données projet'!$B$36,N56+M57-V56)))</f>
        <v>225.99999999999989</v>
      </c>
      <c r="O57" s="13">
        <f>N57*VLOOKUP('Données projet'!$B$9,Paramètres!$A$1:$I$89,3,0)*VLOOKUP('Données projet'!$B$9,Paramètres!$A$1:$I$89,5,0)</f>
        <v>183.33119999999991</v>
      </c>
      <c r="P57" s="13">
        <f t="shared" si="33"/>
        <v>46.062523974317784</v>
      </c>
      <c r="Q57" s="20">
        <f t="shared" si="53"/>
        <v>399.52740258860331</v>
      </c>
      <c r="R57" s="59">
        <f t="shared" si="0"/>
        <v>657.23177525594269</v>
      </c>
      <c r="S57" s="59">
        <f ca="1">AVERAGE(OFFSET($R$3,0,0,'Données projet'!$E$9+1,1))-AVERAGE(OFFSET($H$3,0,0,'Données projet'!$E$9+1,1))</f>
        <v>328.16808330103993</v>
      </c>
      <c r="T57" s="59">
        <f t="shared" si="34"/>
        <v>316.57989180609252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3.4816298124693428</v>
      </c>
      <c r="AA57" s="21">
        <f>EXP(-LN(2)/25)*AA56+(1-EXP(-LN(2)/25))/(LN(2)/25)*Calculateur!V57*Calculateur!X57*VLOOKUP('Données projet'!$B$9,Paramètres!$A$1:$I$89,3,0)*0.475*44/12</f>
        <v>8.0757746534109724</v>
      </c>
      <c r="AB57" s="21">
        <f>EXP(-LN(2)/2)*AB56+(1-EXP(-LN(2)/2))/(LN(2)/2)*V57*Y57*VLOOKUP('Données projet'!$B$9,Paramètres!$A$1:$I$89,3,0)*0.475*44/12</f>
        <v>1.4459731356993442E-2</v>
      </c>
      <c r="AC57" s="22">
        <f t="shared" si="3"/>
        <v>11.571864197237309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232</v>
      </c>
      <c r="L58" s="12">
        <f>VLOOKUP(A58,'Données projet'!$A$35:$I$55,9,0)</f>
        <v>6</v>
      </c>
      <c r="M58" s="12">
        <f t="array" ref="M58">INDEX(L:L,MIN(IF(ISNUMBER(L58:L254),ROW(L58:L254),"")))</f>
        <v>6</v>
      </c>
      <c r="N58" s="13">
        <f>IF('Données projet'!$A$36&gt;35,N57+M58-V57,IF(A58&lt;'Données projet'!$A$36,$K$205^A58,IF(A58='Données projet'!$A$36,'Données projet'!$B$36,N57+M58-V57)))</f>
        <v>231.99999999999989</v>
      </c>
      <c r="O58" s="13">
        <f>N58*VLOOKUP('Données projet'!$B$9,Paramètres!$A$1:$I$89,3,0)*VLOOKUP('Données projet'!$B$9,Paramètres!$A$1:$I$89,5,0)</f>
        <v>188.19839999999991</v>
      </c>
      <c r="P58" s="13">
        <f t="shared" si="33"/>
        <v>47.141424081428013</v>
      </c>
      <c r="Q58" s="20">
        <f t="shared" si="53"/>
        <v>409.88352694182026</v>
      </c>
      <c r="R58" s="59">
        <f t="shared" si="0"/>
        <v>668.20598242229164</v>
      </c>
      <c r="S58" s="59">
        <f ca="1">AVERAGE(OFFSET($R$3,0,0,'Données projet'!$E$9+1,1))-AVERAGE(OFFSET($H$3,0,0,'Données projet'!$E$9+1,1))</f>
        <v>328.16808330103993</v>
      </c>
      <c r="T58" s="59">
        <f t="shared" si="34"/>
        <v>316.57989180609252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13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3.4133571754313179</v>
      </c>
      <c r="AA58" s="21">
        <f>EXP(-LN(2)/25)*AA57+(1-EXP(-LN(2)/25))/(LN(2)/25)*Calculateur!V58*Calculateur!X58*VLOOKUP('Données projet'!$B$9,Paramètres!$A$1:$I$89,3,0)*0.475*44/12</f>
        <v>7.8549421708269183</v>
      </c>
      <c r="AB58" s="21">
        <f>EXP(-LN(2)/2)*AB57+(1-EXP(-LN(2)/2))/(LN(2)/2)*V58*Y58*VLOOKUP('Données projet'!$B$9,Paramètres!$A$1:$I$89,3,0)*0.475*44/12</f>
        <v>1.0224574096665821E-2</v>
      </c>
      <c r="AC58" s="22">
        <f t="shared" si="3"/>
        <v>11.278523920354901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5.2</v>
      </c>
      <c r="N59" s="13">
        <f>IF('Données projet'!$A$36&gt;35,N58+M59-V58,IF(A59&lt;'Données projet'!$A$36,$K$205^A59,IF(A59='Données projet'!$A$36,'Données projet'!$B$36,N58+M59-V58)))</f>
        <v>224.19999999999987</v>
      </c>
      <c r="O59" s="13">
        <f>N59*VLOOKUP('Données projet'!$B$9,Paramètres!$A$1:$I$89,3,0)*VLOOKUP('Données projet'!$B$9,Paramètres!$A$1:$I$89,5,0)</f>
        <v>181.87103999999991</v>
      </c>
      <c r="P59" s="13">
        <f t="shared" si="33"/>
        <v>45.738207231648985</v>
      </c>
      <c r="Q59" s="20">
        <f t="shared" si="53"/>
        <v>396.41943892845512</v>
      </c>
      <c r="R59" s="59">
        <f t="shared" si="0"/>
        <v>655.34925486707687</v>
      </c>
      <c r="S59" s="59">
        <f ca="1">AVERAGE(OFFSET($R$3,0,0,'Données projet'!$E$9+1,1))-AVERAGE(OFFSET($H$3,0,0,'Données projet'!$E$9+1,1))</f>
        <v>328.16808330103993</v>
      </c>
      <c r="T59" s="59">
        <f t="shared" si="34"/>
        <v>316.57989180609252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3.3464233231634122</v>
      </c>
      <c r="AA59" s="21">
        <f>EXP(-LN(2)/25)*AA58+(1-EXP(-LN(2)/25))/(LN(2)/25)*Calculateur!V59*Calculateur!X59*VLOOKUP('Données projet'!$B$9,Paramètres!$A$1:$I$89,3,0)*0.475*44/12</f>
        <v>7.6401483640921999</v>
      </c>
      <c r="AB59" s="21">
        <f>EXP(-LN(2)/2)*AB58+(1-EXP(-LN(2)/2))/(LN(2)/2)*V59*Y59*VLOOKUP('Données projet'!$B$9,Paramètres!$A$1:$I$89,3,0)*0.475*44/12</f>
        <v>7.2298656784967209E-3</v>
      </c>
      <c r="AC59" s="22">
        <f t="shared" si="3"/>
        <v>10.993801552934109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5.2</v>
      </c>
      <c r="N60" s="13">
        <f>IF('Données projet'!$A$36&gt;35,N59+M60-V59,IF(A60&lt;'Données projet'!$A$36,$K$205^A60,IF(A60='Données projet'!$A$36,'Données projet'!$B$36,N59+M60-V59)))</f>
        <v>229.39999999999986</v>
      </c>
      <c r="O60" s="13">
        <f>N60*VLOOKUP('Données projet'!$B$9,Paramètres!$A$1:$I$89,3,0)*VLOOKUP('Données projet'!$B$9,Paramètres!$A$1:$I$89,5,0)</f>
        <v>186.08927999999992</v>
      </c>
      <c r="P60" s="13">
        <f t="shared" si="33"/>
        <v>46.674304440658766</v>
      </c>
      <c r="Q60" s="20">
        <f t="shared" si="53"/>
        <v>405.39657623414723</v>
      </c>
      <c r="R60" s="59">
        <f t="shared" si="0"/>
        <v>664.923216284825</v>
      </c>
      <c r="S60" s="59">
        <f ca="1">AVERAGE(OFFSET($R$3,0,0,'Données projet'!$E$9+1,1))-AVERAGE(OFFSET($H$3,0,0,'Données projet'!$E$9+1,1))</f>
        <v>328.16808330103993</v>
      </c>
      <c r="T60" s="59">
        <f t="shared" si="34"/>
        <v>316.57989180609252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3.2808020029128611</v>
      </c>
      <c r="AA60" s="21">
        <f>EXP(-LN(2)/25)*AA59+(1-EXP(-LN(2)/25))/(LN(2)/25)*Calculateur!V60*Calculateur!X60*VLOOKUP('Données projet'!$B$9,Paramètres!$A$1:$I$89,3,0)*0.475*44/12</f>
        <v>7.4312281052981577</v>
      </c>
      <c r="AB60" s="21">
        <f>EXP(-LN(2)/2)*AB59+(1-EXP(-LN(2)/2))/(LN(2)/2)*V60*Y60*VLOOKUP('Données projet'!$B$9,Paramètres!$A$1:$I$89,3,0)*0.475*44/12</f>
        <v>5.1122870483329107E-3</v>
      </c>
      <c r="AC60" s="22">
        <f t="shared" si="3"/>
        <v>10.717142395259351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5.2</v>
      </c>
      <c r="N61" s="13">
        <f>IF('Données projet'!$A$36&gt;35,N60+M61-V60,IF(A61&lt;'Données projet'!$A$36,$K$205^A61,IF(A61='Données projet'!$A$36,'Données projet'!$B$36,N60+M61-V60)))</f>
        <v>234.59999999999985</v>
      </c>
      <c r="O61" s="13">
        <f>N61*VLOOKUP('Données projet'!$B$9,Paramètres!$A$1:$I$89,3,0)*VLOOKUP('Données projet'!$B$9,Paramètres!$A$1:$I$89,5,0)</f>
        <v>190.3075199999999</v>
      </c>
      <c r="P61" s="13">
        <f t="shared" si="33"/>
        <v>47.607934756469184</v>
      </c>
      <c r="Q61" s="20">
        <f t="shared" si="53"/>
        <v>414.36941703418364</v>
      </c>
      <c r="R61" s="59">
        <f t="shared" si="0"/>
        <v>674.48252763287201</v>
      </c>
      <c r="S61" s="59">
        <f ca="1">AVERAGE(OFFSET($R$3,0,0,'Données projet'!$E$9+1,1))-AVERAGE(OFFSET($H$3,0,0,'Données projet'!$E$9+1,1))</f>
        <v>328.16808330103993</v>
      </c>
      <c r="T61" s="59">
        <f t="shared" si="34"/>
        <v>316.57989180609252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3.2164674767273702</v>
      </c>
      <c r="AA61" s="21">
        <f>EXP(-LN(2)/25)*AA60+(1-EXP(-LN(2)/25))/(LN(2)/25)*Calculateur!V61*Calculateur!X61*VLOOKUP('Données projet'!$B$9,Paramètres!$A$1:$I$89,3,0)*0.475*44/12</f>
        <v>7.2280207819674782</v>
      </c>
      <c r="AB61" s="21">
        <f>EXP(-LN(2)/2)*AB60+(1-EXP(-LN(2)/2))/(LN(2)/2)*V61*Y61*VLOOKUP('Données projet'!$B$9,Paramètres!$A$1:$I$89,3,0)*0.475*44/12</f>
        <v>3.6149328392483604E-3</v>
      </c>
      <c r="AC61" s="22">
        <f t="shared" si="3"/>
        <v>10.448103191534097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5.2</v>
      </c>
      <c r="N62" s="13">
        <f>IF('Données projet'!$A$36&gt;35,N61+M62-V61,IF(A62&lt;'Données projet'!$A$36,$K$205^A62,IF(A62='Données projet'!$A$36,'Données projet'!$B$36,N61+M62-V61)))</f>
        <v>239.79999999999984</v>
      </c>
      <c r="O62" s="13">
        <f>N62*VLOOKUP('Données projet'!$B$9,Paramètres!$A$1:$I$89,3,0)*VLOOKUP('Données projet'!$B$9,Paramètres!$A$1:$I$89,5,0)</f>
        <v>194.52575999999991</v>
      </c>
      <c r="P62" s="13">
        <f t="shared" si="33"/>
        <v>48.539159154841606</v>
      </c>
      <c r="Q62" s="20">
        <f t="shared" si="53"/>
        <v>423.33806752801564</v>
      </c>
      <c r="R62" s="59">
        <f t="shared" si="0"/>
        <v>684.02747472185843</v>
      </c>
      <c r="S62" s="59">
        <f ca="1">AVERAGE(OFFSET($R$3,0,0,'Données projet'!$E$9+1,1))-AVERAGE(OFFSET($H$3,0,0,'Données projet'!$E$9+1,1))</f>
        <v>328.16808330103993</v>
      </c>
      <c r="T62" s="59">
        <f t="shared" si="34"/>
        <v>316.57989180609252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3.1533945113601907</v>
      </c>
      <c r="AA62" s="21">
        <f>EXP(-LN(2)/25)*AA61+(1-EXP(-LN(2)/25))/(LN(2)/25)*Calculateur!V62*Calculateur!X62*VLOOKUP('Données projet'!$B$9,Paramètres!$A$1:$I$89,3,0)*0.475*44/12</f>
        <v>7.0303701735794846</v>
      </c>
      <c r="AB62" s="21">
        <f>EXP(-LN(2)/2)*AB61+(1-EXP(-LN(2)/2))/(LN(2)/2)*V62*Y62*VLOOKUP('Données projet'!$B$9,Paramètres!$A$1:$I$89,3,0)*0.475*44/12</f>
        <v>2.5561435241664553E-3</v>
      </c>
      <c r="AC62" s="22">
        <f t="shared" si="3"/>
        <v>10.186320828463842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245</v>
      </c>
      <c r="L63" s="12">
        <f>VLOOKUP(A63,'Données projet'!$A$35:$I$55,9,0)</f>
        <v>5.2</v>
      </c>
      <c r="M63" s="12">
        <f t="array" ref="M63">INDEX(L:L,MIN(IF(ISNUMBER(L63:L259),ROW(L63:L259),"")))</f>
        <v>5.2</v>
      </c>
      <c r="N63" s="13">
        <f>IF('Données projet'!$A$36&gt;35,N62+M63-V62,IF(A63&lt;'Données projet'!$A$36,$K$205^A63,IF(A63='Données projet'!$A$36,'Données projet'!$B$36,N62+M63-V62)))</f>
        <v>244.99999999999983</v>
      </c>
      <c r="O63" s="13">
        <f>N63*VLOOKUP('Données projet'!$B$9,Paramètres!$A$1:$I$89,3,0)*VLOOKUP('Données projet'!$B$9,Paramètres!$A$1:$I$89,5,0)</f>
        <v>198.74399999999989</v>
      </c>
      <c r="P63" s="13">
        <f t="shared" si="33"/>
        <v>49.468035816012154</v>
      </c>
      <c r="Q63" s="20">
        <f t="shared" si="53"/>
        <v>432.30262904622094</v>
      </c>
      <c r="R63" s="59">
        <f t="shared" si="0"/>
        <v>693.55833537769843</v>
      </c>
      <c r="S63" s="59">
        <f ca="1">AVERAGE(OFFSET($R$3,0,0,'Données projet'!$E$9+1,1))-AVERAGE(OFFSET($H$3,0,0,'Données projet'!$E$9+1,1))</f>
        <v>328.16808330103993</v>
      </c>
      <c r="T63" s="59">
        <f t="shared" si="34"/>
        <v>316.57989180609252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3.0915583683731511</v>
      </c>
      <c r="AA63" s="21">
        <f>EXP(-LN(2)/25)*AA62+(1-EXP(-LN(2)/25))/(LN(2)/25)*Calculateur!V63*Calculateur!X63*VLOOKUP('Données projet'!$B$9,Paramètres!$A$1:$I$89,3,0)*0.475*44/12</f>
        <v>6.8381243314718541</v>
      </c>
      <c r="AB63" s="21">
        <f>EXP(-LN(2)/2)*AB62+(1-EXP(-LN(2)/2))/(LN(2)/2)*V63*Y63*VLOOKUP('Données projet'!$B$9,Paramètres!$A$1:$I$89,3,0)*0.475*44/12</f>
        <v>1.8074664196241802E-3</v>
      </c>
      <c r="AC63" s="22">
        <f t="shared" si="3"/>
        <v>9.9314901662646289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4.4000000000000004</v>
      </c>
      <c r="N64" s="13">
        <f>IF('Données projet'!$A$36&gt;35,N63+M64-V63,IF(A64&lt;'Données projet'!$A$36,$K$205^A64,IF(A64='Données projet'!$A$36,'Données projet'!$B$36,N63+M64-V63)))</f>
        <v>237.39999999999984</v>
      </c>
      <c r="O64" s="13">
        <f>N64*VLOOKUP('Données projet'!$B$9,Paramètres!$A$1:$I$89,3,0)*VLOOKUP('Données projet'!$B$9,Paramètres!$A$1:$I$89,5,0)</f>
        <v>192.57887999999988</v>
      </c>
      <c r="P64" s="13">
        <f t="shared" si="33"/>
        <v>48.109658468565421</v>
      </c>
      <c r="Q64" s="20">
        <f t="shared" si="53"/>
        <v>419.19920449941787</v>
      </c>
      <c r="R64" s="59">
        <f t="shared" si="0"/>
        <v>681.01138594454721</v>
      </c>
      <c r="S64" s="59">
        <f ca="1">AVERAGE(OFFSET($R$3,0,0,'Données projet'!$E$9+1,1))-AVERAGE(OFFSET($H$3,0,0,'Données projet'!$E$9+1,1))</f>
        <v>328.16808330103993</v>
      </c>
      <c r="T64" s="59">
        <f t="shared" si="34"/>
        <v>316.57989180609252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3.0309347944337643</v>
      </c>
      <c r="AA64" s="21">
        <f>EXP(-LN(2)/25)*AA63+(1-EXP(-LN(2)/25))/(LN(2)/25)*Calculateur!V64*Calculateur!X64*VLOOKUP('Données projet'!$B$9,Paramètres!$A$1:$I$89,3,0)*0.475*44/12</f>
        <v>6.651135462026426</v>
      </c>
      <c r="AB64" s="21">
        <f>EXP(-LN(2)/2)*AB63+(1-EXP(-LN(2)/2))/(LN(2)/2)*V64*Y64*VLOOKUP('Données projet'!$B$9,Paramètres!$A$1:$I$89,3,0)*0.475*44/12</f>
        <v>1.2780717620832277E-3</v>
      </c>
      <c r="AC64" s="22">
        <f t="shared" si="3"/>
        <v>9.683348328222273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4.4000000000000004</v>
      </c>
      <c r="N65" s="13">
        <f>IF('Données projet'!$A$36&gt;35,N64+M65-V64,IF(A65&lt;'Données projet'!$A$36,$K$205^A65,IF(A65='Données projet'!$A$36,'Données projet'!$B$36,N64+M65-V64)))</f>
        <v>241.79999999999984</v>
      </c>
      <c r="O65" s="13">
        <f>N65*VLOOKUP('Données projet'!$B$9,Paramètres!$A$1:$I$89,3,0)*VLOOKUP('Données projet'!$B$9,Paramètres!$A$1:$I$89,5,0)</f>
        <v>196.14815999999988</v>
      </c>
      <c r="P65" s="13">
        <f t="shared" si="33"/>
        <v>48.896694156917398</v>
      </c>
      <c r="Q65" s="20">
        <f t="shared" si="53"/>
        <v>426.78645432329751</v>
      </c>
      <c r="R65" s="59">
        <f t="shared" si="0"/>
        <v>689.14545728294888</v>
      </c>
      <c r="S65" s="59">
        <f ca="1">AVERAGE(OFFSET($R$3,0,0,'Données projet'!$E$9+1,1))-AVERAGE(OFFSET($H$3,0,0,'Données projet'!$E$9+1,1))</f>
        <v>328.16808330103993</v>
      </c>
      <c r="T65" s="59">
        <f t="shared" si="34"/>
        <v>316.57989180609252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2.9715000118026</v>
      </c>
      <c r="AA65" s="21">
        <f>EXP(-LN(2)/25)*AA64+(1-EXP(-LN(2)/25))/(LN(2)/25)*Calculateur!V65*Calculateur!X65*VLOOKUP('Données projet'!$B$9,Paramètres!$A$1:$I$89,3,0)*0.475*44/12</f>
        <v>6.4692598130493009</v>
      </c>
      <c r="AB65" s="21">
        <f>EXP(-LN(2)/2)*AB64+(1-EXP(-LN(2)/2))/(LN(2)/2)*V65*Y65*VLOOKUP('Données projet'!$B$9,Paramètres!$A$1:$I$89,3,0)*0.475*44/12</f>
        <v>9.0373320981209011E-4</v>
      </c>
      <c r="AC65" s="22">
        <f t="shared" si="3"/>
        <v>9.4416635580617125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4.4000000000000004</v>
      </c>
      <c r="N66" s="13">
        <f>IF('Données projet'!$A$36&gt;35,N65+M66-V65,IF(A66&lt;'Données projet'!$A$36,$K$205^A66,IF(A66='Données projet'!$A$36,'Données projet'!$B$36,N65+M66-V65)))</f>
        <v>246.19999999999985</v>
      </c>
      <c r="O66" s="13">
        <f>N66*VLOOKUP('Données projet'!$B$9,Paramètres!$A$1:$I$89,3,0)*VLOOKUP('Données projet'!$B$9,Paramètres!$A$1:$I$89,5,0)</f>
        <v>199.71743999999987</v>
      </c>
      <c r="P66" s="13">
        <f t="shared" si="33"/>
        <v>49.682064480920403</v>
      </c>
      <c r="Q66" s="20">
        <f t="shared" si="53"/>
        <v>434.37080363760282</v>
      </c>
      <c r="R66" s="59">
        <f t="shared" si="0"/>
        <v>697.26714198100899</v>
      </c>
      <c r="S66" s="59">
        <f ca="1">AVERAGE(OFFSET($R$3,0,0,'Données projet'!$E$9+1,1))-AVERAGE(OFFSET($H$3,0,0,'Données projet'!$E$9+1,1))</f>
        <v>328.16808330103993</v>
      </c>
      <c r="T66" s="59">
        <f t="shared" si="34"/>
        <v>316.57989180609252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2.9132307090071952</v>
      </c>
      <c r="AA66" s="21">
        <f>EXP(-LN(2)/25)*AA65+(1-EXP(-LN(2)/25))/(LN(2)/25)*Calculateur!V66*Calculateur!X66*VLOOKUP('Données projet'!$B$9,Paramètres!$A$1:$I$89,3,0)*0.475*44/12</f>
        <v>6.2923575632578794</v>
      </c>
      <c r="AB66" s="21">
        <f>EXP(-LN(2)/2)*AB65+(1-EXP(-LN(2)/2))/(LN(2)/2)*V66*Y66*VLOOKUP('Données projet'!$B$9,Paramètres!$A$1:$I$89,3,0)*0.475*44/12</f>
        <v>6.3903588104161383E-4</v>
      </c>
      <c r="AC66" s="22">
        <f t="shared" si="3"/>
        <v>9.2062273081461168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4.4000000000000004</v>
      </c>
      <c r="N67" s="13">
        <f>IF('Données projet'!$A$36&gt;35,N66+M67-V66,IF(A67&lt;'Données projet'!$A$36,$K$205^A67,IF(A67='Données projet'!$A$36,'Données projet'!$B$36,N66+M67-V66)))</f>
        <v>250.59999999999985</v>
      </c>
      <c r="O67" s="13">
        <f>N67*VLOOKUP('Données projet'!$B$9,Paramètres!$A$1:$I$89,3,0)*VLOOKUP('Données projet'!$B$9,Paramètres!$A$1:$I$89,5,0)</f>
        <v>203.28671999999989</v>
      </c>
      <c r="P67" s="13">
        <f t="shared" si="33"/>
        <v>50.465802636798685</v>
      </c>
      <c r="Q67" s="20">
        <f t="shared" ref="Q67:Q98" si="54">(O67+P67)*0.475*44/12</f>
        <v>441.95231025909084</v>
      </c>
      <c r="R67" s="59">
        <f t="shared" ref="R67:R130" si="55">Q67+(I67+J67)*44/12</f>
        <v>705.37666241864554</v>
      </c>
      <c r="S67" s="59">
        <f ca="1">AVERAGE(OFFSET($R$3,0,0,'Données projet'!$E$9+1,1))-AVERAGE(OFFSET($H$3,0,0,'Données projet'!$E$9+1,1))</f>
        <v>328.16808330103993</v>
      </c>
      <c r="T67" s="59">
        <f t="shared" si="34"/>
        <v>316.57989180609252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2.8561040316988429</v>
      </c>
      <c r="AA67" s="21">
        <f>EXP(-LN(2)/25)*AA66+(1-EXP(-LN(2)/25))/(LN(2)/25)*Calculateur!V67*Calculateur!X67*VLOOKUP('Données projet'!$B$9,Paramètres!$A$1:$I$89,3,0)*0.475*44/12</f>
        <v>6.1202927147898896</v>
      </c>
      <c r="AB67" s="21">
        <f>EXP(-LN(2)/2)*AB66+(1-EXP(-LN(2)/2))/(LN(2)/2)*V67*Y67*VLOOKUP('Données projet'!$B$9,Paramètres!$A$1:$I$89,3,0)*0.475*44/12</f>
        <v>4.5186660490604505E-4</v>
      </c>
      <c r="AC67" s="22">
        <f t="shared" si="3"/>
        <v>8.9768486130936385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255</v>
      </c>
      <c r="L68" s="12">
        <f>VLOOKUP(A68,'Données projet'!$A$35:$I$55,9,0)</f>
        <v>4.4000000000000004</v>
      </c>
      <c r="M68" s="12">
        <f t="array" ref="M68">INDEX(L:L,MIN(IF(ISNUMBER(L68:L264),ROW(L68:L264),"")))</f>
        <v>4.4000000000000004</v>
      </c>
      <c r="N68" s="13">
        <f>IF('Données projet'!$A$36&gt;35,N67+M68-V67,IF(A68&lt;'Données projet'!$A$36,$K$205^A68,IF(A68='Données projet'!$A$36,'Données projet'!$B$36,N67+M68-V67)))</f>
        <v>254.99999999999986</v>
      </c>
      <c r="O68" s="13">
        <f>N68*VLOOKUP('Données projet'!$B$9,Paramètres!$A$1:$I$89,3,0)*VLOOKUP('Données projet'!$B$9,Paramètres!$A$1:$I$89,5,0)</f>
        <v>206.85599999999991</v>
      </c>
      <c r="P68" s="13">
        <f t="shared" si="33"/>
        <v>51.247940588293027</v>
      </c>
      <c r="Q68" s="20">
        <f t="shared" si="54"/>
        <v>449.53102985794345</v>
      </c>
      <c r="R68" s="59">
        <f t="shared" si="55"/>
        <v>713.47423597439865</v>
      </c>
      <c r="S68" s="59">
        <f ca="1">AVERAGE(OFFSET($R$3,0,0,'Données projet'!$E$9+1,1))-AVERAGE(OFFSET($H$3,0,0,'Données projet'!$E$9+1,1))</f>
        <v>328.16808330103993</v>
      </c>
      <c r="T68" s="59">
        <f t="shared" si="34"/>
        <v>316.57989180609252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2.8000975736886744</v>
      </c>
      <c r="AA68" s="21">
        <f>EXP(-LN(2)/25)*AA67+(1-EXP(-LN(2)/25))/(LN(2)/25)*Calculateur!V68*Calculateur!X68*VLOOKUP('Données projet'!$B$9,Paramètres!$A$1:$I$89,3,0)*0.475*44/12</f>
        <v>5.9529329886517539</v>
      </c>
      <c r="AB68" s="21">
        <f>EXP(-LN(2)/2)*AB67+(1-EXP(-LN(2)/2))/(LN(2)/2)*V68*Y68*VLOOKUP('Données projet'!$B$9,Paramètres!$A$1:$I$89,3,0)*0.475*44/12</f>
        <v>3.1951794052080692E-4</v>
      </c>
      <c r="AC68" s="22">
        <f t="shared" ref="AC68:AC131" si="57">SUM(Z68:AB68)</f>
        <v>8.7533500802809474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3.8</v>
      </c>
      <c r="N69" s="13">
        <f>IF('Données projet'!$A$36&gt;35,N68+M69-V68,IF(A69&lt;'Données projet'!$A$36,$K$205^A69,IF(A69='Données projet'!$A$36,'Données projet'!$B$36,N68+M69-V68)))</f>
        <v>247.79999999999984</v>
      </c>
      <c r="O69" s="13">
        <f>N69*VLOOKUP('Données projet'!$B$9,Paramètres!$A$1:$I$89,3,0)*VLOOKUP('Données projet'!$B$9,Paramètres!$A$1:$I$89,5,0)</f>
        <v>201.01535999999987</v>
      </c>
      <c r="P69" s="13">
        <f t="shared" ref="P69:P132" si="87">EXP(-1.0587+0.8836*LN(O69)+0.284)</f>
        <v>49.96724731300592</v>
      </c>
      <c r="Q69" s="20">
        <f t="shared" si="54"/>
        <v>437.12804107015171</v>
      </c>
      <c r="R69" s="59">
        <f t="shared" si="55"/>
        <v>701.58110018733873</v>
      </c>
      <c r="S69" s="59">
        <f ca="1">AVERAGE(OFFSET($R$3,0,0,'Données projet'!$E$9+1,1))-AVERAGE(OFFSET($H$3,0,0,'Données projet'!$E$9+1,1))</f>
        <v>328.16808330103993</v>
      </c>
      <c r="T69" s="59">
        <f t="shared" ref="T69:T132" si="88">$T$3</f>
        <v>316.57989180609252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2.7451893681595192</v>
      </c>
      <c r="AA69" s="21">
        <f>EXP(-LN(2)/25)*AA68+(1-EXP(-LN(2)/25))/(LN(2)/25)*Calculateur!V69*Calculateur!X69*VLOOKUP('Données projet'!$B$9,Paramètres!$A$1:$I$89,3,0)*0.475*44/12</f>
        <v>5.7901497230259311</v>
      </c>
      <c r="AB69" s="21">
        <f>EXP(-LN(2)/2)*AB68+(1-EXP(-LN(2)/2))/(LN(2)/2)*V69*Y69*VLOOKUP('Données projet'!$B$9,Paramètres!$A$1:$I$89,3,0)*0.475*44/12</f>
        <v>2.2593330245302253E-4</v>
      </c>
      <c r="AC69" s="22">
        <f t="shared" si="57"/>
        <v>8.5355650244879033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3.8</v>
      </c>
      <c r="N70" s="13">
        <f>IF('Données projet'!$A$36&gt;35,N69+M70-V69,IF(A70&lt;'Données projet'!$A$36,$K$205^A70,IF(A70='Données projet'!$A$36,'Données projet'!$B$36,N69+M70-V69)))</f>
        <v>251.59999999999985</v>
      </c>
      <c r="O70" s="13">
        <f>N70*VLOOKUP('Données projet'!$B$9,Paramètres!$A$1:$I$89,3,0)*VLOOKUP('Données projet'!$B$9,Paramètres!$A$1:$I$89,5,0)</f>
        <v>204.0979199999999</v>
      </c>
      <c r="P70" s="13">
        <f t="shared" si="87"/>
        <v>50.643700651523019</v>
      </c>
      <c r="Q70" s="20">
        <f t="shared" si="54"/>
        <v>443.67498930140238</v>
      </c>
      <c r="R70" s="59">
        <f t="shared" si="55"/>
        <v>708.62905660961928</v>
      </c>
      <c r="S70" s="59">
        <f ca="1">AVERAGE(OFFSET($R$3,0,0,'Données projet'!$E$9+1,1))-AVERAGE(OFFSET($H$3,0,0,'Données projet'!$E$9+1,1))</f>
        <v>328.16808330103993</v>
      </c>
      <c r="T70" s="59">
        <f t="shared" si="88"/>
        <v>316.57989180609252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2.6913578790500923</v>
      </c>
      <c r="AA70" s="21">
        <f>EXP(-LN(2)/25)*AA69+(1-EXP(-LN(2)/25))/(LN(2)/25)*Calculateur!V70*Calculateur!X70*VLOOKUP('Données projet'!$B$9,Paramètres!$A$1:$I$89,3,0)*0.475*44/12</f>
        <v>5.631817774359047</v>
      </c>
      <c r="AB70" s="21">
        <f>EXP(-LN(2)/2)*AB69+(1-EXP(-LN(2)/2))/(LN(2)/2)*V70*Y70*VLOOKUP('Données projet'!$B$9,Paramètres!$A$1:$I$89,3,0)*0.475*44/12</f>
        <v>1.5975897026040346E-4</v>
      </c>
      <c r="AC70" s="22">
        <f t="shared" si="57"/>
        <v>8.3233354123794001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3.8</v>
      </c>
      <c r="N71" s="13">
        <f>IF('Données projet'!$A$36&gt;35,N70+M71-V70,IF(A71&lt;'Données projet'!$A$36,$K$205^A71,IF(A71='Données projet'!$A$36,'Données projet'!$B$36,N70+M71-V70)))</f>
        <v>255.39999999999986</v>
      </c>
      <c r="O71" s="13">
        <f>N71*VLOOKUP('Données projet'!$B$9,Paramètres!$A$1:$I$89,3,0)*VLOOKUP('Données projet'!$B$9,Paramètres!$A$1:$I$89,5,0)</f>
        <v>207.1804799999999</v>
      </c>
      <c r="P71" s="13">
        <f t="shared" si="87"/>
        <v>51.318965762681508</v>
      </c>
      <c r="Q71" s="20">
        <f t="shared" si="54"/>
        <v>450.21986803667011</v>
      </c>
      <c r="R71" s="59">
        <f t="shared" si="55"/>
        <v>715.66625216388888</v>
      </c>
      <c r="S71" s="59">
        <f ca="1">AVERAGE(OFFSET($R$3,0,0,'Données projet'!$E$9+1,1))-AVERAGE(OFFSET($H$3,0,0,'Données projet'!$E$9+1,1))</f>
        <v>328.16808330103993</v>
      </c>
      <c r="T71" s="59">
        <f t="shared" si="88"/>
        <v>316.57989180609252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2.6385819926081351</v>
      </c>
      <c r="AA71" s="21">
        <f>EXP(-LN(2)/25)*AA70+(1-EXP(-LN(2)/25))/(LN(2)/25)*Calculateur!V71*Calculateur!X71*VLOOKUP('Données projet'!$B$9,Paramètres!$A$1:$I$89,3,0)*0.475*44/12</f>
        <v>5.4778154211547738</v>
      </c>
      <c r="AB71" s="21">
        <f>EXP(-LN(2)/2)*AB70+(1-EXP(-LN(2)/2))/(LN(2)/2)*V71*Y71*VLOOKUP('Données projet'!$B$9,Paramètres!$A$1:$I$89,3,0)*0.475*44/12</f>
        <v>1.1296665122651126E-4</v>
      </c>
      <c r="AC71" s="22">
        <f t="shared" si="57"/>
        <v>8.1165103804141356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3.8</v>
      </c>
      <c r="N72" s="13">
        <f>IF('Données projet'!$A$36&gt;35,N71+M72-V71,IF(A72&lt;'Données projet'!$A$36,$K$205^A72,IF(A72='Données projet'!$A$36,'Données projet'!$B$36,N71+M72-V71)))</f>
        <v>259.19999999999987</v>
      </c>
      <c r="O72" s="13">
        <f>N72*VLOOKUP('Données projet'!$B$9,Paramètres!$A$1:$I$89,3,0)*VLOOKUP('Données projet'!$B$9,Paramètres!$A$1:$I$89,5,0)</f>
        <v>210.2630399999999</v>
      </c>
      <c r="P72" s="13">
        <f t="shared" si="87"/>
        <v>51.993062367907982</v>
      </c>
      <c r="Q72" s="20">
        <f t="shared" si="54"/>
        <v>456.7627116241062</v>
      </c>
      <c r="R72" s="59">
        <f t="shared" si="55"/>
        <v>722.6928719741727</v>
      </c>
      <c r="S72" s="59">
        <f ca="1">AVERAGE(OFFSET($R$3,0,0,'Données projet'!$E$9+1,1))-AVERAGE(OFFSET($H$3,0,0,'Données projet'!$E$9+1,1))</f>
        <v>328.16808330103993</v>
      </c>
      <c r="T72" s="59">
        <f t="shared" si="88"/>
        <v>316.57989180609252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2.5868410091091922</v>
      </c>
      <c r="AA72" s="21">
        <f>EXP(-LN(2)/25)*AA71+(1-EXP(-LN(2)/25))/(LN(2)/25)*Calculateur!V72*Calculateur!X72*VLOOKUP('Données projet'!$B$9,Paramètres!$A$1:$I$89,3,0)*0.475*44/12</f>
        <v>5.3280242703975036</v>
      </c>
      <c r="AB72" s="21">
        <f>EXP(-LN(2)/2)*AB71+(1-EXP(-LN(2)/2))/(LN(2)/2)*V72*Y72*VLOOKUP('Données projet'!$B$9,Paramètres!$A$1:$I$89,3,0)*0.475*44/12</f>
        <v>7.9879485130201729E-5</v>
      </c>
      <c r="AC72" s="22">
        <f t="shared" si="57"/>
        <v>7.9149451589918263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3.8</v>
      </c>
      <c r="M73" s="12">
        <f t="array" ref="M73">INDEX(L:L,MIN(IF(ISNUMBER(L73:L269),ROW(L73:L269),"")))</f>
        <v>3.8</v>
      </c>
      <c r="N73" s="13">
        <f>IF('Données projet'!$A$36&gt;35,N72+M73-V72,IF(A73&lt;'Données projet'!$A$36,$K$205^A73,IF(A73='Données projet'!$A$36,'Données projet'!$B$36,N72+M73-V72)))</f>
        <v>262.99999999999989</v>
      </c>
      <c r="O73" s="13">
        <f>N73*VLOOKUP('Données projet'!$B$9,Paramètres!$A$1:$I$89,3,0)*VLOOKUP('Données projet'!$B$9,Paramètres!$A$1:$I$89,5,0)</f>
        <v>213.34559999999991</v>
      </c>
      <c r="P73" s="13">
        <f t="shared" si="87"/>
        <v>52.666009577179437</v>
      </c>
      <c r="Q73" s="20">
        <f t="shared" si="54"/>
        <v>463.30355334692064</v>
      </c>
      <c r="R73" s="59">
        <f t="shared" si="55"/>
        <v>729.70909748393012</v>
      </c>
      <c r="S73" s="59">
        <f ca="1">AVERAGE(OFFSET($R$3,0,0,'Données projet'!$E$9+1,1))-AVERAGE(OFFSET($H$3,0,0,'Données projet'!$E$9+1,1))</f>
        <v>328.16808330103993</v>
      </c>
      <c r="T73" s="59">
        <f t="shared" si="88"/>
        <v>316.57989180609252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2.5361146347377801</v>
      </c>
      <c r="AA73" s="21">
        <f>EXP(-LN(2)/25)*AA72+(1-EXP(-LN(2)/25))/(LN(2)/25)*Calculateur!V73*Calculateur!X73*VLOOKUP('Données projet'!$B$9,Paramètres!$A$1:$I$89,3,0)*0.475*44/12</f>
        <v>5.1823291665348652</v>
      </c>
      <c r="AB73" s="21">
        <f>EXP(-LN(2)/2)*AB72+(1-EXP(-LN(2)/2))/(LN(2)/2)*V73*Y73*VLOOKUP('Données projet'!$B$9,Paramètres!$A$1:$I$89,3,0)*0.475*44/12</f>
        <v>5.6483325613255632E-5</v>
      </c>
      <c r="AC73" s="22">
        <f t="shared" si="57"/>
        <v>7.7185002845982584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3.4</v>
      </c>
      <c r="N74" s="13">
        <f>IF('Données projet'!$A$36&gt;35,N73+M74-V73,IF(A74&lt;'Données projet'!$A$36,$K$205^A74,IF(A74='Données projet'!$A$36,'Données projet'!$B$36,N73+M74-V73)))</f>
        <v>256.39999999999986</v>
      </c>
      <c r="O74" s="13">
        <f>N74*VLOOKUP('Données projet'!$B$9,Paramètres!$A$1:$I$89,3,0)*VLOOKUP('Données projet'!$B$9,Paramètres!$A$1:$I$89,5,0)</f>
        <v>207.99167999999992</v>
      </c>
      <c r="P74" s="13">
        <f t="shared" si="87"/>
        <v>51.496472105486831</v>
      </c>
      <c r="Q74" s="20">
        <f t="shared" si="54"/>
        <v>451.94186491705608</v>
      </c>
      <c r="R74" s="59">
        <f t="shared" si="55"/>
        <v>718.81454599510403</v>
      </c>
      <c r="S74" s="59">
        <f ca="1">AVERAGE(OFFSET($R$3,0,0,'Données projet'!$E$9+1,1))-AVERAGE(OFFSET($H$3,0,0,'Données projet'!$E$9+1,1))</f>
        <v>328.16808330103993</v>
      </c>
      <c r="T74" s="59">
        <f t="shared" si="88"/>
        <v>316.57989180609252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2.4863829736277578</v>
      </c>
      <c r="AA74" s="21">
        <f>EXP(-LN(2)/25)*AA73+(1-EXP(-LN(2)/25))/(LN(2)/25)*Calculateur!V74*Calculateur!X74*VLOOKUP('Données projet'!$B$9,Paramètres!$A$1:$I$89,3,0)*0.475*44/12</f>
        <v>5.0406181029491224</v>
      </c>
      <c r="AB74" s="21">
        <f>EXP(-LN(2)/2)*AB73+(1-EXP(-LN(2)/2))/(LN(2)/2)*V74*Y74*VLOOKUP('Données projet'!$B$9,Paramètres!$A$1:$I$89,3,0)*0.475*44/12</f>
        <v>3.9939742565100865E-5</v>
      </c>
      <c r="AC74" s="22">
        <f t="shared" si="57"/>
        <v>7.527041016319445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3.4</v>
      </c>
      <c r="N75" s="13">
        <f>IF('Données projet'!$A$36&gt;35,N74+M75-V74,IF(A75&lt;'Données projet'!$A$36,$K$205^A75,IF(A75='Données projet'!$A$36,'Données projet'!$B$36,N74+M75-V74)))</f>
        <v>259.79999999999984</v>
      </c>
      <c r="O75" s="13">
        <f>N75*VLOOKUP('Données projet'!$B$9,Paramètres!$A$1:$I$89,3,0)*VLOOKUP('Données projet'!$B$9,Paramètres!$A$1:$I$89,5,0)</f>
        <v>210.74975999999987</v>
      </c>
      <c r="P75" s="13">
        <f t="shared" si="87"/>
        <v>52.099393122422597</v>
      </c>
      <c r="Q75" s="20">
        <f t="shared" si="54"/>
        <v>457.79560835488581</v>
      </c>
      <c r="R75" s="59">
        <f t="shared" si="55"/>
        <v>725.12732259240693</v>
      </c>
      <c r="S75" s="59">
        <f ca="1">AVERAGE(OFFSET($R$3,0,0,'Données projet'!$E$9+1,1))-AVERAGE(OFFSET($H$3,0,0,'Données projet'!$E$9+1,1))</f>
        <v>328.16808330103993</v>
      </c>
      <c r="T75" s="59">
        <f t="shared" si="88"/>
        <v>316.57989180609252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2.4376265200587852</v>
      </c>
      <c r="AA75" s="21">
        <f>EXP(-LN(2)/25)*AA74+(1-EXP(-LN(2)/25))/(LN(2)/25)*Calculateur!V75*Calculateur!X75*VLOOKUP('Données projet'!$B$9,Paramètres!$A$1:$I$89,3,0)*0.475*44/12</f>
        <v>4.9027821358493933</v>
      </c>
      <c r="AB75" s="21">
        <f>EXP(-LN(2)/2)*AB74+(1-EXP(-LN(2)/2))/(LN(2)/2)*V75*Y75*VLOOKUP('Données projet'!$B$9,Paramètres!$A$1:$I$89,3,0)*0.475*44/12</f>
        <v>2.8241662806627816E-5</v>
      </c>
      <c r="AC75" s="22">
        <f t="shared" si="57"/>
        <v>7.3404368975709851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3.4</v>
      </c>
      <c r="N76" s="13">
        <f>IF('Données projet'!$A$36&gt;35,N75+M76-V75,IF(A76&lt;'Données projet'!$A$36,$K$205^A76,IF(A76='Données projet'!$A$36,'Données projet'!$B$36,N75+M76-V75)))</f>
        <v>263.19999999999982</v>
      </c>
      <c r="O76" s="13">
        <f>N76*VLOOKUP('Données projet'!$B$9,Paramètres!$A$1:$I$89,3,0)*VLOOKUP('Données projet'!$B$9,Paramètres!$A$1:$I$89,5,0)</f>
        <v>213.50783999999987</v>
      </c>
      <c r="P76" s="13">
        <f t="shared" si="87"/>
        <v>52.701396365805124</v>
      </c>
      <c r="Q76" s="20">
        <f t="shared" si="54"/>
        <v>463.64775333711032</v>
      </c>
      <c r="R76" s="59">
        <f t="shared" si="55"/>
        <v>731.43053753503204</v>
      </c>
      <c r="S76" s="59">
        <f ca="1">AVERAGE(OFFSET($R$3,0,0,'Données projet'!$E$9+1,1))-AVERAGE(OFFSET($H$3,0,0,'Données projet'!$E$9+1,1))</f>
        <v>328.16808330103993</v>
      </c>
      <c r="T76" s="59">
        <f t="shared" si="88"/>
        <v>316.57989180609252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2.3898261508057996</v>
      </c>
      <c r="AA76" s="21">
        <f>EXP(-LN(2)/25)*AA75+(1-EXP(-LN(2)/25))/(LN(2)/25)*Calculateur!V76*Calculateur!X76*VLOOKUP('Données projet'!$B$9,Paramètres!$A$1:$I$89,3,0)*0.475*44/12</f>
        <v>4.7687153005184841</v>
      </c>
      <c r="AB76" s="21">
        <f>EXP(-LN(2)/2)*AB75+(1-EXP(-LN(2)/2))/(LN(2)/2)*V76*Y76*VLOOKUP('Données projet'!$B$9,Paramètres!$A$1:$I$89,3,0)*0.475*44/12</f>
        <v>1.9969871282550432E-5</v>
      </c>
      <c r="AC76" s="22">
        <f t="shared" si="57"/>
        <v>7.158561421195567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3.4</v>
      </c>
      <c r="N77" s="13">
        <f>IF('Données projet'!$A$36&gt;35,N76+M77-V76,IF(A77&lt;'Données projet'!$A$36,$K$205^A77,IF(A77='Données projet'!$A$36,'Données projet'!$B$36,N76+M77-V76)))</f>
        <v>266.5999999999998</v>
      </c>
      <c r="O77" s="13">
        <f>N77*VLOOKUP('Données projet'!$B$9,Paramètres!$A$1:$I$89,3,0)*VLOOKUP('Données projet'!$B$9,Paramètres!$A$1:$I$89,5,0)</f>
        <v>216.26591999999982</v>
      </c>
      <c r="P77" s="13">
        <f t="shared" si="87"/>
        <v>53.302495062173776</v>
      </c>
      <c r="Q77" s="20">
        <f t="shared" si="54"/>
        <v>469.49832289995226</v>
      </c>
      <c r="R77" s="59">
        <f t="shared" si="55"/>
        <v>737.72435200290306</v>
      </c>
      <c r="S77" s="59">
        <f ca="1">AVERAGE(OFFSET($R$3,0,0,'Données projet'!$E$9+1,1))-AVERAGE(OFFSET($H$3,0,0,'Données projet'!$E$9+1,1))</f>
        <v>328.16808330103993</v>
      </c>
      <c r="T77" s="59">
        <f t="shared" si="88"/>
        <v>316.57989180609252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2.3429631176385191</v>
      </c>
      <c r="AA77" s="21">
        <f>EXP(-LN(2)/25)*AA76+(1-EXP(-LN(2)/25))/(LN(2)/25)*Calculateur!V77*Calculateur!X77*VLOOKUP('Données projet'!$B$9,Paramètres!$A$1:$I$89,3,0)*0.475*44/12</f>
        <v>4.6383145298499677</v>
      </c>
      <c r="AB77" s="21">
        <f>EXP(-LN(2)/2)*AB76+(1-EXP(-LN(2)/2))/(LN(2)/2)*V77*Y77*VLOOKUP('Données projet'!$B$9,Paramètres!$A$1:$I$89,3,0)*0.475*44/12</f>
        <v>1.4120831403313908E-5</v>
      </c>
      <c r="AC77" s="22">
        <f t="shared" si="57"/>
        <v>6.9812917683198901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270</v>
      </c>
      <c r="L78" s="12">
        <f>VLOOKUP(A78,'Données projet'!$A$35:$I$55,9,0)</f>
        <v>3.4</v>
      </c>
      <c r="M78" s="12">
        <f t="array" ref="M78">INDEX(L:L,MIN(IF(ISNUMBER(L78:L274),ROW(L78:L274),"")))</f>
        <v>3.4</v>
      </c>
      <c r="N78" s="13">
        <f>IF('Données projet'!$A$36&gt;35,N77+M78-V77,IF(A78&lt;'Données projet'!$A$36,$K$205^A78,IF(A78='Données projet'!$A$36,'Données projet'!$B$36,N77+M78-V77)))</f>
        <v>269.99999999999977</v>
      </c>
      <c r="O78" s="13">
        <f>N78*VLOOKUP('Données projet'!$B$9,Paramètres!$A$1:$I$89,3,0)*VLOOKUP('Données projet'!$B$9,Paramètres!$A$1:$I$89,5,0)</f>
        <v>219.02399999999983</v>
      </c>
      <c r="P78" s="13">
        <f t="shared" si="87"/>
        <v>53.902702081308306</v>
      </c>
      <c r="Q78" s="20">
        <f t="shared" si="54"/>
        <v>475.34733945827821</v>
      </c>
      <c r="R78" s="59">
        <f t="shared" si="55"/>
        <v>744.00892415810301</v>
      </c>
      <c r="S78" s="59">
        <f ca="1">AVERAGE(OFFSET($R$3,0,0,'Données projet'!$E$9+1,1))-AVERAGE(OFFSET($H$3,0,0,'Données projet'!$E$9+1,1))</f>
        <v>328.16808330103993</v>
      </c>
      <c r="T78" s="59">
        <f t="shared" si="88"/>
        <v>316.57989180609252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9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2.297019039968021</v>
      </c>
      <c r="AA78" s="21">
        <f>EXP(-LN(2)/25)*AA77+(1-EXP(-LN(2)/25))/(LN(2)/25)*Calculateur!V78*Calculateur!X78*VLOOKUP('Données projet'!$B$9,Paramètres!$A$1:$I$89,3,0)*0.475*44/12</f>
        <v>4.51147957511286</v>
      </c>
      <c r="AB78" s="21">
        <f>EXP(-LN(2)/2)*AB77+(1-EXP(-LN(2)/2))/(LN(2)/2)*V78*Y78*VLOOKUP('Données projet'!$B$9,Paramètres!$A$1:$I$89,3,0)*0.475*44/12</f>
        <v>9.9849356412752162E-6</v>
      </c>
      <c r="AC78" s="22">
        <f t="shared" si="57"/>
        <v>6.8085086000165216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2.8</v>
      </c>
      <c r="N79" s="13">
        <f>IF('Données projet'!$A$36&gt;35,N78+M79-V78,IF(A79&lt;'Données projet'!$A$36,$K$205^A79,IF(A79='Données projet'!$A$36,'Données projet'!$B$36,N78+M79-V78)))</f>
        <v>263.79999999999978</v>
      </c>
      <c r="O79" s="13">
        <f>N79*VLOOKUP('Données projet'!$B$9,Paramètres!$A$1:$I$89,3,0)*VLOOKUP('Données projet'!$B$9,Paramètres!$A$1:$I$89,5,0)</f>
        <v>213.99455999999986</v>
      </c>
      <c r="P79" s="13">
        <f t="shared" si="87"/>
        <v>52.807537963382018</v>
      </c>
      <c r="Q79" s="20">
        <f t="shared" si="54"/>
        <v>464.68032061955677</v>
      </c>
      <c r="R79" s="59">
        <f t="shared" si="55"/>
        <v>733.7699050004062</v>
      </c>
      <c r="S79" s="59">
        <f ca="1">AVERAGE(OFFSET($R$3,0,0,'Données projet'!$E$9+1,1))-AVERAGE(OFFSET($H$3,0,0,'Données projet'!$E$9+1,1))</f>
        <v>328.16808330103993</v>
      </c>
      <c r="T79" s="59">
        <f t="shared" si="88"/>
        <v>316.57989180609252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2.251975897637521</v>
      </c>
      <c r="AA79" s="21">
        <f>EXP(-LN(2)/25)*AA78+(1-EXP(-LN(2)/25))/(LN(2)/25)*Calculateur!V79*Calculateur!X79*VLOOKUP('Données projet'!$B$9,Paramètres!$A$1:$I$89,3,0)*0.475*44/12</f>
        <v>4.3881129288829994</v>
      </c>
      <c r="AB79" s="21">
        <f>EXP(-LN(2)/2)*AB78+(1-EXP(-LN(2)/2))/(LN(2)/2)*V79*Y79*VLOOKUP('Données projet'!$B$9,Paramètres!$A$1:$I$89,3,0)*0.475*44/12</f>
        <v>7.060415701656954E-6</v>
      </c>
      <c r="AC79" s="22">
        <f t="shared" si="57"/>
        <v>6.6400958869362219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2.8</v>
      </c>
      <c r="N80" s="13">
        <f>IF('Données projet'!$A$36&gt;35,N79+M80-V79,IF(A80&lt;'Données projet'!$A$36,$K$205^A80,IF(A80='Données projet'!$A$36,'Données projet'!$B$36,N79+M80-V79)))</f>
        <v>266.5999999999998</v>
      </c>
      <c r="O80" s="13">
        <f>N80*VLOOKUP('Données projet'!$B$9,Paramètres!$A$1:$I$89,3,0)*VLOOKUP('Données projet'!$B$9,Paramètres!$A$1:$I$89,5,0)</f>
        <v>216.26591999999982</v>
      </c>
      <c r="P80" s="13">
        <f t="shared" si="87"/>
        <v>53.302495062173776</v>
      </c>
      <c r="Q80" s="20">
        <f t="shared" si="54"/>
        <v>469.49832289995226</v>
      </c>
      <c r="R80" s="59">
        <f t="shared" si="55"/>
        <v>739.00848212422454</v>
      </c>
      <c r="S80" s="59">
        <f ca="1">AVERAGE(OFFSET($R$3,0,0,'Données projet'!$E$9+1,1))-AVERAGE(OFFSET($H$3,0,0,'Données projet'!$E$9+1,1))</f>
        <v>328.16808330103993</v>
      </c>
      <c r="T80" s="59">
        <f t="shared" si="88"/>
        <v>316.57989180609252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2.2078160238545181</v>
      </c>
      <c r="AA80" s="21">
        <f>EXP(-LN(2)/25)*AA79+(1-EXP(-LN(2)/25))/(LN(2)/25)*Calculateur!V80*Calculateur!X80*VLOOKUP('Données projet'!$B$9,Paramètres!$A$1:$I$89,3,0)*0.475*44/12</f>
        <v>4.2681197500818637</v>
      </c>
      <c r="AB80" s="21">
        <f>EXP(-LN(2)/2)*AB79+(1-EXP(-LN(2)/2))/(LN(2)/2)*V80*Y80*VLOOKUP('Données projet'!$B$9,Paramètres!$A$1:$I$89,3,0)*0.475*44/12</f>
        <v>4.9924678206376081E-6</v>
      </c>
      <c r="AC80" s="22">
        <f t="shared" si="57"/>
        <v>6.4759407664042019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2.8</v>
      </c>
      <c r="N81" s="13">
        <f>IF('Données projet'!$A$36&gt;35,N80+M81-V80,IF(A81&lt;'Données projet'!$A$36,$K$205^A81,IF(A81='Données projet'!$A$36,'Données projet'!$B$36,N80+M81-V80)))</f>
        <v>269.39999999999981</v>
      </c>
      <c r="O81" s="13">
        <f>N81*VLOOKUP('Données projet'!$B$9,Paramètres!$A$1:$I$89,3,0)*VLOOKUP('Données projet'!$B$9,Paramètres!$A$1:$I$89,5,0)</f>
        <v>218.53727999999987</v>
      </c>
      <c r="P81" s="13">
        <f t="shared" si="87"/>
        <v>53.796847431080771</v>
      </c>
      <c r="Q81" s="20">
        <f t="shared" si="54"/>
        <v>474.31527194246542</v>
      </c>
      <c r="R81" s="59">
        <f t="shared" si="55"/>
        <v>744.23870997689164</v>
      </c>
      <c r="S81" s="59">
        <f ca="1">AVERAGE(OFFSET($R$3,0,0,'Données projet'!$E$9+1,1))-AVERAGE(OFFSET($H$3,0,0,'Données projet'!$E$9+1,1))</f>
        <v>328.16808330103993</v>
      </c>
      <c r="T81" s="59">
        <f t="shared" si="88"/>
        <v>316.57989180609252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2.1645220982615365</v>
      </c>
      <c r="AA81" s="21">
        <f>EXP(-LN(2)/25)*AA80+(1-EXP(-LN(2)/25))/(LN(2)/25)*Calculateur!V81*Calculateur!X81*VLOOKUP('Données projet'!$B$9,Paramètres!$A$1:$I$89,3,0)*0.475*44/12</f>
        <v>4.1514077910652123</v>
      </c>
      <c r="AB81" s="21">
        <f>EXP(-LN(2)/2)*AB80+(1-EXP(-LN(2)/2))/(LN(2)/2)*V81*Y81*VLOOKUP('Données projet'!$B$9,Paramètres!$A$1:$I$89,3,0)*0.475*44/12</f>
        <v>3.530207850828477E-6</v>
      </c>
      <c r="AC81" s="22">
        <f t="shared" si="57"/>
        <v>6.3159334195345993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2.8</v>
      </c>
      <c r="N82" s="13">
        <f>IF('Données projet'!$A$36&gt;35,N81+M82-V81,IF(A82&lt;'Données projet'!$A$36,$K$205^A82,IF(A82='Données projet'!$A$36,'Données projet'!$B$36,N81+M82-V81)))</f>
        <v>272.19999999999982</v>
      </c>
      <c r="O82" s="13">
        <f>N82*VLOOKUP('Données projet'!$B$9,Paramètres!$A$1:$I$89,3,0)*VLOOKUP('Données projet'!$B$9,Paramètres!$A$1:$I$89,5,0)</f>
        <v>220.80863999999985</v>
      </c>
      <c r="P82" s="13">
        <f t="shared" si="87"/>
        <v>54.290602082955985</v>
      </c>
      <c r="Q82" s="20">
        <f t="shared" si="54"/>
        <v>479.13117996114801</v>
      </c>
      <c r="R82" s="59">
        <f t="shared" si="55"/>
        <v>749.46072734232496</v>
      </c>
      <c r="S82" s="59">
        <f ca="1">AVERAGE(OFFSET($R$3,0,0,'Données projet'!$E$9+1,1))-AVERAGE(OFFSET($H$3,0,0,'Données projet'!$E$9+1,1))</f>
        <v>328.16808330103993</v>
      </c>
      <c r="T82" s="59">
        <f t="shared" si="88"/>
        <v>316.57989180609252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2.1220771401427458</v>
      </c>
      <c r="AA82" s="21">
        <f>EXP(-LN(2)/25)*AA81+(1-EXP(-LN(2)/25))/(LN(2)/25)*Calculateur!V82*Calculateur!X82*VLOOKUP('Données projet'!$B$9,Paramètres!$A$1:$I$89,3,0)*0.475*44/12</f>
        <v>4.0378873267054862</v>
      </c>
      <c r="AB82" s="21">
        <f>EXP(-LN(2)/2)*AB81+(1-EXP(-LN(2)/2))/(LN(2)/2)*V82*Y82*VLOOKUP('Données projet'!$B$9,Paramètres!$A$1:$I$89,3,0)*0.475*44/12</f>
        <v>2.496233910318804E-6</v>
      </c>
      <c r="AC82" s="22">
        <f t="shared" si="57"/>
        <v>6.1599669630821419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275</v>
      </c>
      <c r="L83" s="12">
        <f>VLOOKUP(A83,'Données projet'!$A$35:$I$55,9,0)</f>
        <v>2.8</v>
      </c>
      <c r="M83" s="12">
        <f t="array" ref="M83">INDEX(L:L,MIN(IF(ISNUMBER(L83:L279),ROW(L83:L279),"")))</f>
        <v>2.8</v>
      </c>
      <c r="N83" s="13">
        <f>IF('Données projet'!$A$36&gt;35,N82+M83-V82,IF(A83&lt;'Données projet'!$A$36,$K$205^A83,IF(A83='Données projet'!$A$36,'Données projet'!$B$36,N82+M83-V82)))</f>
        <v>274.99999999999983</v>
      </c>
      <c r="O83" s="13">
        <f>N83*VLOOKUP('Données projet'!$B$9,Paramètres!$A$1:$I$89,3,0)*VLOOKUP('Données projet'!$B$9,Paramètres!$A$1:$I$89,5,0)</f>
        <v>223.07999999999987</v>
      </c>
      <c r="P83" s="13">
        <f t="shared" si="87"/>
        <v>54.783765878062617</v>
      </c>
      <c r="Q83" s="20">
        <f t="shared" si="54"/>
        <v>483.94605890429216</v>
      </c>
      <c r="R83" s="59">
        <f t="shared" si="55"/>
        <v>754.67467054297822</v>
      </c>
      <c r="S83" s="59">
        <f ca="1">AVERAGE(OFFSET($R$3,0,0,'Données projet'!$E$9+1,1))-AVERAGE(OFFSET($H$3,0,0,'Données projet'!$E$9+1,1))</f>
        <v>328.16808330103993</v>
      </c>
      <c r="T83" s="59">
        <f t="shared" si="88"/>
        <v>316.57989180609252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275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2.0804645017637968</v>
      </c>
      <c r="AA83" s="21">
        <f>EXP(-LN(2)/25)*AA82+(1-EXP(-LN(2)/25))/(LN(2)/25)*Calculateur!V83*Calculateur!X83*VLOOKUP('Données projet'!$B$9,Paramètres!$A$1:$I$89,3,0)*0.475*44/12</f>
        <v>3.9274710854134591</v>
      </c>
      <c r="AB83" s="21">
        <f>EXP(-LN(2)/2)*AB82+(1-EXP(-LN(2)/2))/(LN(2)/2)*V83*Y83*VLOOKUP('Données projet'!$B$9,Paramètres!$A$1:$I$89,3,0)*0.475*44/12</f>
        <v>1.7651039254142385E-6</v>
      </c>
      <c r="AC83" s="22">
        <f t="shared" si="57"/>
        <v>6.0079373522811812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-1.383341441396624E-13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328.16808330103993</v>
      </c>
      <c r="T84" s="59">
        <f t="shared" si="88"/>
        <v>316.57989180609252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2.0396678618422555</v>
      </c>
      <c r="AA84" s="21">
        <f>EXP(-LN(2)/25)*AA83+(1-EXP(-LN(2)/25))/(LN(2)/25)*Calculateur!V84*Calculateur!X84*VLOOKUP('Données projet'!$B$9,Paramètres!$A$1:$I$89,3,0)*0.475*44/12</f>
        <v>3.8200741820460999</v>
      </c>
      <c r="AB84" s="21">
        <f>EXP(-LN(2)/2)*AB83+(1-EXP(-LN(2)/2))/(LN(2)/2)*V84*Y84*VLOOKUP('Données projet'!$B$9,Paramètres!$A$1:$I$89,3,0)*0.475*44/12</f>
        <v>1.248116955159402E-6</v>
      </c>
      <c r="AC84" s="22">
        <f t="shared" si="57"/>
        <v>5.8597432920053105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-1.383341441396624E-13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328.16808330103993</v>
      </c>
      <c r="T85" s="59">
        <f t="shared" si="88"/>
        <v>316.57989180609252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1.9996712191460824</v>
      </c>
      <c r="AA85" s="21">
        <f>EXP(-LN(2)/25)*AA84+(1-EXP(-LN(2)/25))/(LN(2)/25)*Calculateur!V85*Calculateur!X85*VLOOKUP('Données projet'!$B$9,Paramètres!$A$1:$I$89,3,0)*0.475*44/12</f>
        <v>3.7156140526490788</v>
      </c>
      <c r="AB85" s="21">
        <f>EXP(-LN(2)/2)*AB84+(1-EXP(-LN(2)/2))/(LN(2)/2)*V85*Y85*VLOOKUP('Données projet'!$B$9,Paramètres!$A$1:$I$89,3,0)*0.475*44/12</f>
        <v>8.8255196270711925E-7</v>
      </c>
      <c r="AC85" s="22">
        <f t="shared" si="57"/>
        <v>5.7152861543471243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-1.383341441396624E-13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328.16808330103993</v>
      </c>
      <c r="T86" s="59">
        <f t="shared" si="88"/>
        <v>316.57989180609252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1.960458886217638</v>
      </c>
      <c r="AA86" s="21">
        <f>EXP(-LN(2)/25)*AA85+(1-EXP(-LN(2)/25))/(LN(2)/25)*Calculateur!V86*Calculateur!X86*VLOOKUP('Données projet'!$B$9,Paramètres!$A$1:$I$89,3,0)*0.475*44/12</f>
        <v>3.6140103909837391</v>
      </c>
      <c r="AB86" s="21">
        <f>EXP(-LN(2)/2)*AB85+(1-EXP(-LN(2)/2))/(LN(2)/2)*V86*Y86*VLOOKUP('Données projet'!$B$9,Paramètres!$A$1:$I$89,3,0)*0.475*44/12</f>
        <v>6.2405847757970101E-7</v>
      </c>
      <c r="AC86" s="22">
        <f t="shared" si="57"/>
        <v>5.5744699012598549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-1.383341441396624E-13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328.16808330103993</v>
      </c>
      <c r="T87" s="59">
        <f t="shared" si="88"/>
        <v>316.57989180609252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1.922015483220759</v>
      </c>
      <c r="AA87" s="21">
        <f>EXP(-LN(2)/25)*AA86+(1-EXP(-LN(2)/25))/(LN(2)/25)*Calculateur!V87*Calculateur!X87*VLOOKUP('Données projet'!$B$9,Paramètres!$A$1:$I$89,3,0)*0.475*44/12</f>
        <v>3.5151850867897423</v>
      </c>
      <c r="AB87" s="21">
        <f>EXP(-LN(2)/2)*AB86+(1-EXP(-LN(2)/2))/(LN(2)/2)*V87*Y87*VLOOKUP('Données projet'!$B$9,Paramètres!$A$1:$I$89,3,0)*0.475*44/12</f>
        <v>4.4127598135355962E-7</v>
      </c>
      <c r="AC87" s="22">
        <f t="shared" si="57"/>
        <v>5.4372010112864828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-1.383341441396624E-13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328.16808330103993</v>
      </c>
      <c r="T88" s="59">
        <f t="shared" si="88"/>
        <v>316.57989180609252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1.8843259319084884</v>
      </c>
      <c r="AA88" s="21">
        <f>EXP(-LN(2)/25)*AA87+(1-EXP(-LN(2)/25))/(LN(2)/25)*Calculateur!V88*Calculateur!X88*VLOOKUP('Données projet'!$B$9,Paramètres!$A$1:$I$89,3,0)*0.475*44/12</f>
        <v>3.419062165735927</v>
      </c>
      <c r="AB88" s="21">
        <f>EXP(-LN(2)/2)*AB87+(1-EXP(-LN(2)/2))/(LN(2)/2)*V88*Y88*VLOOKUP('Données projet'!$B$9,Paramètres!$A$1:$I$89,3,0)*0.475*44/12</f>
        <v>3.120292387898505E-7</v>
      </c>
      <c r="AC88" s="22">
        <f t="shared" si="57"/>
        <v>5.3033884096736541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-1.383341441396624E-13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328.16808330103993</v>
      </c>
      <c r="T89" s="59">
        <f t="shared" si="88"/>
        <v>316.57989180609252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1.8473754497090951</v>
      </c>
      <c r="AA89" s="21">
        <f>EXP(-LN(2)/25)*AA88+(1-EXP(-LN(2)/25))/(LN(2)/25)*Calculateur!V89*Calculateur!X89*VLOOKUP('Données projet'!$B$9,Paramètres!$A$1:$I$89,3,0)*0.475*44/12</f>
        <v>3.325567731013213</v>
      </c>
      <c r="AB89" s="21">
        <f>EXP(-LN(2)/2)*AB88+(1-EXP(-LN(2)/2))/(LN(2)/2)*V89*Y89*VLOOKUP('Données projet'!$B$9,Paramètres!$A$1:$I$89,3,0)*0.475*44/12</f>
        <v>2.2063799067677981E-7</v>
      </c>
      <c r="AC89" s="22">
        <f t="shared" si="57"/>
        <v>5.1729434013602988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-1.383341441396624E-13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328.16808330103993</v>
      </c>
      <c r="T90" s="59">
        <f t="shared" si="88"/>
        <v>316.57989180609252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1.8111495439280629</v>
      </c>
      <c r="AA90" s="21">
        <f>EXP(-LN(2)/25)*AA89+(1-EXP(-LN(2)/25))/(LN(2)/25)*Calculateur!V90*Calculateur!X90*VLOOKUP('Données projet'!$B$9,Paramètres!$A$1:$I$89,3,0)*0.475*44/12</f>
        <v>3.2346299065246504</v>
      </c>
      <c r="AB90" s="21">
        <f>EXP(-LN(2)/2)*AB89+(1-EXP(-LN(2)/2))/(LN(2)/2)*V90*Y90*VLOOKUP('Données projet'!$B$9,Paramètres!$A$1:$I$89,3,0)*0.475*44/12</f>
        <v>1.5601461939492525E-7</v>
      </c>
      <c r="AC90" s="22">
        <f t="shared" si="57"/>
        <v>5.0457796064673319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-1.383341441396624E-13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328.16808330103993</v>
      </c>
      <c r="T91" s="59">
        <f t="shared" si="88"/>
        <v>316.57989180609252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1.7756340060637761</v>
      </c>
      <c r="AA91" s="21">
        <f>EXP(-LN(2)/25)*AA90+(1-EXP(-LN(2)/25))/(LN(2)/25)*Calculateur!V91*Calculateur!X91*VLOOKUP('Données projet'!$B$9,Paramètres!$A$1:$I$89,3,0)*0.475*44/12</f>
        <v>3.1461787816289397</v>
      </c>
      <c r="AB91" s="21">
        <f>EXP(-LN(2)/2)*AB90+(1-EXP(-LN(2)/2))/(LN(2)/2)*V91*Y91*VLOOKUP('Données projet'!$B$9,Paramètres!$A$1:$I$89,3,0)*0.475*44/12</f>
        <v>1.1031899533838991E-7</v>
      </c>
      <c r="AC91" s="22">
        <f t="shared" si="57"/>
        <v>4.9218128980117113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-1.383341441396624E-13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328.16808330103993</v>
      </c>
      <c r="T92" s="59">
        <f t="shared" si="88"/>
        <v>316.57989180609252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1.7408149062346687</v>
      </c>
      <c r="AA92" s="21">
        <f>EXP(-LN(2)/25)*AA91+(1-EXP(-LN(2)/25))/(LN(2)/25)*Calculateur!V92*Calculateur!X92*VLOOKUP('Données projet'!$B$9,Paramètres!$A$1:$I$89,3,0)*0.475*44/12</f>
        <v>3.0601463573949448</v>
      </c>
      <c r="AB92" s="21">
        <f>EXP(-LN(2)/2)*AB91+(1-EXP(-LN(2)/2))/(LN(2)/2)*V92*Y92*VLOOKUP('Données projet'!$B$9,Paramètres!$A$1:$I$89,3,0)*0.475*44/12</f>
        <v>7.8007309697462626E-8</v>
      </c>
      <c r="AC92" s="22">
        <f t="shared" si="57"/>
        <v>4.8009613416369232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-1.383341441396624E-13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328.16808330103993</v>
      </c>
      <c r="T93" s="59">
        <f t="shared" si="88"/>
        <v>316.57989180609252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1.7066785877156565</v>
      </c>
      <c r="AA93" s="21">
        <f>EXP(-LN(2)/25)*AA92+(1-EXP(-LN(2)/25))/(LN(2)/25)*Calculateur!V93*Calculateur!X93*VLOOKUP('Données projet'!$B$9,Paramètres!$A$1:$I$89,3,0)*0.475*44/12</f>
        <v>2.976466494325877</v>
      </c>
      <c r="AB93" s="21">
        <f>EXP(-LN(2)/2)*AB92+(1-EXP(-LN(2)/2))/(LN(2)/2)*V93*Y93*VLOOKUP('Données projet'!$B$9,Paramètres!$A$1:$I$89,3,0)*0.475*44/12</f>
        <v>5.5159497669194953E-8</v>
      </c>
      <c r="AC93" s="22">
        <f t="shared" si="57"/>
        <v>4.6831451372010306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-1.383341441396624E-13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328.16808330103993</v>
      </c>
      <c r="T94" s="59">
        <f t="shared" si="88"/>
        <v>316.57989180609252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1.6732116615817036</v>
      </c>
      <c r="AA94" s="21">
        <f>EXP(-LN(2)/25)*AA93+(1-EXP(-LN(2)/25))/(LN(2)/25)*Calculateur!V94*Calculateur!X94*VLOOKUP('Données projet'!$B$9,Paramètres!$A$1:$I$89,3,0)*0.475*44/12</f>
        <v>2.8950748615129656</v>
      </c>
      <c r="AB94" s="21">
        <f>EXP(-LN(2)/2)*AB93+(1-EXP(-LN(2)/2))/(LN(2)/2)*V94*Y94*VLOOKUP('Données projet'!$B$9,Paramètres!$A$1:$I$89,3,0)*0.475*44/12</f>
        <v>3.9003654848731313E-8</v>
      </c>
      <c r="AC94" s="22">
        <f t="shared" si="57"/>
        <v>4.568286562098324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-1.383341441396624E-13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328.16808330103993</v>
      </c>
      <c r="T95" s="59">
        <f t="shared" si="88"/>
        <v>316.57989180609252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1.6404010014564283</v>
      </c>
      <c r="AA95" s="21">
        <f>EXP(-LN(2)/25)*AA94+(1-EXP(-LN(2)/25))/(LN(2)/25)*Calculateur!V95*Calculateur!X95*VLOOKUP('Données projet'!$B$9,Paramètres!$A$1:$I$89,3,0)*0.475*44/12</f>
        <v>2.8159088871795235</v>
      </c>
      <c r="AB95" s="21">
        <f>EXP(-LN(2)/2)*AB94+(1-EXP(-LN(2)/2))/(LN(2)/2)*V95*Y95*VLOOKUP('Données projet'!$B$9,Paramètres!$A$1:$I$89,3,0)*0.475*44/12</f>
        <v>2.7579748834597476E-8</v>
      </c>
      <c r="AC95" s="22">
        <f t="shared" si="57"/>
        <v>4.4563099162157007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-1.383341441396624E-13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328.16808330103993</v>
      </c>
      <c r="T96" s="59">
        <f t="shared" si="88"/>
        <v>316.57989180609252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1.6082337383636829</v>
      </c>
      <c r="AA96" s="21">
        <f>EXP(-LN(2)/25)*AA95+(1-EXP(-LN(2)/25))/(LN(2)/25)*Calculateur!V96*Calculateur!X96*VLOOKUP('Données projet'!$B$9,Paramètres!$A$1:$I$89,3,0)*0.475*44/12</f>
        <v>2.7389077105773869</v>
      </c>
      <c r="AB96" s="21">
        <f>EXP(-LN(2)/2)*AB95+(1-EXP(-LN(2)/2))/(LN(2)/2)*V96*Y96*VLOOKUP('Données projet'!$B$9,Paramètres!$A$1:$I$89,3,0)*0.475*44/12</f>
        <v>1.9501827424365657E-8</v>
      </c>
      <c r="AC96" s="22">
        <f t="shared" si="57"/>
        <v>4.3471414684428975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-1.383341441396624E-13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328.16808330103993</v>
      </c>
      <c r="T97" s="59">
        <f t="shared" si="88"/>
        <v>316.57989180609252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1.5766972556800931</v>
      </c>
      <c r="AA97" s="21">
        <f>EXP(-LN(2)/25)*AA96+(1-EXP(-LN(2)/25))/(LN(2)/25)*Calculateur!V97*Calculateur!X97*VLOOKUP('Données projet'!$B$9,Paramètres!$A$1:$I$89,3,0)*0.475*44/12</f>
        <v>2.6640121351987518</v>
      </c>
      <c r="AB97" s="21">
        <f>EXP(-LN(2)/2)*AB96+(1-EXP(-LN(2)/2))/(LN(2)/2)*V97*Y97*VLOOKUP('Données projet'!$B$9,Paramètres!$A$1:$I$89,3,0)*0.475*44/12</f>
        <v>1.3789874417298738E-8</v>
      </c>
      <c r="AC97" s="22">
        <f t="shared" si="57"/>
        <v>4.2407094046687188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-1.383341441396624E-13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328.16808330103993</v>
      </c>
      <c r="T98" s="59">
        <f t="shared" si="88"/>
        <v>316.57989180609252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1.5457791841865733</v>
      </c>
      <c r="AA98" s="21">
        <f>EXP(-LN(2)/25)*AA97+(1-EXP(-LN(2)/25))/(LN(2)/25)*Calculateur!V98*Calculateur!X98*VLOOKUP('Données projet'!$B$9,Paramètres!$A$1:$I$89,3,0)*0.475*44/12</f>
        <v>2.5911645832674326</v>
      </c>
      <c r="AB98" s="21">
        <f>EXP(-LN(2)/2)*AB97+(1-EXP(-LN(2)/2))/(LN(2)/2)*V98*Y98*VLOOKUP('Données projet'!$B$9,Paramètres!$A$1:$I$89,3,0)*0.475*44/12</f>
        <v>9.7509137121828283E-9</v>
      </c>
      <c r="AC98" s="22">
        <f t="shared" si="57"/>
        <v>4.1369437772049196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-1.383341441396624E-13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328.16808330103993</v>
      </c>
      <c r="T99" s="59">
        <f t="shared" si="88"/>
        <v>316.57989180609252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1.51546739721688</v>
      </c>
      <c r="AA99" s="21">
        <f>EXP(-LN(2)/25)*AA98+(1-EXP(-LN(2)/25))/(LN(2)/25)*Calculateur!V99*Calculateur!X99*VLOOKUP('Données projet'!$B$9,Paramètres!$A$1:$I$89,3,0)*0.475*44/12</f>
        <v>2.5203090514745612</v>
      </c>
      <c r="AB99" s="21">
        <f>EXP(-LN(2)/2)*AB98+(1-EXP(-LN(2)/2))/(LN(2)/2)*V99*Y99*VLOOKUP('Données projet'!$B$9,Paramètres!$A$1:$I$89,3,0)*0.475*44/12</f>
        <v>6.8949372086493691E-9</v>
      </c>
      <c r="AC99" s="22">
        <f t="shared" si="57"/>
        <v>4.0357764555863787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-1.383341441396624E-13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328.16808330103993</v>
      </c>
      <c r="T100" s="59">
        <f t="shared" si="88"/>
        <v>316.57989180609252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1.4857500059012978</v>
      </c>
      <c r="AA100" s="21">
        <f>EXP(-LN(2)/25)*AA99+(1-EXP(-LN(2)/25))/(LN(2)/25)*Calculateur!V100*Calculateur!X100*VLOOKUP('Données projet'!$B$9,Paramètres!$A$1:$I$89,3,0)*0.475*44/12</f>
        <v>2.4513910679246966</v>
      </c>
      <c r="AB100" s="21">
        <f>EXP(-LN(2)/2)*AB99+(1-EXP(-LN(2)/2))/(LN(2)/2)*V100*Y100*VLOOKUP('Données projet'!$B$9,Paramètres!$A$1:$I$89,3,0)*0.475*44/12</f>
        <v>4.8754568560914141E-9</v>
      </c>
      <c r="AC100" s="22">
        <f t="shared" si="57"/>
        <v>3.9371410787014516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-1.383341441396624E-13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328.16808330103993</v>
      </c>
      <c r="T101" s="59">
        <f t="shared" si="88"/>
        <v>316.57989180609252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1.4566153545035954</v>
      </c>
      <c r="AA101" s="21">
        <f>EXP(-LN(2)/25)*AA100+(1-EXP(-LN(2)/25))/(LN(2)/25)*Calculateur!V101*Calculateur!X101*VLOOKUP('Données projet'!$B$9,Paramètres!$A$1:$I$89,3,0)*0.475*44/12</f>
        <v>2.3843576502592421</v>
      </c>
      <c r="AB101" s="21">
        <f>EXP(-LN(2)/2)*AB100+(1-EXP(-LN(2)/2))/(LN(2)/2)*V101*Y101*VLOOKUP('Données projet'!$B$9,Paramètres!$A$1:$I$89,3,0)*0.475*44/12</f>
        <v>3.4474686043246846E-9</v>
      </c>
      <c r="AC101" s="22">
        <f t="shared" si="57"/>
        <v>3.8409730082103057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-1.383341441396624E-13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328.16808330103993</v>
      </c>
      <c r="T102" s="59">
        <f t="shared" si="88"/>
        <v>316.57989180609252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1.4280520158494192</v>
      </c>
      <c r="AA102" s="21">
        <f>EXP(-LN(2)/25)*AA101+(1-EXP(-LN(2)/25))/(LN(2)/25)*Calculateur!V102*Calculateur!X102*VLOOKUP('Données projet'!$B$9,Paramètres!$A$1:$I$89,3,0)*0.475*44/12</f>
        <v>2.3191572649249839</v>
      </c>
      <c r="AB102" s="21">
        <f>EXP(-LN(2)/2)*AB101+(1-EXP(-LN(2)/2))/(LN(2)/2)*V102*Y102*VLOOKUP('Données projet'!$B$9,Paramètres!$A$1:$I$89,3,0)*0.475*44/12</f>
        <v>2.4377284280457071E-9</v>
      </c>
      <c r="AC102" s="22">
        <f t="shared" si="57"/>
        <v>3.7472092832121313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-1.383341441396624E-13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328.16808330103993</v>
      </c>
      <c r="T103" s="59">
        <f t="shared" si="88"/>
        <v>316.57989180609252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1.4000487868443352</v>
      </c>
      <c r="AA103" s="21">
        <f>EXP(-LN(2)/25)*AA102+(1-EXP(-LN(2)/25))/(LN(2)/25)*Calculateur!V103*Calculateur!X103*VLOOKUP('Données projet'!$B$9,Paramètres!$A$1:$I$89,3,0)*0.475*44/12</f>
        <v>2.25573978755643</v>
      </c>
      <c r="AB103" s="21">
        <f>EXP(-LN(2)/2)*AB102+(1-EXP(-LN(2)/2))/(LN(2)/2)*V103*Y103*VLOOKUP('Données projet'!$B$9,Paramètres!$A$1:$I$89,3,0)*0.475*44/12</f>
        <v>1.7237343021623423E-9</v>
      </c>
      <c r="AC103" s="22">
        <f t="shared" si="57"/>
        <v>3.6557885761244999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-1.383341441396624E-13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328.16808330103993</v>
      </c>
      <c r="T104" s="59">
        <f t="shared" si="88"/>
        <v>316.57989180609252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1.3725946840797576</v>
      </c>
      <c r="AA104" s="21">
        <f>EXP(-LN(2)/25)*AA103+(1-EXP(-LN(2)/25))/(LN(2)/25)*Calculateur!V104*Calculateur!X104*VLOOKUP('Données projet'!$B$9,Paramètres!$A$1:$I$89,3,0)*0.475*44/12</f>
        <v>2.1940564644414997</v>
      </c>
      <c r="AB104" s="21">
        <f>EXP(-LN(2)/2)*AB103+(1-EXP(-LN(2)/2))/(LN(2)/2)*V104*Y104*VLOOKUP('Données projet'!$B$9,Paramètres!$A$1:$I$89,3,0)*0.475*44/12</f>
        <v>1.2188642140228535E-9</v>
      </c>
      <c r="AC104" s="22">
        <f t="shared" si="57"/>
        <v>3.5666511497401214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-1.383341441396624E-13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328.16808330103993</v>
      </c>
      <c r="T105" s="59">
        <f t="shared" si="88"/>
        <v>316.57989180609252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1.3456789395250441</v>
      </c>
      <c r="AA105" s="21">
        <f>EXP(-LN(2)/25)*AA104+(1-EXP(-LN(2)/25))/(LN(2)/25)*Calculateur!V105*Calculateur!X105*VLOOKUP('Données projet'!$B$9,Paramètres!$A$1:$I$89,3,0)*0.475*44/12</f>
        <v>2.1340598750409319</v>
      </c>
      <c r="AB105" s="21">
        <f>EXP(-LN(2)/2)*AB104+(1-EXP(-LN(2)/2))/(LN(2)/2)*V105*Y105*VLOOKUP('Données projet'!$B$9,Paramètres!$A$1:$I$89,3,0)*0.475*44/12</f>
        <v>8.6186715108117114E-10</v>
      </c>
      <c r="AC105" s="22">
        <f t="shared" si="57"/>
        <v>3.4797388154278428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-1.383341441396624E-13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328.16808330103993</v>
      </c>
      <c r="T106" s="59">
        <f t="shared" si="88"/>
        <v>316.57989180609252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1.3192909963040655</v>
      </c>
      <c r="AA106" s="21">
        <f>EXP(-LN(2)/25)*AA105+(1-EXP(-LN(2)/25))/(LN(2)/25)*Calculateur!V106*Calculateur!X106*VLOOKUP('Données projet'!$B$9,Paramètres!$A$1:$I$89,3,0)*0.475*44/12</f>
        <v>2.0757038955326061</v>
      </c>
      <c r="AB106" s="21">
        <f>EXP(-LN(2)/2)*AB105+(1-EXP(-LN(2)/2))/(LN(2)/2)*V106*Y106*VLOOKUP('Données projet'!$B$9,Paramètres!$A$1:$I$89,3,0)*0.475*44/12</f>
        <v>6.0943210701142677E-10</v>
      </c>
      <c r="AC106" s="22">
        <f t="shared" si="57"/>
        <v>3.3949948924461038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-1.383341441396624E-13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328.16808330103993</v>
      </c>
      <c r="T107" s="59">
        <f t="shared" si="88"/>
        <v>316.57989180609252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1.2934205045545941</v>
      </c>
      <c r="AA107" s="21">
        <f>EXP(-LN(2)/25)*AA106+(1-EXP(-LN(2)/25))/(LN(2)/25)*Calculateur!V107*Calculateur!X107*VLOOKUP('Données projet'!$B$9,Paramètres!$A$1:$I$89,3,0)*0.475*44/12</f>
        <v>2.0189436633527431</v>
      </c>
      <c r="AB107" s="21">
        <f>EXP(-LN(2)/2)*AB106+(1-EXP(-LN(2)/2))/(LN(2)/2)*V107*Y107*VLOOKUP('Données projet'!$B$9,Paramètres!$A$1:$I$89,3,0)*0.475*44/12</f>
        <v>4.3093357554058557E-10</v>
      </c>
      <c r="AC107" s="22">
        <f t="shared" si="57"/>
        <v>3.312364168338271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-1.383341441396624E-13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328.16808330103993</v>
      </c>
      <c r="T108" s="59">
        <f t="shared" si="88"/>
        <v>316.57989180609252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1.268057317368888</v>
      </c>
      <c r="AA108" s="21">
        <f>EXP(-LN(2)/25)*AA107+(1-EXP(-LN(2)/25))/(LN(2)/25)*Calculateur!V108*Calculateur!X108*VLOOKUP('Données projet'!$B$9,Paramètres!$A$1:$I$89,3,0)*0.475*44/12</f>
        <v>1.9637355427067296</v>
      </c>
      <c r="AB108" s="21">
        <f>EXP(-LN(2)/2)*AB107+(1-EXP(-LN(2)/2))/(LN(2)/2)*V108*Y108*VLOOKUP('Données projet'!$B$9,Paramètres!$A$1:$I$89,3,0)*0.475*44/12</f>
        <v>3.0471605350571338E-10</v>
      </c>
      <c r="AC108" s="22">
        <f t="shared" si="57"/>
        <v>3.2317928603803336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-1.383341441396624E-13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328.16808330103993</v>
      </c>
      <c r="T109" s="59">
        <f t="shared" si="88"/>
        <v>316.57989180609252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1.2431914868138769</v>
      </c>
      <c r="AA109" s="21">
        <f>EXP(-LN(2)/25)*AA108+(1-EXP(-LN(2)/25))/(LN(2)/25)*Calculateur!V109*Calculateur!X109*VLOOKUP('Données projet'!$B$9,Paramètres!$A$1:$I$89,3,0)*0.475*44/12</f>
        <v>1.91003709102305</v>
      </c>
      <c r="AB109" s="21">
        <f>EXP(-LN(2)/2)*AB108+(1-EXP(-LN(2)/2))/(LN(2)/2)*V109*Y109*VLOOKUP('Données projet'!$B$9,Paramètres!$A$1:$I$89,3,0)*0.475*44/12</f>
        <v>2.1546678777029278E-10</v>
      </c>
      <c r="AC109" s="22">
        <f t="shared" si="57"/>
        <v>3.1532285780523939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-1.383341441396624E-13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328.16808330103993</v>
      </c>
      <c r="T110" s="59">
        <f t="shared" si="88"/>
        <v>316.57989180609252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1.2188132600293906</v>
      </c>
      <c r="AA110" s="21">
        <f>EXP(-LN(2)/25)*AA109+(1-EXP(-LN(2)/25))/(LN(2)/25)*Calculateur!V110*Calculateur!X110*VLOOKUP('Données projet'!$B$9,Paramètres!$A$1:$I$89,3,0)*0.475*44/12</f>
        <v>1.8578070263245394</v>
      </c>
      <c r="AB110" s="21">
        <f>EXP(-LN(2)/2)*AB109+(1-EXP(-LN(2)/2))/(LN(2)/2)*V110*Y110*VLOOKUP('Données projet'!$B$9,Paramètres!$A$1:$I$89,3,0)*0.475*44/12</f>
        <v>1.5235802675285669E-10</v>
      </c>
      <c r="AC110" s="22">
        <f t="shared" si="57"/>
        <v>3.0766202865062882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-1.383341441396624E-13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328.16808330103993</v>
      </c>
      <c r="T111" s="59">
        <f t="shared" si="88"/>
        <v>316.57989180609252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1.194913075402898</v>
      </c>
      <c r="AA111" s="21">
        <f>EXP(-LN(2)/25)*AA110+(1-EXP(-LN(2)/25))/(LN(2)/25)*Calculateur!V111*Calculateur!X111*VLOOKUP('Données projet'!$B$9,Paramètres!$A$1:$I$89,3,0)*0.475*44/12</f>
        <v>1.8070051954918696</v>
      </c>
      <c r="AB111" s="21">
        <f>EXP(-LN(2)/2)*AB110+(1-EXP(-LN(2)/2))/(LN(2)/2)*V111*Y111*VLOOKUP('Données projet'!$B$9,Paramètres!$A$1:$I$89,3,0)*0.475*44/12</f>
        <v>1.0773339388514639E-10</v>
      </c>
      <c r="AC111" s="22">
        <f t="shared" si="57"/>
        <v>3.0019182710025012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-1.383341441396624E-13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328.16808330103993</v>
      </c>
      <c r="T112" s="59">
        <f t="shared" si="88"/>
        <v>316.57989180609252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1.1714815588192578</v>
      </c>
      <c r="AA112" s="21">
        <f>EXP(-LN(2)/25)*AA111+(1-EXP(-LN(2)/25))/(LN(2)/25)*Calculateur!V112*Calculateur!X112*VLOOKUP('Données projet'!$B$9,Paramètres!$A$1:$I$89,3,0)*0.475*44/12</f>
        <v>1.7575925433948711</v>
      </c>
      <c r="AB112" s="21">
        <f>EXP(-LN(2)/2)*AB111+(1-EXP(-LN(2)/2))/(LN(2)/2)*V112*Y112*VLOOKUP('Données projet'!$B$9,Paramètres!$A$1:$I$89,3,0)*0.475*44/12</f>
        <v>7.6179013376428346E-11</v>
      </c>
      <c r="AC112" s="22">
        <f t="shared" si="57"/>
        <v>2.9290741022903077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-1.383341441396624E-13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328.16808330103993</v>
      </c>
      <c r="T113" s="59">
        <f t="shared" si="88"/>
        <v>316.57989180609252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1.1485095199840087</v>
      </c>
      <c r="AA113" s="21">
        <f>EXP(-LN(2)/25)*AA112+(1-EXP(-LN(2)/25))/(LN(2)/25)*Calculateur!V113*Calculateur!X113*VLOOKUP('Données projet'!$B$9,Paramètres!$A$1:$I$89,3,0)*0.475*44/12</f>
        <v>1.7095310828679635</v>
      </c>
      <c r="AB113" s="21">
        <f>EXP(-LN(2)/2)*AB112+(1-EXP(-LN(2)/2))/(LN(2)/2)*V113*Y113*VLOOKUP('Données projet'!$B$9,Paramètres!$A$1:$I$89,3,0)*0.475*44/12</f>
        <v>5.3866696942573196E-11</v>
      </c>
      <c r="AC113" s="22">
        <f t="shared" si="57"/>
        <v>2.8580406029058389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-1.383341441396624E-13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328.16808330103993</v>
      </c>
      <c r="T114" s="59">
        <f t="shared" si="88"/>
        <v>316.57989180609252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1.1259879488187587</v>
      </c>
      <c r="AA114" s="21">
        <f>EXP(-LN(2)/25)*AA113+(1-EXP(-LN(2)/25))/(LN(2)/25)*Calculateur!V114*Calculateur!X114*VLOOKUP('Données projet'!$B$9,Paramètres!$A$1:$I$89,3,0)*0.475*44/12</f>
        <v>1.6627838655066065</v>
      </c>
      <c r="AB114" s="21">
        <f>EXP(-LN(2)/2)*AB113+(1-EXP(-LN(2)/2))/(LN(2)/2)*V114*Y114*VLOOKUP('Données projet'!$B$9,Paramètres!$A$1:$I$89,3,0)*0.475*44/12</f>
        <v>3.8089506688214173E-11</v>
      </c>
      <c r="AC114" s="22">
        <f t="shared" si="57"/>
        <v>2.7887718143634546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-1.383341441396624E-13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328.16808330103993</v>
      </c>
      <c r="T115" s="59">
        <f t="shared" si="88"/>
        <v>316.57989180609252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1.1039080119272573</v>
      </c>
      <c r="AA115" s="21">
        <f>EXP(-LN(2)/25)*AA114+(1-EXP(-LN(2)/25))/(LN(2)/25)*Calculateur!V115*Calculateur!X115*VLOOKUP('Données projet'!$B$9,Paramètres!$A$1:$I$89,3,0)*0.475*44/12</f>
        <v>1.6173149532623252</v>
      </c>
      <c r="AB115" s="21">
        <f>EXP(-LN(2)/2)*AB114+(1-EXP(-LN(2)/2))/(LN(2)/2)*V115*Y115*VLOOKUP('Données projet'!$B$9,Paramètres!$A$1:$I$89,3,0)*0.475*44/12</f>
        <v>2.6933348471286598E-11</v>
      </c>
      <c r="AC115" s="22">
        <f t="shared" si="57"/>
        <v>2.7212229652165161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-1.383341441396624E-13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328.16808330103993</v>
      </c>
      <c r="T116" s="59">
        <f t="shared" si="88"/>
        <v>316.57989180609252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1.0822610491307665</v>
      </c>
      <c r="AA116" s="21">
        <f>EXP(-LN(2)/25)*AA115+(1-EXP(-LN(2)/25))/(LN(2)/25)*Calculateur!V116*Calculateur!X116*VLOOKUP('Données projet'!$B$9,Paramètres!$A$1:$I$89,3,0)*0.475*44/12</f>
        <v>1.5730893908144699</v>
      </c>
      <c r="AB116" s="21">
        <f>EXP(-LN(2)/2)*AB115+(1-EXP(-LN(2)/2))/(LN(2)/2)*V116*Y116*VLOOKUP('Données projet'!$B$9,Paramètres!$A$1:$I$89,3,0)*0.475*44/12</f>
        <v>1.9044753344107086E-11</v>
      </c>
      <c r="AC116" s="22">
        <f t="shared" si="57"/>
        <v>2.6553504399642809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-1.383341441396624E-13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328.16808330103993</v>
      </c>
      <c r="T117" s="59">
        <f t="shared" si="88"/>
        <v>316.57989180609252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1.0610385700713714</v>
      </c>
      <c r="AA117" s="21">
        <f>EXP(-LN(2)/25)*AA116+(1-EXP(-LN(2)/25))/(LN(2)/25)*Calculateur!V117*Calculateur!X117*VLOOKUP('Données projet'!$B$9,Paramètres!$A$1:$I$89,3,0)*0.475*44/12</f>
        <v>1.5300731786974724</v>
      </c>
      <c r="AB117" s="21">
        <f>EXP(-LN(2)/2)*AB116+(1-EXP(-LN(2)/2))/(LN(2)/2)*V117*Y117*VLOOKUP('Données projet'!$B$9,Paramètres!$A$1:$I$89,3,0)*0.475*44/12</f>
        <v>1.3466674235643299E-11</v>
      </c>
      <c r="AC117" s="22">
        <f t="shared" si="57"/>
        <v>2.5911117487823105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-1.383341441396624E-13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328.16808330103993</v>
      </c>
      <c r="T118" s="59">
        <f t="shared" si="88"/>
        <v>316.57989180609252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1.0402322508818969</v>
      </c>
      <c r="AA118" s="21">
        <f>EXP(-LN(2)/25)*AA117+(1-EXP(-LN(2)/25))/(LN(2)/25)*Calculateur!V118*Calculateur!X118*VLOOKUP('Données projet'!$B$9,Paramètres!$A$1:$I$89,3,0)*0.475*44/12</f>
        <v>1.4882332471629385</v>
      </c>
      <c r="AB118" s="21">
        <f>EXP(-LN(2)/2)*AB117+(1-EXP(-LN(2)/2))/(LN(2)/2)*V118*Y118*VLOOKUP('Données projet'!$B$9,Paramètres!$A$1:$I$89,3,0)*0.475*44/12</f>
        <v>9.5223766720535432E-12</v>
      </c>
      <c r="AC118" s="22">
        <f t="shared" si="57"/>
        <v>2.5284654980543575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-1.383341441396624E-13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328.16808330103993</v>
      </c>
      <c r="T119" s="59">
        <f t="shared" si="88"/>
        <v>316.57989180609252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1.0198339309211264</v>
      </c>
      <c r="AA119" s="21">
        <f>EXP(-LN(2)/25)*AA118+(1-EXP(-LN(2)/25))/(LN(2)/25)*Calculateur!V119*Calculateur!X119*VLOOKUP('Données projet'!$B$9,Paramètres!$A$1:$I$89,3,0)*0.475*44/12</f>
        <v>1.4475374307564828</v>
      </c>
      <c r="AB119" s="21">
        <f>EXP(-LN(2)/2)*AB118+(1-EXP(-LN(2)/2))/(LN(2)/2)*V119*Y119*VLOOKUP('Données projet'!$B$9,Paramètres!$A$1:$I$89,3,0)*0.475*44/12</f>
        <v>6.7333371178216495E-12</v>
      </c>
      <c r="AC119" s="22">
        <f t="shared" si="57"/>
        <v>2.4673713616843425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-1.383341441396624E-13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328.16808330103993</v>
      </c>
      <c r="T120" s="59">
        <f t="shared" si="88"/>
        <v>316.57989180609252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0.99983560957303985</v>
      </c>
      <c r="AA120" s="21">
        <f>EXP(-LN(2)/25)*AA119+(1-EXP(-LN(2)/25))/(LN(2)/25)*Calculateur!V120*Calculateur!X120*VLOOKUP('Données projet'!$B$9,Paramètres!$A$1:$I$89,3,0)*0.475*44/12</f>
        <v>1.4079544435897617</v>
      </c>
      <c r="AB120" s="21">
        <f>EXP(-LN(2)/2)*AB119+(1-EXP(-LN(2)/2))/(LN(2)/2)*V120*Y120*VLOOKUP('Données projet'!$B$9,Paramètres!$A$1:$I$89,3,0)*0.475*44/12</f>
        <v>4.7611883360267716E-12</v>
      </c>
      <c r="AC120" s="22">
        <f t="shared" si="57"/>
        <v>2.4077900531675627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-1.383341441396624E-13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328.16808330103993</v>
      </c>
      <c r="T121" s="59">
        <f t="shared" si="88"/>
        <v>316.57989180609252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0.98022944310881777</v>
      </c>
      <c r="AA121" s="21">
        <f>EXP(-LN(2)/25)*AA120+(1-EXP(-LN(2)/25))/(LN(2)/25)*Calculateur!V121*Calculateur!X121*VLOOKUP('Données projet'!$B$9,Paramètres!$A$1:$I$89,3,0)*0.475*44/12</f>
        <v>1.3694538552886935</v>
      </c>
      <c r="AB121" s="21">
        <f>EXP(-LN(2)/2)*AB120+(1-EXP(-LN(2)/2))/(LN(2)/2)*V121*Y121*VLOOKUP('Données projet'!$B$9,Paramètres!$A$1:$I$89,3,0)*0.475*44/12</f>
        <v>3.3666685589108248E-12</v>
      </c>
      <c r="AC121" s="22">
        <f t="shared" si="57"/>
        <v>2.349683298400878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-1.383341441396624E-13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328.16808330103993</v>
      </c>
      <c r="T122" s="59">
        <f t="shared" si="88"/>
        <v>316.57989180609252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0.96100774161037827</v>
      </c>
      <c r="AA122" s="21">
        <f>EXP(-LN(2)/25)*AA121+(1-EXP(-LN(2)/25))/(LN(2)/25)*Calculateur!V122*Calculateur!X122*VLOOKUP('Données projet'!$B$9,Paramètres!$A$1:$I$89,3,0)*0.475*44/12</f>
        <v>1.3320060675993759</v>
      </c>
      <c r="AB122" s="21">
        <f>EXP(-LN(2)/2)*AB121+(1-EXP(-LN(2)/2))/(LN(2)/2)*V122*Y122*VLOOKUP('Données projet'!$B$9,Paramètres!$A$1:$I$89,3,0)*0.475*44/12</f>
        <v>2.3805941680133858E-12</v>
      </c>
      <c r="AC122" s="22">
        <f t="shared" si="57"/>
        <v>2.2930138092121348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-1.383341441396624E-13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328.16808330103993</v>
      </c>
      <c r="T123" s="59">
        <f t="shared" si="88"/>
        <v>316.57989180609252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0.94216296595424298</v>
      </c>
      <c r="AA123" s="21">
        <f>EXP(-LN(2)/25)*AA122+(1-EXP(-LN(2)/25))/(LN(2)/25)*Calculateur!V123*Calculateur!X123*VLOOKUP('Données projet'!$B$9,Paramètres!$A$1:$I$89,3,0)*0.475*44/12</f>
        <v>1.2955822916337163</v>
      </c>
      <c r="AB123" s="21">
        <f>EXP(-LN(2)/2)*AB122+(1-EXP(-LN(2)/2))/(LN(2)/2)*V123*Y123*VLOOKUP('Données projet'!$B$9,Paramètres!$A$1:$I$89,3,0)*0.475*44/12</f>
        <v>1.6833342794554124E-12</v>
      </c>
      <c r="AC123" s="22">
        <f t="shared" si="57"/>
        <v>2.2377452575896428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-1.383341441396624E-13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328.16808330103993</v>
      </c>
      <c r="T124" s="59">
        <f t="shared" si="88"/>
        <v>316.57989180609252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0.92368772485454631</v>
      </c>
      <c r="AA124" s="21">
        <f>EXP(-LN(2)/25)*AA123+(1-EXP(-LN(2)/25))/(LN(2)/25)*Calculateur!V124*Calculateur!X124*VLOOKUP('Données projet'!$B$9,Paramètres!$A$1:$I$89,3,0)*0.475*44/12</f>
        <v>1.2601545257372806</v>
      </c>
      <c r="AB124" s="21">
        <f>EXP(-LN(2)/2)*AB123+(1-EXP(-LN(2)/2))/(LN(2)/2)*V124*Y124*VLOOKUP('Données projet'!$B$9,Paramètres!$A$1:$I$89,3,0)*0.475*44/12</f>
        <v>1.1902970840066929E-12</v>
      </c>
      <c r="AC124" s="22">
        <f t="shared" si="57"/>
        <v>2.1838422505930168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-1.383341441396624E-13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328.16808330103993</v>
      </c>
      <c r="T125" s="59">
        <f t="shared" si="88"/>
        <v>316.57989180609252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0.90557477196403025</v>
      </c>
      <c r="AA125" s="21">
        <f>EXP(-LN(2)/25)*AA124+(1-EXP(-LN(2)/25))/(LN(2)/25)*Calculateur!V125*Calculateur!X125*VLOOKUP('Données projet'!$B$9,Paramètres!$A$1:$I$89,3,0)*0.475*44/12</f>
        <v>1.2256955339623483</v>
      </c>
      <c r="AB125" s="21">
        <f>EXP(-LN(2)/2)*AB124+(1-EXP(-LN(2)/2))/(LN(2)/2)*V125*Y125*VLOOKUP('Données projet'!$B$9,Paramètres!$A$1:$I$89,3,0)*0.475*44/12</f>
        <v>8.4166713972770619E-13</v>
      </c>
      <c r="AC125" s="22">
        <f t="shared" si="57"/>
        <v>2.1312703059272202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-1.383341441396624E-13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328.16808330103993</v>
      </c>
      <c r="T126" s="59">
        <f t="shared" si="88"/>
        <v>316.57989180609252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0.88781700303188682</v>
      </c>
      <c r="AA126" s="21">
        <f>EXP(-LN(2)/25)*AA125+(1-EXP(-LN(2)/25))/(LN(2)/25)*Calculateur!V126*Calculateur!X126*VLOOKUP('Données projet'!$B$9,Paramètres!$A$1:$I$89,3,0)*0.475*44/12</f>
        <v>1.192178825129621</v>
      </c>
      <c r="AB126" s="21">
        <f>EXP(-LN(2)/2)*AB125+(1-EXP(-LN(2)/2))/(LN(2)/2)*V126*Y126*VLOOKUP('Données projet'!$B$9,Paramètres!$A$1:$I$89,3,0)*0.475*44/12</f>
        <v>5.9514854200334645E-13</v>
      </c>
      <c r="AC126" s="22">
        <f t="shared" si="57"/>
        <v>2.0799958281621027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-1.383341441396624E-13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328.16808330103993</v>
      </c>
      <c r="T127" s="59">
        <f t="shared" si="88"/>
        <v>316.57989180609252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0.87040745311733325</v>
      </c>
      <c r="AA127" s="21">
        <f>EXP(-LN(2)/25)*AA126+(1-EXP(-LN(2)/25))/(LN(2)/25)*Calculateur!V127*Calculateur!X127*VLOOKUP('Données projet'!$B$9,Paramètres!$A$1:$I$89,3,0)*0.475*44/12</f>
        <v>1.1595786324624919</v>
      </c>
      <c r="AB127" s="21">
        <f>EXP(-LN(2)/2)*AB126+(1-EXP(-LN(2)/2))/(LN(2)/2)*V127*Y127*VLOOKUP('Données projet'!$B$9,Paramètres!$A$1:$I$89,3,0)*0.475*44/12</f>
        <v>4.208335698638531E-13</v>
      </c>
      <c r="AC127" s="22">
        <f t="shared" si="57"/>
        <v>2.0299860855802461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-1.383341441396624E-13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328.16808330103993</v>
      </c>
      <c r="T128" s="59">
        <f t="shared" si="88"/>
        <v>316.57989180609252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0.85333929385782714</v>
      </c>
      <c r="AA128" s="21">
        <f>EXP(-LN(2)/25)*AA127+(1-EXP(-LN(2)/25))/(LN(2)/25)*Calculateur!V128*Calculateur!X128*VLOOKUP('Données projet'!$B$9,Paramètres!$A$1:$I$89,3,0)*0.475*44/12</f>
        <v>1.127869893778215</v>
      </c>
      <c r="AB128" s="21">
        <f>EXP(-LN(2)/2)*AB127+(1-EXP(-LN(2)/2))/(LN(2)/2)*V128*Y128*VLOOKUP('Données projet'!$B$9,Paramètres!$A$1:$I$89,3,0)*0.475*44/12</f>
        <v>2.9757427100167323E-13</v>
      </c>
      <c r="AC128" s="22">
        <f t="shared" si="57"/>
        <v>1.9812091876363396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-1.383341441396624E-13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328.16808330103993</v>
      </c>
      <c r="T129" s="59">
        <f t="shared" si="88"/>
        <v>316.57989180609252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0.83660583079085071</v>
      </c>
      <c r="AA129" s="21">
        <f>EXP(-LN(2)/25)*AA128+(1-EXP(-LN(2)/25))/(LN(2)/25)*Calculateur!V129*Calculateur!X129*VLOOKUP('Données projet'!$B$9,Paramètres!$A$1:$I$89,3,0)*0.475*44/12</f>
        <v>1.0970282322207499</v>
      </c>
      <c r="AB129" s="21">
        <f>EXP(-LN(2)/2)*AB128+(1-EXP(-LN(2)/2))/(LN(2)/2)*V129*Y129*VLOOKUP('Données projet'!$B$9,Paramètres!$A$1:$I$89,3,0)*0.475*44/12</f>
        <v>2.1041678493192655E-13</v>
      </c>
      <c r="AC129" s="22">
        <f t="shared" si="57"/>
        <v>1.933634063011811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-1.383341441396624E-13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328.16808330103993</v>
      </c>
      <c r="T130" s="59">
        <f t="shared" si="88"/>
        <v>316.57989180609252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0.82020050072821304</v>
      </c>
      <c r="AA130" s="21">
        <f>EXP(-LN(2)/25)*AA129+(1-EXP(-LN(2)/25))/(LN(2)/25)*Calculateur!V130*Calculateur!X130*VLOOKUP('Données projet'!$B$9,Paramètres!$A$1:$I$89,3,0)*0.475*44/12</f>
        <v>1.0670299375204659</v>
      </c>
      <c r="AB130" s="21">
        <f>EXP(-LN(2)/2)*AB129+(1-EXP(-LN(2)/2))/(LN(2)/2)*V130*Y130*VLOOKUP('Données projet'!$B$9,Paramètres!$A$1:$I$89,3,0)*0.475*44/12</f>
        <v>1.4878713550083661E-13</v>
      </c>
      <c r="AC130" s="22">
        <f t="shared" si="57"/>
        <v>1.8872304382488276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-1.383341441396624E-13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328.16808330103993</v>
      </c>
      <c r="T131" s="59">
        <f t="shared" si="88"/>
        <v>316.57989180609252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0.80411686918184033</v>
      </c>
      <c r="AA131" s="21">
        <f>EXP(-LN(2)/25)*AA130+(1-EXP(-LN(2)/25))/(LN(2)/25)*Calculateur!V131*Calculateur!X131*VLOOKUP('Données projet'!$B$9,Paramètres!$A$1:$I$89,3,0)*0.475*44/12</f>
        <v>1.0378519477663031</v>
      </c>
      <c r="AB131" s="21">
        <f>EXP(-LN(2)/2)*AB130+(1-EXP(-LN(2)/2))/(LN(2)/2)*V131*Y131*VLOOKUP('Données projet'!$B$9,Paramètres!$A$1:$I$89,3,0)*0.475*44/12</f>
        <v>1.0520839246596327E-13</v>
      </c>
      <c r="AC131" s="22">
        <f t="shared" si="57"/>
        <v>1.8419688169482487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-1.383341441396624E-13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328.16808330103993</v>
      </c>
      <c r="T132" s="59">
        <f t="shared" si="88"/>
        <v>316.57989180609252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0.78834862784004545</v>
      </c>
      <c r="AA132" s="21">
        <f>EXP(-LN(2)/25)*AA131+(1-EXP(-LN(2)/25))/(LN(2)/25)*Calculateur!V132*Calculateur!X132*VLOOKUP('Données projet'!$B$9,Paramètres!$A$1:$I$89,3,0)*0.475*44/12</f>
        <v>1.0094718316763716</v>
      </c>
      <c r="AB132" s="21">
        <f>EXP(-LN(2)/2)*AB131+(1-EXP(-LN(2)/2))/(LN(2)/2)*V132*Y132*VLOOKUP('Données projet'!$B$9,Paramètres!$A$1:$I$89,3,0)*0.475*44/12</f>
        <v>7.4393567750418307E-14</v>
      </c>
      <c r="AC132" s="22">
        <f t="shared" ref="AC132:AC153" si="111">SUM(Z132:AB132)</f>
        <v>1.7978204595164915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-1.383341441396624E-13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328.16808330103993</v>
      </c>
      <c r="T133" s="59">
        <f t="shared" ref="T133:T196" si="142">$T$3</f>
        <v>316.57989180609252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0.77288959209328567</v>
      </c>
      <c r="AA133" s="21">
        <f>EXP(-LN(2)/25)*AA132+(1-EXP(-LN(2)/25))/(LN(2)/25)*Calculateur!V133*Calculateur!X133*VLOOKUP('Données projet'!$B$9,Paramètres!$A$1:$I$89,3,0)*0.475*44/12</f>
        <v>0.98186777135336478</v>
      </c>
      <c r="AB133" s="21">
        <f>EXP(-LN(2)/2)*AB132+(1-EXP(-LN(2)/2))/(LN(2)/2)*V133*Y133*VLOOKUP('Données projet'!$B$9,Paramètres!$A$1:$I$89,3,0)*0.475*44/12</f>
        <v>5.2604196232981637E-14</v>
      </c>
      <c r="AC133" s="22">
        <f t="shared" si="111"/>
        <v>1.7547573634467031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-1.383341441396624E-13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328.16808330103993</v>
      </c>
      <c r="T134" s="59">
        <f t="shared" si="142"/>
        <v>316.57989180609252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0.75773369860843909</v>
      </c>
      <c r="AA134" s="21">
        <f>EXP(-LN(2)/25)*AA133+(1-EXP(-LN(2)/25))/(LN(2)/25)*Calculateur!V134*Calculateur!X134*VLOOKUP('Données projet'!$B$9,Paramètres!$A$1:$I$89,3,0)*0.475*44/12</f>
        <v>0.95501854551152499</v>
      </c>
      <c r="AB134" s="21">
        <f>EXP(-LN(2)/2)*AB133+(1-EXP(-LN(2)/2))/(LN(2)/2)*V134*Y134*VLOOKUP('Données projet'!$B$9,Paramètres!$A$1:$I$89,3,0)*0.475*44/12</f>
        <v>3.7196783875209153E-14</v>
      </c>
      <c r="AC134" s="22">
        <f t="shared" si="111"/>
        <v>1.7127522441200014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-1.383341441396624E-13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328.16808330103993</v>
      </c>
      <c r="T135" s="59">
        <f t="shared" si="142"/>
        <v>316.57989180609252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0.74287500295064801</v>
      </c>
      <c r="AA135" s="21">
        <f>EXP(-LN(2)/25)*AA134+(1-EXP(-LN(2)/25))/(LN(2)/25)*Calculateur!V135*Calculateur!X135*VLOOKUP('Données projet'!$B$9,Paramètres!$A$1:$I$89,3,0)*0.475*44/12</f>
        <v>0.92890351316226971</v>
      </c>
      <c r="AB135" s="21">
        <f>EXP(-LN(2)/2)*AB134+(1-EXP(-LN(2)/2))/(LN(2)/2)*V135*Y135*VLOOKUP('Données projet'!$B$9,Paramètres!$A$1:$I$89,3,0)*0.475*44/12</f>
        <v>2.6302098116490818E-14</v>
      </c>
      <c r="AC135" s="22">
        <f t="shared" si="111"/>
        <v>1.6717785161129439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-1.383341441396624E-13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328.16808330103993</v>
      </c>
      <c r="T136" s="59">
        <f t="shared" si="142"/>
        <v>316.57989180609252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0.72830767725179679</v>
      </c>
      <c r="AA136" s="21">
        <f>EXP(-LN(2)/25)*AA135+(1-EXP(-LN(2)/25))/(LN(2)/25)*Calculateur!V136*Calculateur!X136*VLOOKUP('Données projet'!$B$9,Paramètres!$A$1:$I$89,3,0)*0.475*44/12</f>
        <v>0.90350259774593478</v>
      </c>
      <c r="AB136" s="21">
        <f>EXP(-LN(2)/2)*AB135+(1-EXP(-LN(2)/2))/(LN(2)/2)*V136*Y136*VLOOKUP('Données projet'!$B$9,Paramètres!$A$1:$I$89,3,0)*0.475*44/12</f>
        <v>1.8598391937604577E-14</v>
      </c>
      <c r="AC136" s="22">
        <f t="shared" si="111"/>
        <v>1.6318102749977501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-1.383341441396624E-13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328.16808330103993</v>
      </c>
      <c r="T137" s="59">
        <f t="shared" si="142"/>
        <v>316.57989180609252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0.71402600792470872</v>
      </c>
      <c r="AA137" s="21">
        <f>EXP(-LN(2)/25)*AA136+(1-EXP(-LN(2)/25))/(LN(2)/25)*Calculateur!V137*Calculateur!X137*VLOOKUP('Données projet'!$B$9,Paramètres!$A$1:$I$89,3,0)*0.475*44/12</f>
        <v>0.87879627169743557</v>
      </c>
      <c r="AB137" s="21">
        <f>EXP(-LN(2)/2)*AB136+(1-EXP(-LN(2)/2))/(LN(2)/2)*V137*Y137*VLOOKUP('Données projet'!$B$9,Paramètres!$A$1:$I$89,3,0)*0.475*44/12</f>
        <v>1.3151049058245409E-14</v>
      </c>
      <c r="AC137" s="22">
        <f t="shared" si="111"/>
        <v>1.5928222796221574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-1.383341441396624E-13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328.16808330103993</v>
      </c>
      <c r="T138" s="59">
        <f t="shared" si="142"/>
        <v>316.57989180609252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0.70002439342216671</v>
      </c>
      <c r="AA138" s="21">
        <f>EXP(-LN(2)/25)*AA137+(1-EXP(-LN(2)/25))/(LN(2)/25)*Calculateur!V138*Calculateur!X138*VLOOKUP('Données projet'!$B$9,Paramètres!$A$1:$I$89,3,0)*0.475*44/12</f>
        <v>0.85476554143398176</v>
      </c>
      <c r="AB138" s="21">
        <f>EXP(-LN(2)/2)*AB137+(1-EXP(-LN(2)/2))/(LN(2)/2)*V138*Y138*VLOOKUP('Données projet'!$B$9,Paramètres!$A$1:$I$89,3,0)*0.475*44/12</f>
        <v>9.2991959688022883E-15</v>
      </c>
      <c r="AC138" s="22">
        <f t="shared" si="111"/>
        <v>1.5547899348561578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-1.383341441396624E-13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328.16808330103993</v>
      </c>
      <c r="T139" s="59">
        <f t="shared" si="142"/>
        <v>316.57989180609252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0.68629734203987791</v>
      </c>
      <c r="AA139" s="21">
        <f>EXP(-LN(2)/25)*AA138+(1-EXP(-LN(2)/25))/(LN(2)/25)*Calculateur!V139*Calculateur!X139*VLOOKUP('Données projet'!$B$9,Paramètres!$A$1:$I$89,3,0)*0.475*44/12</f>
        <v>0.83139193275330325</v>
      </c>
      <c r="AB139" s="21">
        <f>EXP(-LN(2)/2)*AB138+(1-EXP(-LN(2)/2))/(LN(2)/2)*V139*Y139*VLOOKUP('Données projet'!$B$9,Paramètres!$A$1:$I$89,3,0)*0.475*44/12</f>
        <v>6.5755245291227046E-15</v>
      </c>
      <c r="AC139" s="22">
        <f t="shared" si="111"/>
        <v>1.5176892747931878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-1.383341441396624E-13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328.16808330103993</v>
      </c>
      <c r="T140" s="59">
        <f t="shared" si="142"/>
        <v>316.57989180609252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0.67283946976252118</v>
      </c>
      <c r="AA140" s="21">
        <f>EXP(-LN(2)/25)*AA139+(1-EXP(-LN(2)/25))/(LN(2)/25)*Calculateur!V140*Calculateur!X140*VLOOKUP('Données projet'!$B$9,Paramètres!$A$1:$I$89,3,0)*0.475*44/12</f>
        <v>0.80865747663116261</v>
      </c>
      <c r="AB140" s="21">
        <f>EXP(-LN(2)/2)*AB139+(1-EXP(-LN(2)/2))/(LN(2)/2)*V140*Y140*VLOOKUP('Données projet'!$B$9,Paramètres!$A$1:$I$89,3,0)*0.475*44/12</f>
        <v>4.6495979844011442E-15</v>
      </c>
      <c r="AC140" s="22">
        <f t="shared" si="111"/>
        <v>1.4814969463936885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-1.383341441396624E-13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328.16808330103993</v>
      </c>
      <c r="T141" s="59">
        <f t="shared" si="142"/>
        <v>316.57989180609252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0.65964549815203188</v>
      </c>
      <c r="AA141" s="21">
        <f>EXP(-LN(2)/25)*AA140+(1-EXP(-LN(2)/25))/(LN(2)/25)*Calculateur!V141*Calculateur!X141*VLOOKUP('Données projet'!$B$9,Paramètres!$A$1:$I$89,3,0)*0.475*44/12</f>
        <v>0.78654469540723493</v>
      </c>
      <c r="AB141" s="21">
        <f>EXP(-LN(2)/2)*AB140+(1-EXP(-LN(2)/2))/(LN(2)/2)*V141*Y141*VLOOKUP('Données projet'!$B$9,Paramètres!$A$1:$I$89,3,0)*0.475*44/12</f>
        <v>3.2877622645613523E-15</v>
      </c>
      <c r="AC141" s="22">
        <f t="shared" si="111"/>
        <v>1.4461901935592703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-1.383341441396624E-13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328.16808330103993</v>
      </c>
      <c r="T142" s="59">
        <f t="shared" si="142"/>
        <v>316.57989180609252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0.64671025227729628</v>
      </c>
      <c r="AA142" s="21">
        <f>EXP(-LN(2)/25)*AA141+(1-EXP(-LN(2)/25))/(LN(2)/25)*Calculateur!V142*Calculateur!X142*VLOOKUP('Données projet'!$B$9,Paramètres!$A$1:$I$89,3,0)*0.475*44/12</f>
        <v>0.7650365893487362</v>
      </c>
      <c r="AB142" s="21">
        <f>EXP(-LN(2)/2)*AB141+(1-EXP(-LN(2)/2))/(LN(2)/2)*V142*Y142*VLOOKUP('Données projet'!$B$9,Paramètres!$A$1:$I$89,3,0)*0.475*44/12</f>
        <v>2.3247989922005721E-15</v>
      </c>
      <c r="AC142" s="22">
        <f t="shared" si="111"/>
        <v>1.4117468416260346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-1.383341441396624E-13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328.16808330103993</v>
      </c>
      <c r="T143" s="59">
        <f t="shared" si="142"/>
        <v>316.57989180609252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0.63402865868444325</v>
      </c>
      <c r="AA143" s="21">
        <f>EXP(-LN(2)/25)*AA142+(1-EXP(-LN(2)/25))/(LN(2)/25)*Calculateur!V143*Calculateur!X143*VLOOKUP('Données projet'!$B$9,Paramètres!$A$1:$I$89,3,0)*0.475*44/12</f>
        <v>0.74411662358146924</v>
      </c>
      <c r="AB143" s="21">
        <f>EXP(-LN(2)/2)*AB142+(1-EXP(-LN(2)/2))/(LN(2)/2)*V143*Y143*VLOOKUP('Données projet'!$B$9,Paramètres!$A$1:$I$89,3,0)*0.475*44/12</f>
        <v>1.6438811322806762E-15</v>
      </c>
      <c r="AC143" s="22">
        <f t="shared" si="111"/>
        <v>1.3781452822659139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-1.383341441396624E-13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328.16808330103993</v>
      </c>
      <c r="T144" s="59">
        <f t="shared" si="142"/>
        <v>316.57989180609252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0.6215957434069378</v>
      </c>
      <c r="AA144" s="21">
        <f>EXP(-LN(2)/25)*AA143+(1-EXP(-LN(2)/25))/(LN(2)/25)*Calculateur!V144*Calculateur!X144*VLOOKUP('Données projet'!$B$9,Paramètres!$A$1:$I$89,3,0)*0.475*44/12</f>
        <v>0.72376871537824139</v>
      </c>
      <c r="AB144" s="21">
        <f>EXP(-LN(2)/2)*AB143+(1-EXP(-LN(2)/2))/(LN(2)/2)*V144*Y144*VLOOKUP('Données projet'!$B$9,Paramètres!$A$1:$I$89,3,0)*0.475*44/12</f>
        <v>1.162399496100286E-15</v>
      </c>
      <c r="AC144" s="22">
        <f t="shared" si="111"/>
        <v>1.3453644587851803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-1.383341441396624E-13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328.16808330103993</v>
      </c>
      <c r="T145" s="59">
        <f t="shared" si="142"/>
        <v>316.57989180609252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0.60940663001469464</v>
      </c>
      <c r="AA145" s="21">
        <f>EXP(-LN(2)/25)*AA144+(1-EXP(-LN(2)/25))/(LN(2)/25)*Calculateur!V145*Calculateur!X145*VLOOKUP('Données projet'!$B$9,Paramètres!$A$1:$I$89,3,0)*0.475*44/12</f>
        <v>0.70397722179488087</v>
      </c>
      <c r="AB145" s="21">
        <f>EXP(-LN(2)/2)*AB144+(1-EXP(-LN(2)/2))/(LN(2)/2)*V145*Y145*VLOOKUP('Données projet'!$B$9,Paramètres!$A$1:$I$89,3,0)*0.475*44/12</f>
        <v>8.2194056614033808E-16</v>
      </c>
      <c r="AC145" s="22">
        <f t="shared" si="111"/>
        <v>1.3133838518095764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-1.383341441396624E-13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328.16808330103993</v>
      </c>
      <c r="T146" s="59">
        <f t="shared" si="142"/>
        <v>316.57989180609252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0.59745653770144835</v>
      </c>
      <c r="AA146" s="21">
        <f>EXP(-LN(2)/25)*AA145+(1-EXP(-LN(2)/25))/(LN(2)/25)*Calculateur!V146*Calculateur!X146*VLOOKUP('Données projet'!$B$9,Paramètres!$A$1:$I$89,3,0)*0.475*44/12</f>
        <v>0.68472692764434673</v>
      </c>
      <c r="AB146" s="21">
        <f>EXP(-LN(2)/2)*AB145+(1-EXP(-LN(2)/2))/(LN(2)/2)*V146*Y146*VLOOKUP('Données projet'!$B$9,Paramètres!$A$1:$I$89,3,0)*0.475*44/12</f>
        <v>5.8119974805014302E-16</v>
      </c>
      <c r="AC146" s="22">
        <f t="shared" si="111"/>
        <v>1.2821834653457957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-1.383341441396624E-13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328.16808330103993</v>
      </c>
      <c r="T147" s="59">
        <f t="shared" si="142"/>
        <v>316.57989180609252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0.58574077940962821</v>
      </c>
      <c r="AA147" s="21">
        <f>EXP(-LN(2)/25)*AA146+(1-EXP(-LN(2)/25))/(LN(2)/25)*Calculateur!V147*Calculateur!X147*VLOOKUP('Données projet'!$B$9,Paramètres!$A$1:$I$89,3,0)*0.475*44/12</f>
        <v>0.66600303379968795</v>
      </c>
      <c r="AB147" s="21">
        <f>EXP(-LN(2)/2)*AB146+(1-EXP(-LN(2)/2))/(LN(2)/2)*V147*Y147*VLOOKUP('Données projet'!$B$9,Paramètres!$A$1:$I$89,3,0)*0.475*44/12</f>
        <v>4.1097028307016904E-16</v>
      </c>
      <c r="AC147" s="22">
        <f t="shared" si="111"/>
        <v>1.2517438132093166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-1.383341441396624E-13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328.16808330103993</v>
      </c>
      <c r="T148" s="59">
        <f t="shared" si="142"/>
        <v>316.57989180609252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0.5742547599920037</v>
      </c>
      <c r="AA148" s="21">
        <f>EXP(-LN(2)/25)*AA147+(1-EXP(-LN(2)/25))/(LN(2)/25)*Calculateur!V148*Calculateur!X148*VLOOKUP('Données projet'!$B$9,Paramètres!$A$1:$I$89,3,0)*0.475*44/12</f>
        <v>0.64779114581685815</v>
      </c>
      <c r="AB148" s="21">
        <f>EXP(-LN(2)/2)*AB147+(1-EXP(-LN(2)/2))/(LN(2)/2)*V148*Y148*VLOOKUP('Données projet'!$B$9,Paramètres!$A$1:$I$89,3,0)*0.475*44/12</f>
        <v>2.9059987402507151E-16</v>
      </c>
      <c r="AC148" s="22">
        <f t="shared" si="111"/>
        <v>1.222045905808862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-1.383341441396624E-13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328.16808330103993</v>
      </c>
      <c r="T149" s="59">
        <f t="shared" si="142"/>
        <v>316.57989180609252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0.56299397440937871</v>
      </c>
      <c r="AA149" s="21">
        <f>EXP(-LN(2)/25)*AA148+(1-EXP(-LN(2)/25))/(LN(2)/25)*Calculateur!V149*Calculateur!X149*VLOOKUP('Données projet'!$B$9,Paramètres!$A$1:$I$89,3,0)*0.475*44/12</f>
        <v>0.6300772628686403</v>
      </c>
      <c r="AB149" s="21">
        <f>EXP(-LN(2)/2)*AB148+(1-EXP(-LN(2)/2))/(LN(2)/2)*V149*Y149*VLOOKUP('Données projet'!$B$9,Paramètres!$A$1:$I$89,3,0)*0.475*44/12</f>
        <v>2.0548514153508452E-16</v>
      </c>
      <c r="AC149" s="22">
        <f t="shared" si="111"/>
        <v>1.1930712372780192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-1.383341441396624E-13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328.16808330103993</v>
      </c>
      <c r="T150" s="59">
        <f t="shared" si="142"/>
        <v>316.57989180609252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0.55195400596362798</v>
      </c>
      <c r="AA150" s="21">
        <f>EXP(-LN(2)/25)*AA149+(1-EXP(-LN(2)/25))/(LN(2)/25)*Calculateur!V150*Calculateur!X150*VLOOKUP('Données projet'!$B$9,Paramètres!$A$1:$I$89,3,0)*0.475*44/12</f>
        <v>0.61284776698117416</v>
      </c>
      <c r="AB150" s="21">
        <f>EXP(-LN(2)/2)*AB149+(1-EXP(-LN(2)/2))/(LN(2)/2)*V150*Y150*VLOOKUP('Données projet'!$B$9,Paramètres!$A$1:$I$89,3,0)*0.475*44/12</f>
        <v>1.4529993701253575E-16</v>
      </c>
      <c r="AC150" s="22">
        <f t="shared" si="111"/>
        <v>1.1648017729448024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-1.383341441396624E-13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328.16808330103993</v>
      </c>
      <c r="T151" s="59">
        <f t="shared" si="142"/>
        <v>316.57989180609252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0.54113052456538258</v>
      </c>
      <c r="AA151" s="21">
        <f>EXP(-LN(2)/25)*AA150+(1-EXP(-LN(2)/25))/(LN(2)/25)*Calculateur!V151*Calculateur!X151*VLOOKUP('Données projet'!$B$9,Paramètres!$A$1:$I$89,3,0)*0.475*44/12</f>
        <v>0.59608941256481052</v>
      </c>
      <c r="AB151" s="21">
        <f>EXP(-LN(2)/2)*AB150+(1-EXP(-LN(2)/2))/(LN(2)/2)*V151*Y151*VLOOKUP('Données projet'!$B$9,Paramètres!$A$1:$I$89,3,0)*0.475*44/12</f>
        <v>1.0274257076754226E-16</v>
      </c>
      <c r="AC151" s="22">
        <f t="shared" si="111"/>
        <v>1.137219937130193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-1.383341441396624E-13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328.16808330103993</v>
      </c>
      <c r="T152" s="59">
        <f t="shared" si="142"/>
        <v>316.57989180609252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0.53051928503568502</v>
      </c>
      <c r="AA152" s="21">
        <f>EXP(-LN(2)/25)*AA151+(1-EXP(-LN(2)/25))/(LN(2)/25)*Calculateur!V152*Calculateur!X152*VLOOKUP('Données projet'!$B$9,Paramètres!$A$1:$I$89,3,0)*0.475*44/12</f>
        <v>0.57978931623124597</v>
      </c>
      <c r="AB152" s="21">
        <f>EXP(-LN(2)/2)*AB151+(1-EXP(-LN(2)/2))/(LN(2)/2)*V152*Y152*VLOOKUP('Données projet'!$B$9,Paramètres!$A$1:$I$89,3,0)*0.475*44/12</f>
        <v>7.2649968506267877E-17</v>
      </c>
      <c r="AC152" s="22">
        <f t="shared" si="111"/>
        <v>1.110308601266931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-1.383341441396624E-13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328.16808330103993</v>
      </c>
      <c r="T153" s="59">
        <f t="shared" si="142"/>
        <v>316.57989180609252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0.52011612544094776</v>
      </c>
      <c r="AA153" s="21">
        <f>EXP(-LN(2)/25)*AA152+(1-EXP(-LN(2)/25))/(LN(2)/25)*Calculateur!V153*Calculateur!X153*VLOOKUP('Données projet'!$B$9,Paramètres!$A$1:$I$89,3,0)*0.475*44/12</f>
        <v>0.5639349468891075</v>
      </c>
      <c r="AB153" s="21">
        <f>EXP(-LN(2)/2)*AB152+(1-EXP(-LN(2)/2))/(LN(2)/2)*V153*Y153*VLOOKUP('Données projet'!$B$9,Paramètres!$A$1:$I$89,3,0)*0.475*44/12</f>
        <v>5.137128538377113E-17</v>
      </c>
      <c r="AC153" s="22">
        <f t="shared" si="111"/>
        <v>1.0840510723300554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-1.383341441396624E-13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328.16808330103993</v>
      </c>
      <c r="T154" s="59">
        <f t="shared" si="142"/>
        <v>316.57989180609252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0.50991696546056253</v>
      </c>
      <c r="AA154" s="21">
        <f>EXP(-LN(2)/25)*AA153+(1-EXP(-LN(2)/25))/(LN(2)/25)*Calculateur!V154*Calculateur!X154*VLOOKUP('Données projet'!$B$9,Paramètres!$A$1:$I$89,3,0)*0.475*44/12</f>
        <v>0.54851411611037493</v>
      </c>
      <c r="AB154" s="21">
        <f>EXP(-LN(2)/2)*AB153+(1-EXP(-LN(2)/2))/(LN(2)/2)*V154*Y154*VLOOKUP('Données projet'!$B$9,Paramètres!$A$1:$I$89,3,0)*0.475*44/12</f>
        <v>3.6324984253133939E-17</v>
      </c>
      <c r="AC154" s="22">
        <f t="shared" ref="AC154:AC203" si="163">SUM(Z154:AB154)</f>
        <v>1.0584310815709375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-1.383341441396624E-13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328.16808330103993</v>
      </c>
      <c r="T155" s="59">
        <f t="shared" si="142"/>
        <v>316.57989180609252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0.49991780478651932</v>
      </c>
      <c r="AA155" s="21">
        <f>EXP(-LN(2)/25)*AA154+(1-EXP(-LN(2)/25))/(LN(2)/25)*Calculateur!V155*Calculateur!X155*VLOOKUP('Données projet'!$B$9,Paramètres!$A$1:$I$89,3,0)*0.475*44/12</f>
        <v>0.53351496876023297</v>
      </c>
      <c r="AB155" s="21">
        <f>EXP(-LN(2)/2)*AB154+(1-EXP(-LN(2)/2))/(LN(2)/2)*V155*Y155*VLOOKUP('Données projet'!$B$9,Paramètres!$A$1:$I$89,3,0)*0.475*44/12</f>
        <v>2.5685642691885565E-17</v>
      </c>
      <c r="AC155" s="22">
        <f t="shared" si="163"/>
        <v>1.0334327735467523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-1.383341441396624E-13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328.16808330103993</v>
      </c>
      <c r="T156" s="59">
        <f t="shared" si="142"/>
        <v>316.57989180609252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0.49011472155440827</v>
      </c>
      <c r="AA156" s="21">
        <f>EXP(-LN(2)/25)*AA155+(1-EXP(-LN(2)/25))/(LN(2)/25)*Calculateur!V156*Calculateur!X156*VLOOKUP('Données projet'!$B$9,Paramètres!$A$1:$I$89,3,0)*0.475*44/12</f>
        <v>0.51892597388315154</v>
      </c>
      <c r="AB156" s="21">
        <f>EXP(-LN(2)/2)*AB155+(1-EXP(-LN(2)/2))/(LN(2)/2)*V156*Y156*VLOOKUP('Données projet'!$B$9,Paramètres!$A$1:$I$89,3,0)*0.475*44/12</f>
        <v>1.8162492126566969E-17</v>
      </c>
      <c r="AC156" s="22">
        <f t="shared" si="163"/>
        <v>1.0090406954375597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-1.383341441396624E-13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328.16808330103993</v>
      </c>
      <c r="T157" s="59">
        <f t="shared" si="142"/>
        <v>316.57989180609252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0.48050387080518858</v>
      </c>
      <c r="AA157" s="21">
        <f>EXP(-LN(2)/25)*AA156+(1-EXP(-LN(2)/25))/(LN(2)/25)*Calculateur!V157*Calculateur!X157*VLOOKUP('Données projet'!$B$9,Paramètres!$A$1:$I$89,3,0)*0.475*44/12</f>
        <v>0.50473591583818578</v>
      </c>
      <c r="AB157" s="21">
        <f>EXP(-LN(2)/2)*AB156+(1-EXP(-LN(2)/2))/(LN(2)/2)*V157*Y157*VLOOKUP('Données projet'!$B$9,Paramètres!$A$1:$I$89,3,0)*0.475*44/12</f>
        <v>1.2842821345942782E-17</v>
      </c>
      <c r="AC157" s="22">
        <f t="shared" si="163"/>
        <v>0.98523978664337442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-1.383341441396624E-13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328.16808330103993</v>
      </c>
      <c r="T158" s="59">
        <f t="shared" si="142"/>
        <v>316.57989180609252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0.47108148297712094</v>
      </c>
      <c r="AA158" s="21">
        <f>EXP(-LN(2)/25)*AA157+(1-EXP(-LN(2)/25))/(LN(2)/25)*Calculateur!V158*Calculateur!X158*VLOOKUP('Données projet'!$B$9,Paramètres!$A$1:$I$89,3,0)*0.475*44/12</f>
        <v>0.49093388567668239</v>
      </c>
      <c r="AB158" s="21">
        <f>EXP(-LN(2)/2)*AB157+(1-EXP(-LN(2)/2))/(LN(2)/2)*V158*Y158*VLOOKUP('Données projet'!$B$9,Paramètres!$A$1:$I$89,3,0)*0.475*44/12</f>
        <v>9.0812460632834847E-18</v>
      </c>
      <c r="AC158" s="22">
        <f t="shared" si="163"/>
        <v>0.96201536865380333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-1.383341441396624E-13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328.16808330103993</v>
      </c>
      <c r="T159" s="59">
        <f t="shared" si="142"/>
        <v>316.57989180609252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0.4618438624272726</v>
      </c>
      <c r="AA159" s="21">
        <f>EXP(-LN(2)/25)*AA158+(1-EXP(-LN(2)/25))/(LN(2)/25)*Calculateur!V159*Calculateur!X159*VLOOKUP('Données projet'!$B$9,Paramètres!$A$1:$I$89,3,0)*0.475*44/12</f>
        <v>0.47750927275576249</v>
      </c>
      <c r="AB159" s="21">
        <f>EXP(-LN(2)/2)*AB158+(1-EXP(-LN(2)/2))/(LN(2)/2)*V159*Y159*VLOOKUP('Données projet'!$B$9,Paramètres!$A$1:$I$89,3,0)*0.475*44/12</f>
        <v>6.4214106729713912E-18</v>
      </c>
      <c r="AC159" s="22">
        <f t="shared" si="163"/>
        <v>0.93935313518303509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-1.383341441396624E-13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328.16808330103993</v>
      </c>
      <c r="T160" s="59">
        <f t="shared" si="142"/>
        <v>316.57989180609252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0.45278738598201462</v>
      </c>
      <c r="AA160" s="21">
        <f>EXP(-LN(2)/25)*AA159+(1-EXP(-LN(2)/25))/(LN(2)/25)*Calculateur!V160*Calculateur!X160*VLOOKUP('Données projet'!$B$9,Paramètres!$A$1:$I$89,3,0)*0.475*44/12</f>
        <v>0.46445175658113486</v>
      </c>
      <c r="AB160" s="21">
        <f>EXP(-LN(2)/2)*AB159+(1-EXP(-LN(2)/2))/(LN(2)/2)*V160*Y160*VLOOKUP('Données projet'!$B$9,Paramètres!$A$1:$I$89,3,0)*0.475*44/12</f>
        <v>4.5406230316417423E-18</v>
      </c>
      <c r="AC160" s="22">
        <f t="shared" si="163"/>
        <v>0.91723914256314942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-1.383341441396624E-13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328.16808330103993</v>
      </c>
      <c r="T161" s="59">
        <f t="shared" si="142"/>
        <v>316.57989180609252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0.44390850151594297</v>
      </c>
      <c r="AA161" s="21">
        <f>EXP(-LN(2)/25)*AA160+(1-EXP(-LN(2)/25))/(LN(2)/25)*Calculateur!V161*Calculateur!X161*VLOOKUP('Données projet'!$B$9,Paramètres!$A$1:$I$89,3,0)*0.475*44/12</f>
        <v>0.45175129887296739</v>
      </c>
      <c r="AB161" s="21">
        <f>EXP(-LN(2)/2)*AB160+(1-EXP(-LN(2)/2))/(LN(2)/2)*V161*Y161*VLOOKUP('Données projet'!$B$9,Paramètres!$A$1:$I$89,3,0)*0.475*44/12</f>
        <v>3.2107053364856956E-18</v>
      </c>
      <c r="AC161" s="22">
        <f t="shared" si="163"/>
        <v>0.89565980038891035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-1.383341441396624E-13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328.16808330103993</v>
      </c>
      <c r="T162" s="59">
        <f t="shared" si="142"/>
        <v>316.57989180609252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0.43520372655866618</v>
      </c>
      <c r="AA162" s="21">
        <f>EXP(-LN(2)/25)*AA161+(1-EXP(-LN(2)/25))/(LN(2)/25)*Calculateur!V162*Calculateur!X162*VLOOKUP('Données projet'!$B$9,Paramètres!$A$1:$I$89,3,0)*0.475*44/12</f>
        <v>0.43939813584871779</v>
      </c>
      <c r="AB162" s="21">
        <f>EXP(-LN(2)/2)*AB161+(1-EXP(-LN(2)/2))/(LN(2)/2)*V162*Y162*VLOOKUP('Données projet'!$B$9,Paramètres!$A$1:$I$89,3,0)*0.475*44/12</f>
        <v>2.2703115158208712E-18</v>
      </c>
      <c r="AC162" s="22">
        <f t="shared" si="163"/>
        <v>0.87460186240738391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-1.383341441396624E-13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328.16808330103993</v>
      </c>
      <c r="T163" s="59">
        <f t="shared" si="142"/>
        <v>316.57989180609252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0.42666964692891313</v>
      </c>
      <c r="AA163" s="21">
        <f>EXP(-LN(2)/25)*AA162+(1-EXP(-LN(2)/25))/(LN(2)/25)*Calculateur!V163*Calculateur!X163*VLOOKUP('Données projet'!$B$9,Paramètres!$A$1:$I$89,3,0)*0.475*44/12</f>
        <v>0.42738277071699088</v>
      </c>
      <c r="AB163" s="21">
        <f>EXP(-LN(2)/2)*AB162+(1-EXP(-LN(2)/2))/(LN(2)/2)*V163*Y163*VLOOKUP('Données projet'!$B$9,Paramètres!$A$1:$I$89,3,0)*0.475*44/12</f>
        <v>1.6053526682428478E-18</v>
      </c>
      <c r="AC163" s="22">
        <f t="shared" si="163"/>
        <v>0.85405241764590401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-1.383341441396624E-13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328.16808330103993</v>
      </c>
      <c r="T164" s="59">
        <f t="shared" si="142"/>
        <v>316.57989180609252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0.41830291539542491</v>
      </c>
      <c r="AA164" s="21">
        <f>EXP(-LN(2)/25)*AA163+(1-EXP(-LN(2)/25))/(LN(2)/25)*Calculateur!V164*Calculateur!X164*VLOOKUP('Données projet'!$B$9,Paramètres!$A$1:$I$89,3,0)*0.475*44/12</f>
        <v>0.41569596637665163</v>
      </c>
      <c r="AB164" s="21">
        <f>EXP(-LN(2)/2)*AB163+(1-EXP(-LN(2)/2))/(LN(2)/2)*V164*Y164*VLOOKUP('Données projet'!$B$9,Paramètres!$A$1:$I$89,3,0)*0.475*44/12</f>
        <v>1.1351557579104356E-18</v>
      </c>
      <c r="AC164" s="22">
        <f t="shared" si="163"/>
        <v>0.83399888177207648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-1.383341441396624E-13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328.16808330103993</v>
      </c>
      <c r="T165" s="59">
        <f t="shared" si="142"/>
        <v>316.57989180609252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0.41010025036410608</v>
      </c>
      <c r="AA165" s="21">
        <f>EXP(-LN(2)/25)*AA164+(1-EXP(-LN(2)/25))/(LN(2)/25)*Calculateur!V165*Calculateur!X165*VLOOKUP('Données projet'!$B$9,Paramètres!$A$1:$I$89,3,0)*0.475*44/12</f>
        <v>0.4043287383155813</v>
      </c>
      <c r="AB165" s="21">
        <f>EXP(-LN(2)/2)*AB164+(1-EXP(-LN(2)/2))/(LN(2)/2)*V165*Y165*VLOOKUP('Données projet'!$B$9,Paramètres!$A$1:$I$89,3,0)*0.475*44/12</f>
        <v>8.026763341214239E-19</v>
      </c>
      <c r="AC165" s="22">
        <f t="shared" si="163"/>
        <v>0.81442898867968738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-1.383341441396624E-13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328.16808330103993</v>
      </c>
      <c r="T166" s="59">
        <f t="shared" si="142"/>
        <v>316.57989180609252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0.40205843459091978</v>
      </c>
      <c r="AA166" s="21">
        <f>EXP(-LN(2)/25)*AA165+(1-EXP(-LN(2)/25))/(LN(2)/25)*Calculateur!V166*Calculateur!X166*VLOOKUP('Données projet'!$B$9,Paramètres!$A$1:$I$89,3,0)*0.475*44/12</f>
        <v>0.39327234770361746</v>
      </c>
      <c r="AB166" s="21">
        <f>EXP(-LN(2)/2)*AB165+(1-EXP(-LN(2)/2))/(LN(2)/2)*V166*Y166*VLOOKUP('Données projet'!$B$9,Paramètres!$A$1:$I$89,3,0)*0.475*44/12</f>
        <v>5.6757787895521779E-19</v>
      </c>
      <c r="AC166" s="22">
        <f t="shared" si="163"/>
        <v>0.79533078229453724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-1.383341441396624E-13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328.16808330103993</v>
      </c>
      <c r="T167" s="59">
        <f t="shared" si="142"/>
        <v>316.57989180609252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0.39417431392002233</v>
      </c>
      <c r="AA167" s="21">
        <f>EXP(-LN(2)/25)*AA166+(1-EXP(-LN(2)/25))/(LN(2)/25)*Calculateur!V167*Calculateur!X167*VLOOKUP('Données projet'!$B$9,Paramètres!$A$1:$I$89,3,0)*0.475*44/12</f>
        <v>0.3825182946743681</v>
      </c>
      <c r="AB167" s="21">
        <f>EXP(-LN(2)/2)*AB166+(1-EXP(-LN(2)/2))/(LN(2)/2)*V167*Y167*VLOOKUP('Données projet'!$B$9,Paramètres!$A$1:$I$89,3,0)*0.475*44/12</f>
        <v>4.0133816706071195E-19</v>
      </c>
      <c r="AC167" s="22">
        <f t="shared" si="163"/>
        <v>0.77669260859439038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-1.383341441396624E-13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328.16808330103993</v>
      </c>
      <c r="T168" s="59">
        <f t="shared" si="142"/>
        <v>316.57989180609252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0.38644479604664245</v>
      </c>
      <c r="AA168" s="21">
        <f>EXP(-LN(2)/25)*AA167+(1-EXP(-LN(2)/25))/(LN(2)/25)*Calculateur!V168*Calculateur!X168*VLOOKUP('Données projet'!$B$9,Paramètres!$A$1:$I$89,3,0)*0.475*44/12</f>
        <v>0.37205831179073462</v>
      </c>
      <c r="AB168" s="21">
        <f>EXP(-LN(2)/2)*AB167+(1-EXP(-LN(2)/2))/(LN(2)/2)*V168*Y168*VLOOKUP('Données projet'!$B$9,Paramètres!$A$1:$I$89,3,0)*0.475*44/12</f>
        <v>2.837889394776089E-19</v>
      </c>
      <c r="AC168" s="22">
        <f t="shared" si="163"/>
        <v>0.75850310783737707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-1.383341441396624E-13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328.16808330103993</v>
      </c>
      <c r="T169" s="59">
        <f t="shared" si="142"/>
        <v>316.57989180609252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0.37886684930421916</v>
      </c>
      <c r="AA169" s="21">
        <f>EXP(-LN(2)/25)*AA168+(1-EXP(-LN(2)/25))/(LN(2)/25)*Calculateur!V169*Calculateur!X169*VLOOKUP('Données projet'!$B$9,Paramètres!$A$1:$I$89,3,0)*0.475*44/12</f>
        <v>0.36188435768912069</v>
      </c>
      <c r="AB169" s="21">
        <f>EXP(-LN(2)/2)*AB168+(1-EXP(-LN(2)/2))/(LN(2)/2)*V169*Y169*VLOOKUP('Données projet'!$B$9,Paramètres!$A$1:$I$89,3,0)*0.475*44/12</f>
        <v>2.0066908353035598E-19</v>
      </c>
      <c r="AC169" s="22">
        <f t="shared" si="163"/>
        <v>0.74075120699333985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-1.383341441396624E-13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328.16808330103993</v>
      </c>
      <c r="T170" s="59">
        <f t="shared" si="142"/>
        <v>316.57989180609252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0.37143750147532367</v>
      </c>
      <c r="AA170" s="21">
        <f>EXP(-LN(2)/25)*AA169+(1-EXP(-LN(2)/25))/(LN(2)/25)*Calculateur!V170*Calculateur!X170*VLOOKUP('Données projet'!$B$9,Paramètres!$A$1:$I$89,3,0)*0.475*44/12</f>
        <v>0.35198861089744043</v>
      </c>
      <c r="AB170" s="21">
        <f>EXP(-LN(2)/2)*AB169+(1-EXP(-LN(2)/2))/(LN(2)/2)*V170*Y170*VLOOKUP('Données projet'!$B$9,Paramètres!$A$1:$I$89,3,0)*0.475*44/12</f>
        <v>1.4189446973880445E-19</v>
      </c>
      <c r="AC170" s="22">
        <f t="shared" si="163"/>
        <v>0.72342611237276411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-1.383341441396624E-13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328.16808330103993</v>
      </c>
      <c r="T171" s="59">
        <f t="shared" si="142"/>
        <v>316.57989180609252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0.36415383862589806</v>
      </c>
      <c r="AA171" s="21">
        <f>EXP(-LN(2)/25)*AA170+(1-EXP(-LN(2)/25))/(LN(2)/25)*Calculateur!V171*Calculateur!X171*VLOOKUP('Données projet'!$B$9,Paramètres!$A$1:$I$89,3,0)*0.475*44/12</f>
        <v>0.34236346382217336</v>
      </c>
      <c r="AB171" s="21">
        <f>EXP(-LN(2)/2)*AB170+(1-EXP(-LN(2)/2))/(LN(2)/2)*V171*Y171*VLOOKUP('Données projet'!$B$9,Paramètres!$A$1:$I$89,3,0)*0.475*44/12</f>
        <v>1.0033454176517799E-19</v>
      </c>
      <c r="AC171" s="22">
        <f t="shared" si="163"/>
        <v>0.70651730244807143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-1.383341441396624E-13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328.16808330103993</v>
      </c>
      <c r="T172" s="59">
        <f t="shared" si="142"/>
        <v>316.57989180609252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0.35701300396235403</v>
      </c>
      <c r="AA172" s="21">
        <f>EXP(-LN(2)/25)*AA171+(1-EXP(-LN(2)/25))/(LN(2)/25)*Calculateur!V172*Calculateur!X172*VLOOKUP('Données projet'!$B$9,Paramètres!$A$1:$I$89,3,0)*0.475*44/12</f>
        <v>0.33300151689984397</v>
      </c>
      <c r="AB172" s="21">
        <f>EXP(-LN(2)/2)*AB171+(1-EXP(-LN(2)/2))/(LN(2)/2)*V172*Y172*VLOOKUP('Données projet'!$B$9,Paramètres!$A$1:$I$89,3,0)*0.475*44/12</f>
        <v>7.0947234869402224E-20</v>
      </c>
      <c r="AC172" s="22">
        <f t="shared" si="163"/>
        <v>0.69001452086219794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-1.383341441396624E-13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328.16808330103993</v>
      </c>
      <c r="T173" s="59">
        <f t="shared" si="142"/>
        <v>316.57989180609252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0.35001219671108302</v>
      </c>
      <c r="AA173" s="21">
        <f>EXP(-LN(2)/25)*AA172+(1-EXP(-LN(2)/25))/(LN(2)/25)*Calculateur!V173*Calculateur!X173*VLOOKUP('Données projet'!$B$9,Paramètres!$A$1:$I$89,3,0)*0.475*44/12</f>
        <v>0.32389557290842907</v>
      </c>
      <c r="AB173" s="21">
        <f>EXP(-LN(2)/2)*AB172+(1-EXP(-LN(2)/2))/(LN(2)/2)*V173*Y173*VLOOKUP('Données projet'!$B$9,Paramètres!$A$1:$I$89,3,0)*0.475*44/12</f>
        <v>5.0167270882588994E-20</v>
      </c>
      <c r="AC173" s="22">
        <f t="shared" si="163"/>
        <v>0.67390776961951215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-1.383341441396624E-13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328.16808330103993</v>
      </c>
      <c r="T174" s="59">
        <f t="shared" si="142"/>
        <v>316.57989180609252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0.34314867101993868</v>
      </c>
      <c r="AA174" s="21">
        <f>EXP(-LN(2)/25)*AA173+(1-EXP(-LN(2)/25))/(LN(2)/25)*Calculateur!V174*Calculateur!X174*VLOOKUP('Données projet'!$B$9,Paramètres!$A$1:$I$89,3,0)*0.475*44/12</f>
        <v>0.31503863143432015</v>
      </c>
      <c r="AB174" s="21">
        <f>EXP(-LN(2)/2)*AB173+(1-EXP(-LN(2)/2))/(LN(2)/2)*V174*Y174*VLOOKUP('Données projet'!$B$9,Paramètres!$A$1:$I$89,3,0)*0.475*44/12</f>
        <v>3.5473617434701112E-20</v>
      </c>
      <c r="AC174" s="22">
        <f t="shared" si="163"/>
        <v>0.65818730245425883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-1.383341441396624E-13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328.16808330103993</v>
      </c>
      <c r="T175" s="59">
        <f t="shared" si="142"/>
        <v>316.57989180609252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0.33641973488126037</v>
      </c>
      <c r="AA175" s="21">
        <f>EXP(-LN(2)/25)*AA174+(1-EXP(-LN(2)/25))/(LN(2)/25)*Calculateur!V175*Calculateur!X175*VLOOKUP('Données projet'!$B$9,Paramètres!$A$1:$I$89,3,0)*0.475*44/12</f>
        <v>0.30642388349058708</v>
      </c>
      <c r="AB175" s="21">
        <f>EXP(-LN(2)/2)*AB174+(1-EXP(-LN(2)/2))/(LN(2)/2)*V175*Y175*VLOOKUP('Données projet'!$B$9,Paramètres!$A$1:$I$89,3,0)*0.475*44/12</f>
        <v>2.5083635441294497E-20</v>
      </c>
      <c r="AC175" s="22">
        <f t="shared" si="163"/>
        <v>0.64284361837184745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-1.383341441396624E-13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328.16808330103993</v>
      </c>
      <c r="T176" s="59">
        <f t="shared" si="142"/>
        <v>316.57989180609252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0.32982274907601572</v>
      </c>
      <c r="AA176" s="21">
        <f>EXP(-LN(2)/25)*AA175+(1-EXP(-LN(2)/25))/(LN(2)/25)*Calculateur!V176*Calculateur!X176*VLOOKUP('Données projet'!$B$9,Paramètres!$A$1:$I$89,3,0)*0.475*44/12</f>
        <v>0.29804470628240526</v>
      </c>
      <c r="AB176" s="21">
        <f>EXP(-LN(2)/2)*AB175+(1-EXP(-LN(2)/2))/(LN(2)/2)*V176*Y176*VLOOKUP('Données projet'!$B$9,Paramètres!$A$1:$I$89,3,0)*0.475*44/12</f>
        <v>1.7736808717350556E-20</v>
      </c>
      <c r="AC176" s="22">
        <f t="shared" si="163"/>
        <v>0.62786745535842092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-1.383341441396624E-13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328.16808330103993</v>
      </c>
      <c r="T177" s="59">
        <f t="shared" si="142"/>
        <v>316.57989180609252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0.32335512613864792</v>
      </c>
      <c r="AA177" s="21">
        <f>EXP(-LN(2)/25)*AA176+(1-EXP(-LN(2)/25))/(LN(2)/25)*Calculateur!V177*Calculateur!X177*VLOOKUP('Données projet'!$B$9,Paramètres!$A$1:$I$89,3,0)*0.475*44/12</f>
        <v>0.28989465811562298</v>
      </c>
      <c r="AB177" s="21">
        <f>EXP(-LN(2)/2)*AB176+(1-EXP(-LN(2)/2))/(LN(2)/2)*V177*Y177*VLOOKUP('Données projet'!$B$9,Paramètres!$A$1:$I$89,3,0)*0.475*44/12</f>
        <v>1.2541817720647248E-20</v>
      </c>
      <c r="AC177" s="22">
        <f t="shared" si="163"/>
        <v>0.6132497842542709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-1.383341441396624E-13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328.16808330103993</v>
      </c>
      <c r="T178" s="59">
        <f t="shared" si="142"/>
        <v>316.57989180609252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0.3170143293422214</v>
      </c>
      <c r="AA178" s="21">
        <f>EXP(-LN(2)/25)*AA177+(1-EXP(-LN(2)/25))/(LN(2)/25)*Calculateur!V178*Calculateur!X178*VLOOKUP('Données projet'!$B$9,Paramètres!$A$1:$I$89,3,0)*0.475*44/12</f>
        <v>0.28196747344455375</v>
      </c>
      <c r="AB178" s="21">
        <f>EXP(-LN(2)/2)*AB177+(1-EXP(-LN(2)/2))/(LN(2)/2)*V178*Y178*VLOOKUP('Données projet'!$B$9,Paramètres!$A$1:$I$89,3,0)*0.475*44/12</f>
        <v>8.868404358675278E-21</v>
      </c>
      <c r="AC178" s="22">
        <f t="shared" si="163"/>
        <v>0.59898180278677515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-1.383341441396624E-13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328.16808330103993</v>
      </c>
      <c r="T179" s="59">
        <f t="shared" si="142"/>
        <v>316.57989180609252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0.31079787170346868</v>
      </c>
      <c r="AA179" s="21">
        <f>EXP(-LN(2)/25)*AA178+(1-EXP(-LN(2)/25))/(LN(2)/25)*Calculateur!V179*Calculateur!X179*VLOOKUP('Données projet'!$B$9,Paramètres!$A$1:$I$89,3,0)*0.475*44/12</f>
        <v>0.27425705805518746</v>
      </c>
      <c r="AB179" s="21">
        <f>EXP(-LN(2)/2)*AB178+(1-EXP(-LN(2)/2))/(LN(2)/2)*V179*Y179*VLOOKUP('Données projet'!$B$9,Paramètres!$A$1:$I$89,3,0)*0.475*44/12</f>
        <v>6.2709088603236242E-21</v>
      </c>
      <c r="AC179" s="22">
        <f t="shared" si="163"/>
        <v>0.58505492975865614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-1.383341441396624E-13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328.16808330103993</v>
      </c>
      <c r="T180" s="59">
        <f t="shared" si="142"/>
        <v>316.57989180609252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0.3047033150073471</v>
      </c>
      <c r="AA180" s="21">
        <f>EXP(-LN(2)/25)*AA179+(1-EXP(-LN(2)/25))/(LN(2)/25)*Calculateur!V180*Calculateur!X180*VLOOKUP('Données projet'!$B$9,Paramètres!$A$1:$I$89,3,0)*0.475*44/12</f>
        <v>0.26675748438011648</v>
      </c>
      <c r="AB180" s="21">
        <f>EXP(-LN(2)/2)*AB179+(1-EXP(-LN(2)/2))/(LN(2)/2)*V180*Y180*VLOOKUP('Données projet'!$B$9,Paramètres!$A$1:$I$89,3,0)*0.475*44/12</f>
        <v>4.434202179337639E-21</v>
      </c>
      <c r="AC180" s="22">
        <f t="shared" si="163"/>
        <v>0.57146079938746364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-1.383341441396624E-13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328.16808330103993</v>
      </c>
      <c r="T181" s="59">
        <f t="shared" si="142"/>
        <v>316.57989180609252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0.29872826885072395</v>
      </c>
      <c r="AA181" s="21">
        <f>EXP(-LN(2)/25)*AA180+(1-EXP(-LN(2)/25))/(LN(2)/25)*Calculateur!V181*Calculateur!X181*VLOOKUP('Données projet'!$B$9,Paramètres!$A$1:$I$89,3,0)*0.475*44/12</f>
        <v>0.25946298694157577</v>
      </c>
      <c r="AB181" s="21">
        <f>EXP(-LN(2)/2)*AB180+(1-EXP(-LN(2)/2))/(LN(2)/2)*V181*Y181*VLOOKUP('Données projet'!$B$9,Paramètres!$A$1:$I$89,3,0)*0.475*44/12</f>
        <v>3.1354544301618121E-21</v>
      </c>
      <c r="AC181" s="22">
        <f t="shared" si="163"/>
        <v>0.55819125579229967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-1.383341441396624E-13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328.16808330103993</v>
      </c>
      <c r="T182" s="59">
        <f t="shared" si="142"/>
        <v>316.57989180609252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0.29287038970481388</v>
      </c>
      <c r="AA182" s="21">
        <f>EXP(-LN(2)/25)*AA181+(1-EXP(-LN(2)/25))/(LN(2)/25)*Calculateur!V182*Calculateur!X182*VLOOKUP('Données projet'!$B$9,Paramètres!$A$1:$I$89,3,0)*0.475*44/12</f>
        <v>0.25236795791909289</v>
      </c>
      <c r="AB182" s="21">
        <f>EXP(-LN(2)/2)*AB181+(1-EXP(-LN(2)/2))/(LN(2)/2)*V182*Y182*VLOOKUP('Données projet'!$B$9,Paramètres!$A$1:$I$89,3,0)*0.475*44/12</f>
        <v>2.2171010896688195E-21</v>
      </c>
      <c r="AC182" s="22">
        <f t="shared" si="163"/>
        <v>0.54523834762390677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-1.383341441396624E-13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328.16808330103993</v>
      </c>
      <c r="T183" s="59">
        <f t="shared" si="142"/>
        <v>316.57989180609252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0.28712737999600163</v>
      </c>
      <c r="AA183" s="21">
        <f>EXP(-LN(2)/25)*AA182+(1-EXP(-LN(2)/25))/(LN(2)/25)*Calculateur!V183*Calculateur!X183*VLOOKUP('Données projet'!$B$9,Paramètres!$A$1:$I$89,3,0)*0.475*44/12</f>
        <v>0.2454669428383412</v>
      </c>
      <c r="AB183" s="21">
        <f>EXP(-LN(2)/2)*AB182+(1-EXP(-LN(2)/2))/(LN(2)/2)*V183*Y183*VLOOKUP('Données projet'!$B$9,Paramètres!$A$1:$I$89,3,0)*0.475*44/12</f>
        <v>1.5677272150809061E-21</v>
      </c>
      <c r="AC183" s="22">
        <f t="shared" si="163"/>
        <v>0.53259432283434283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-1.383341441396624E-13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328.16808330103993</v>
      </c>
      <c r="T184" s="59">
        <f t="shared" si="142"/>
        <v>316.57989180609252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0.28149698720468913</v>
      </c>
      <c r="AA184" s="21">
        <f>EXP(-LN(2)/25)*AA183+(1-EXP(-LN(2)/25))/(LN(2)/25)*Calculateur!V184*Calculateur!X184*VLOOKUP('Données projet'!$B$9,Paramètres!$A$1:$I$89,3,0)*0.475*44/12</f>
        <v>0.23875463637788125</v>
      </c>
      <c r="AB184" s="21">
        <f>EXP(-LN(2)/2)*AB183+(1-EXP(-LN(2)/2))/(LN(2)/2)*V184*Y184*VLOOKUP('Données projet'!$B$9,Paramètres!$A$1:$I$89,3,0)*0.475*44/12</f>
        <v>1.1085505448344098E-21</v>
      </c>
      <c r="AC184" s="22">
        <f t="shared" si="163"/>
        <v>0.52025162358257038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-1.383341441396624E-13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328.16808330103993</v>
      </c>
      <c r="T185" s="59">
        <f t="shared" si="142"/>
        <v>316.57989180609252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0.27597700298181377</v>
      </c>
      <c r="AA185" s="21">
        <f>EXP(-LN(2)/25)*AA184+(1-EXP(-LN(2)/25))/(LN(2)/25)*Calculateur!V185*Calculateur!X185*VLOOKUP('Données projet'!$B$9,Paramètres!$A$1:$I$89,3,0)*0.475*44/12</f>
        <v>0.23222587829056743</v>
      </c>
      <c r="AB185" s="21">
        <f>EXP(-LN(2)/2)*AB184+(1-EXP(-LN(2)/2))/(LN(2)/2)*V185*Y185*VLOOKUP('Données projet'!$B$9,Paramètres!$A$1:$I$89,3,0)*0.475*44/12</f>
        <v>7.8386360754045303E-22</v>
      </c>
      <c r="AC185" s="22">
        <f t="shared" si="163"/>
        <v>0.50820288127238122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-1.383341441396624E-13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328.16808330103993</v>
      </c>
      <c r="T186" s="59">
        <f t="shared" si="142"/>
        <v>316.57989180609252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0.27056526228269107</v>
      </c>
      <c r="AA186" s="21">
        <f>EXP(-LN(2)/25)*AA185+(1-EXP(-LN(2)/25))/(LN(2)/25)*Calculateur!V186*Calculateur!X186*VLOOKUP('Données projet'!$B$9,Paramètres!$A$1:$I$89,3,0)*0.475*44/12</f>
        <v>0.22587564943648369</v>
      </c>
      <c r="AB186" s="21">
        <f>EXP(-LN(2)/2)*AB185+(1-EXP(-LN(2)/2))/(LN(2)/2)*V186*Y186*VLOOKUP('Données projet'!$B$9,Paramètres!$A$1:$I$89,3,0)*0.475*44/12</f>
        <v>5.5427527241720488E-22</v>
      </c>
      <c r="AC186" s="22">
        <f t="shared" si="163"/>
        <v>0.49644091171917476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-1.383341441396624E-13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328.16808330103993</v>
      </c>
      <c r="T187" s="59">
        <f t="shared" si="142"/>
        <v>316.57989180609252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0.26525964251784229</v>
      </c>
      <c r="AA187" s="21">
        <f>EXP(-LN(2)/25)*AA186+(1-EXP(-LN(2)/25))/(LN(2)/25)*Calculateur!V187*Calculateur!X187*VLOOKUP('Données projet'!$B$9,Paramètres!$A$1:$I$89,3,0)*0.475*44/12</f>
        <v>0.21969906792435889</v>
      </c>
      <c r="AB187" s="21">
        <f>EXP(-LN(2)/2)*AB186+(1-EXP(-LN(2)/2))/(LN(2)/2)*V187*Y187*VLOOKUP('Données projet'!$B$9,Paramètres!$A$1:$I$89,3,0)*0.475*44/12</f>
        <v>3.9193180377022651E-22</v>
      </c>
      <c r="AC187" s="22">
        <f t="shared" si="163"/>
        <v>0.48495871044220118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-1.383341441396624E-13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328.16808330103993</v>
      </c>
      <c r="T188" s="59">
        <f t="shared" si="142"/>
        <v>316.57989180609252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0.26005806272047366</v>
      </c>
      <c r="AA188" s="21">
        <f>EXP(-LN(2)/25)*AA187+(1-EXP(-LN(2)/25))/(LN(2)/25)*Calculateur!V188*Calculateur!X188*VLOOKUP('Données projet'!$B$9,Paramètres!$A$1:$I$89,3,0)*0.475*44/12</f>
        <v>0.21369138535849544</v>
      </c>
      <c r="AB188" s="21">
        <f>EXP(-LN(2)/2)*AB187+(1-EXP(-LN(2)/2))/(LN(2)/2)*V188*Y188*VLOOKUP('Données projet'!$B$9,Paramètres!$A$1:$I$89,3,0)*0.475*44/12</f>
        <v>2.7713763620860244E-22</v>
      </c>
      <c r="AC188" s="22">
        <f t="shared" si="163"/>
        <v>0.47374944807896913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-1.383341441396624E-13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328.16808330103993</v>
      </c>
      <c r="T189" s="59">
        <f t="shared" si="142"/>
        <v>316.57989180609252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0.25495848273028104</v>
      </c>
      <c r="AA189" s="21">
        <f>EXP(-LN(2)/25)*AA188+(1-EXP(-LN(2)/25))/(LN(2)/25)*Calculateur!V189*Calculateur!X189*VLOOKUP('Données projet'!$B$9,Paramètres!$A$1:$I$89,3,0)*0.475*44/12</f>
        <v>0.20784798318832581</v>
      </c>
      <c r="AB189" s="21">
        <f>EXP(-LN(2)/2)*AB188+(1-EXP(-LN(2)/2))/(LN(2)/2)*V189*Y189*VLOOKUP('Données projet'!$B$9,Paramètres!$A$1:$I$89,3,0)*0.475*44/12</f>
        <v>1.9596590188511326E-22</v>
      </c>
      <c r="AC189" s="22">
        <f t="shared" si="163"/>
        <v>0.46280646591860686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-1.383341441396624E-13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328.16808330103993</v>
      </c>
      <c r="T190" s="59">
        <f t="shared" si="142"/>
        <v>316.57989180609252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0.24995890239325944</v>
      </c>
      <c r="AA190" s="21">
        <f>EXP(-LN(2)/25)*AA189+(1-EXP(-LN(2)/25))/(LN(2)/25)*Calculateur!V190*Calculateur!X190*VLOOKUP('Données projet'!$B$9,Paramètres!$A$1:$I$89,3,0)*0.475*44/12</f>
        <v>0.20216436915779065</v>
      </c>
      <c r="AB190" s="21">
        <f>EXP(-LN(2)/2)*AB189+(1-EXP(-LN(2)/2))/(LN(2)/2)*V190*Y190*VLOOKUP('Données projet'!$B$9,Paramètres!$A$1:$I$89,3,0)*0.475*44/12</f>
        <v>1.3856881810430122E-22</v>
      </c>
      <c r="AC190" s="22">
        <f t="shared" si="163"/>
        <v>0.45212327155105009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-1.383341441396624E-13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328.16808330103993</v>
      </c>
      <c r="T191" s="59">
        <f t="shared" si="142"/>
        <v>316.57989180609252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0.24505736077720391</v>
      </c>
      <c r="AA191" s="21">
        <f>EXP(-LN(2)/25)*AA190+(1-EXP(-LN(2)/25))/(LN(2)/25)*Calculateur!V191*Calculateur!X191*VLOOKUP('Données projet'!$B$9,Paramètres!$A$1:$I$89,3,0)*0.475*44/12</f>
        <v>0.19663617385180873</v>
      </c>
      <c r="AB191" s="21">
        <f>EXP(-LN(2)/2)*AB190+(1-EXP(-LN(2)/2))/(LN(2)/2)*V191*Y191*VLOOKUP('Données projet'!$B$9,Paramètres!$A$1:$I$89,3,0)*0.475*44/12</f>
        <v>9.7982950942556629E-23</v>
      </c>
      <c r="AC191" s="22">
        <f t="shared" si="163"/>
        <v>0.44169353462901262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-1.383341441396624E-13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328.16808330103993</v>
      </c>
      <c r="T192" s="59">
        <f t="shared" si="142"/>
        <v>316.57989180609252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0.24025193540259407</v>
      </c>
      <c r="AA192" s="21">
        <f>EXP(-LN(2)/25)*AA191+(1-EXP(-LN(2)/25))/(LN(2)/25)*Calculateur!V192*Calculateur!X192*VLOOKUP('Données projet'!$B$9,Paramètres!$A$1:$I$89,3,0)*0.475*44/12</f>
        <v>0.19125914733718405</v>
      </c>
      <c r="AB192" s="21">
        <f>EXP(-LN(2)/2)*AB191+(1-EXP(-LN(2)/2))/(LN(2)/2)*V192*Y192*VLOOKUP('Données projet'!$B$9,Paramètres!$A$1:$I$89,3,0)*0.475*44/12</f>
        <v>6.9284409052150609E-23</v>
      </c>
      <c r="AC192" s="22">
        <f t="shared" si="163"/>
        <v>0.43151108273977812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-1.383341441396624E-13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328.16808330103993</v>
      </c>
      <c r="T193" s="59">
        <f t="shared" si="142"/>
        <v>316.57989180609252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0.23554074148856025</v>
      </c>
      <c r="AA193" s="21">
        <f>EXP(-LN(2)/25)*AA192+(1-EXP(-LN(2)/25))/(LN(2)/25)*Calculateur!V193*Calculateur!X193*VLOOKUP('Données projet'!$B$9,Paramètres!$A$1:$I$89,3,0)*0.475*44/12</f>
        <v>0.18602915589536731</v>
      </c>
      <c r="AB193" s="21">
        <f>EXP(-LN(2)/2)*AB192+(1-EXP(-LN(2)/2))/(LN(2)/2)*V193*Y193*VLOOKUP('Données projet'!$B$9,Paramètres!$A$1:$I$89,3,0)*0.475*44/12</f>
        <v>4.8991475471278314E-23</v>
      </c>
      <c r="AC193" s="22">
        <f t="shared" si="163"/>
        <v>0.42156989738392758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-1.383341441396624E-13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328.16808330103993</v>
      </c>
      <c r="T194" s="59">
        <f t="shared" si="142"/>
        <v>316.57989180609252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0.23092193121363608</v>
      </c>
      <c r="AA194" s="21">
        <f>EXP(-LN(2)/25)*AA193+(1-EXP(-LN(2)/25))/(LN(2)/25)*Calculateur!V194*Calculateur!X194*VLOOKUP('Données projet'!$B$9,Paramètres!$A$1:$I$89,3,0)*0.475*44/12</f>
        <v>0.18094217884456035</v>
      </c>
      <c r="AB194" s="21">
        <f>EXP(-LN(2)/2)*AB193+(1-EXP(-LN(2)/2))/(LN(2)/2)*V194*Y194*VLOOKUP('Données projet'!$B$9,Paramètres!$A$1:$I$89,3,0)*0.475*44/12</f>
        <v>3.4642204526075305E-23</v>
      </c>
      <c r="AC194" s="22">
        <f t="shared" si="163"/>
        <v>0.41186411005819645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-1.383341441396624E-13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328.16808330103993</v>
      </c>
      <c r="T195" s="59">
        <f t="shared" si="142"/>
        <v>316.57989180609252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0.22639369299100709</v>
      </c>
      <c r="AA195" s="21">
        <f>EXP(-LN(2)/25)*AA194+(1-EXP(-LN(2)/25))/(LN(2)/25)*Calculateur!V195*Calculateur!X195*VLOOKUP('Données projet'!$B$9,Paramètres!$A$1:$I$89,3,0)*0.475*44/12</f>
        <v>0.17599430544872022</v>
      </c>
      <c r="AB195" s="21">
        <f>EXP(-LN(2)/2)*AB194+(1-EXP(-LN(2)/2))/(LN(2)/2)*V195*Y195*VLOOKUP('Données projet'!$B$9,Paramètres!$A$1:$I$89,3,0)*0.475*44/12</f>
        <v>2.4495737735639157E-23</v>
      </c>
      <c r="AC195" s="22">
        <f t="shared" si="163"/>
        <v>0.40238799843972728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-1.383341441396624E-13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328.16808330103993</v>
      </c>
      <c r="T196" s="59">
        <f t="shared" si="142"/>
        <v>316.57989180609252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0.22195425075797126</v>
      </c>
      <c r="AA196" s="21">
        <f>EXP(-LN(2)/25)*AA195+(1-EXP(-LN(2)/25))/(LN(2)/25)*Calculateur!V196*Calculateur!X196*VLOOKUP('Données projet'!$B$9,Paramètres!$A$1:$I$89,3,0)*0.475*44/12</f>
        <v>0.17118173191108668</v>
      </c>
      <c r="AB196" s="21">
        <f>EXP(-LN(2)/2)*AB195+(1-EXP(-LN(2)/2))/(LN(2)/2)*V196*Y196*VLOOKUP('Données projet'!$B$9,Paramètres!$A$1:$I$89,3,0)*0.475*44/12</f>
        <v>1.7321102263037652E-23</v>
      </c>
      <c r="AC196" s="22">
        <f t="shared" si="163"/>
        <v>0.39313598266905792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-1.383341441396624E-13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328.16808330103993</v>
      </c>
      <c r="T197" s="59">
        <f t="shared" ref="T197:T203" si="204">$T$3</f>
        <v>316.57989180609252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0.21760186327933287</v>
      </c>
      <c r="AA197" s="21">
        <f>EXP(-LN(2)/25)*AA196+(1-EXP(-LN(2)/25))/(LN(2)/25)*Calculateur!V197*Calculateur!X197*VLOOKUP('Données projet'!$B$9,Paramètres!$A$1:$I$89,3,0)*0.475*44/12</f>
        <v>0.16650075844992199</v>
      </c>
      <c r="AB197" s="21">
        <f>EXP(-LN(2)/2)*AB196+(1-EXP(-LN(2)/2))/(LN(2)/2)*V197*Y197*VLOOKUP('Données projet'!$B$9,Paramètres!$A$1:$I$89,3,0)*0.475*44/12</f>
        <v>1.2247868867819579E-23</v>
      </c>
      <c r="AC197" s="22">
        <f t="shared" si="163"/>
        <v>0.38410262172925486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-1.383341441396624E-13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328.16808330103993</v>
      </c>
      <c r="T198" s="59">
        <f t="shared" si="204"/>
        <v>316.57989180609252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0.21333482346445634</v>
      </c>
      <c r="AA198" s="21">
        <f>EXP(-LN(2)/25)*AA197+(1-EXP(-LN(2)/25))/(LN(2)/25)*Calculateur!V198*Calculateur!X198*VLOOKUP('Données projet'!$B$9,Paramètres!$A$1:$I$89,3,0)*0.475*44/12</f>
        <v>0.16194778645421454</v>
      </c>
      <c r="AB198" s="21">
        <f>EXP(-LN(2)/2)*AB197+(1-EXP(-LN(2)/2))/(LN(2)/2)*V198*Y198*VLOOKUP('Données projet'!$B$9,Paramètres!$A$1:$I$89,3,0)*0.475*44/12</f>
        <v>8.6605511315188262E-24</v>
      </c>
      <c r="AC198" s="22">
        <f t="shared" si="163"/>
        <v>0.37528260991867091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-1.383341441396624E-13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328.16808330103993</v>
      </c>
      <c r="T199" s="59">
        <f t="shared" si="204"/>
        <v>316.57989180609252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0.20915145769771223</v>
      </c>
      <c r="AA199" s="21">
        <f>EXP(-LN(2)/25)*AA198+(1-EXP(-LN(2)/25))/(LN(2)/25)*Calculateur!V199*Calculateur!X199*VLOOKUP('Données projet'!$B$9,Paramètres!$A$1:$I$89,3,0)*0.475*44/12</f>
        <v>0.15751931571716007</v>
      </c>
      <c r="AB199" s="21">
        <f>EXP(-LN(2)/2)*AB198+(1-EXP(-LN(2)/2))/(LN(2)/2)*V199*Y199*VLOOKUP('Données projet'!$B$9,Paramètres!$A$1:$I$89,3,0)*0.475*44/12</f>
        <v>6.1239344339097893E-24</v>
      </c>
      <c r="AC199" s="22">
        <f t="shared" si="163"/>
        <v>0.36667077341487231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-1.383341441396624E-13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328.16808330103993</v>
      </c>
      <c r="T200" s="59">
        <f t="shared" si="204"/>
        <v>316.57989180609252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0.20505012518205282</v>
      </c>
      <c r="AA200" s="21">
        <f>EXP(-LN(2)/25)*AA199+(1-EXP(-LN(2)/25))/(LN(2)/25)*Calculateur!V200*Calculateur!X200*VLOOKUP('Données projet'!$B$9,Paramètres!$A$1:$I$89,3,0)*0.475*44/12</f>
        <v>0.15321194174529354</v>
      </c>
      <c r="AB200" s="21">
        <f>EXP(-LN(2)/2)*AB199+(1-EXP(-LN(2)/2))/(LN(2)/2)*V200*Y200*VLOOKUP('Données projet'!$B$9,Paramètres!$A$1:$I$89,3,0)*0.475*44/12</f>
        <v>4.3302755657594131E-24</v>
      </c>
      <c r="AC200" s="22">
        <f t="shared" si="163"/>
        <v>0.35826206692734636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-1.383341441396624E-13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328.16808330103993</v>
      </c>
      <c r="T201" s="59">
        <f t="shared" si="204"/>
        <v>316.57989180609252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0.20102921729545967</v>
      </c>
      <c r="AA201" s="21">
        <f>EXP(-LN(2)/25)*AA200+(1-EXP(-LN(2)/25))/(LN(2)/25)*Calculateur!V201*Calculateur!X201*VLOOKUP('Données projet'!$B$9,Paramètres!$A$1:$I$89,3,0)*0.475*44/12</f>
        <v>0.14902235314120263</v>
      </c>
      <c r="AB201" s="21">
        <f>EXP(-LN(2)/2)*AB200+(1-EXP(-LN(2)/2))/(LN(2)/2)*V201*Y201*VLOOKUP('Données projet'!$B$9,Paramètres!$A$1:$I$89,3,0)*0.475*44/12</f>
        <v>3.0619672169548946E-24</v>
      </c>
      <c r="AC201" s="22">
        <f t="shared" si="163"/>
        <v>0.3500515704366623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-1.383341441396624E-13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328.16808330103993</v>
      </c>
      <c r="T202" s="59">
        <f t="shared" si="204"/>
        <v>316.57989180609252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0.19708715696001095</v>
      </c>
      <c r="AA202" s="21">
        <f>EXP(-LN(2)/25)*AA201+(1-EXP(-LN(2)/25))/(LN(2)/25)*Calculateur!V202*Calculateur!X202*VLOOKUP('Données projet'!$B$9,Paramètres!$A$1:$I$89,3,0)*0.475*44/12</f>
        <v>0.14494732905781149</v>
      </c>
      <c r="AB202" s="21">
        <f>EXP(-LN(2)/2)*AB201+(1-EXP(-LN(2)/2))/(LN(2)/2)*V202*Y202*VLOOKUP('Données projet'!$B$9,Paramètres!$A$1:$I$89,3,0)*0.475*44/12</f>
        <v>2.1651377828797065E-24</v>
      </c>
      <c r="AC202" s="22">
        <f t="shared" si="163"/>
        <v>0.34203448601782244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-1.383341441396624E-13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328.16808330103993</v>
      </c>
      <c r="T203" s="59">
        <f t="shared" si="204"/>
        <v>316.57989180609252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0.193222398023321</v>
      </c>
      <c r="AA203" s="21">
        <f>EXP(-LN(2)/25)*AA202+(1-EXP(-LN(2)/25))/(LN(2)/25)*Calculateur!V203*Calculateur!X203*VLOOKUP('Données projet'!$B$9,Paramètres!$A$1:$I$89,3,0)*0.475*44/12</f>
        <v>0.14098373672227688</v>
      </c>
      <c r="AB203" s="21">
        <f>EXP(-LN(2)/2)*AB202+(1-EXP(-LN(2)/2))/(LN(2)/2)*V203*Y203*VLOOKUP('Données projet'!$B$9,Paramètres!$A$1:$I$89,3,0)*0.475*44/12</f>
        <v>1.5309836084774473E-24</v>
      </c>
      <c r="AC203" s="22">
        <f t="shared" si="163"/>
        <v>0.3342061347455979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1.2721747796233518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2" sqref="O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Noyer</v>
      </c>
      <c r="B6" s="146">
        <f>'Données projet'!D9</f>
        <v>3.75</v>
      </c>
      <c r="C6" s="147">
        <f ca="1">IF(OR('Données projet'!B9="",'Données projet'!C9="",'Données projet'!C9=0%),0,Calculateur!S3)</f>
        <v>328.16808330103993</v>
      </c>
      <c r="D6" s="147">
        <f>IF(OR('Données projet'!B9="",'Données projet'!C9="",'Données projet'!C9=0%),0,Calculateur!T3)</f>
        <v>316.57989180609252</v>
      </c>
      <c r="E6" s="147">
        <f ca="1">MIN(C6,D6)</f>
        <v>316.57989180609252</v>
      </c>
      <c r="F6" s="147">
        <f ca="1">E6*B6</f>
        <v>1187.1745942728469</v>
      </c>
      <c r="G6" s="147">
        <f ca="1">F6*(100%-'Données projet'!$C$24)*(100%-'Données projet'!$C$25)*(100%-'Données projet'!$C$26)*(100%-'Données projet'!$C$27)</f>
        <v>1068.4571348455622</v>
      </c>
      <c r="H6" s="148">
        <f>IF(OR('Données projet'!B9="",'Données projet'!C9="",'Données projet'!C9=0%),0,AVERAGE(Calculateur!$AC$3:$AC$33)*B6)</f>
        <v>14.215127533931151</v>
      </c>
      <c r="I6" s="149">
        <f>H6*(100%-'Données projet'!$C$24)*(100%-'Données projet'!$C$25)*(100%-'Données projet'!$C$26)*(100%-'Données projet'!$C$27)</f>
        <v>12.793614780538036</v>
      </c>
      <c r="J6" s="150">
        <f>IF(OR('Données projet'!B9="",'Données projet'!C9="",'Données projet'!C9=0%),0,SUM(Calculateur!$V$3:$V$33)*VLOOKUP('Données projet'!$B$9,Paramètres!$A$1:$I$89,9,0)*B6)</f>
        <v>92.8125</v>
      </c>
      <c r="K6" s="151">
        <f>J6*(100%-'Données projet'!$C$24)*(100%-'Données projet'!$C$25)*(100%-'Données projet'!$C$26)*(100%-'Données projet'!$C$27)</f>
        <v>83.53125</v>
      </c>
      <c r="L6" s="152">
        <f ca="1">G6+I6+K6</f>
        <v>1164.7819996261003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1187.1745942728469</v>
      </c>
      <c r="G16" s="166">
        <f t="shared" ca="1" si="3"/>
        <v>1068.4571348455622</v>
      </c>
      <c r="H16" s="167">
        <f t="shared" si="3"/>
        <v>14.215127533931151</v>
      </c>
      <c r="I16" s="167">
        <f t="shared" si="3"/>
        <v>12.793614780538036</v>
      </c>
      <c r="J16" s="168">
        <f t="shared" si="3"/>
        <v>92.8125</v>
      </c>
      <c r="K16" s="168">
        <f t="shared" si="3"/>
        <v>83.53125</v>
      </c>
      <c r="L16" s="169">
        <f t="shared" ca="1" si="3"/>
        <v>1164.7819996261003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Noyer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M22" sqref="M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Noyer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-742.76238830749617</v>
      </c>
      <c r="U10" s="178">
        <f>'Données projet'!D9</f>
        <v>3.75</v>
      </c>
      <c r="V10" s="177">
        <f>U10*T10</f>
        <v>-2785.3589561531107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Noyer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200*(6.6+0.65)</f>
        <v>1450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(250+300+1032.75+918+994+283)/3.75</f>
        <v>1007.4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370+330+((1043+782)/3)</f>
        <v>1308.3333333333335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 t="shared" ref="I22:I23" si="2">370+330+((1043+782)/3)</f>
        <v>1308.3333333333335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15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f t="shared" si="2"/>
        <v>1308.3333333333335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-20050.215319610936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28</v>
      </c>
      <c r="C24" s="193">
        <v>3</v>
      </c>
      <c r="D24" s="182">
        <f t="shared" ref="D24:D42" si="3">B24*C24</f>
        <v>84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12693.006521779986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28</v>
      </c>
      <c r="C25" s="193">
        <v>3</v>
      </c>
      <c r="D25" s="182">
        <f t="shared" si="3"/>
        <v>84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299">
        <f ca="1">T23-T24</f>
        <v>-32743.221841390921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28</v>
      </c>
      <c r="C26" s="193">
        <v>3</v>
      </c>
      <c r="D26" s="182">
        <f t="shared" si="3"/>
        <v>84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28</v>
      </c>
      <c r="C27" s="193">
        <v>3</v>
      </c>
      <c r="D27" s="182">
        <f t="shared" si="3"/>
        <v>84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28</v>
      </c>
      <c r="C28" s="193">
        <v>24</v>
      </c>
      <c r="D28" s="182">
        <f t="shared" si="3"/>
        <v>672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22</v>
      </c>
      <c r="C29" s="193">
        <v>24</v>
      </c>
      <c r="D29" s="182">
        <f t="shared" si="3"/>
        <v>528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17</v>
      </c>
      <c r="C30" s="193">
        <v>24</v>
      </c>
      <c r="D30" s="182">
        <f t="shared" si="3"/>
        <v>408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3384.8017391413296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13</v>
      </c>
      <c r="C31" s="193">
        <v>24</v>
      </c>
      <c r="D31" s="182">
        <f t="shared" si="3"/>
        <v>312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12</v>
      </c>
      <c r="C32" s="193">
        <v>24</v>
      </c>
      <c r="D32" s="182">
        <f t="shared" si="3"/>
        <v>288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11</v>
      </c>
      <c r="C33" s="193">
        <v>24</v>
      </c>
      <c r="D33" s="182">
        <f t="shared" si="3"/>
        <v>264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70</v>
      </c>
      <c r="B34" s="181">
        <f>'Données projet'!D47</f>
        <v>10</v>
      </c>
      <c r="C34" s="193">
        <v>24</v>
      </c>
      <c r="D34" s="182">
        <f t="shared" si="3"/>
        <v>240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75</v>
      </c>
      <c r="B35" s="181">
        <f>'Données projet'!D48</f>
        <v>9</v>
      </c>
      <c r="C35" s="193">
        <v>35</v>
      </c>
      <c r="D35" s="182">
        <f t="shared" si="3"/>
        <v>315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80</v>
      </c>
      <c r="B36" s="181">
        <f>'Données projet'!D49</f>
        <v>275</v>
      </c>
      <c r="C36" s="193">
        <v>35</v>
      </c>
      <c r="D36" s="182">
        <f t="shared" si="3"/>
        <v>9625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5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5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5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18.13465582556119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17.353737632115969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16.606447494847824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15.891337315643849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15.207021354683112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14.552173545151303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13.925524923589769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13.3258611708993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12.752020259233783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12.202890200223717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11.677406890166239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11.174552048005971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10.693351242110978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10.232872002020073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9.7922220115024654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6"/>
        <v>9.3705473794281957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8.9670309850987575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8.5808908948313452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8"/>
        <v>8.2113788467285627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8"/>
        <v>7.8577788006971891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8"/>
        <v>7.5194055509064022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8"/>
        <v>7.1956033979965577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8"/>
        <v>6.8857448784656068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8"/>
        <v>6.5892295487709163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8"/>
        <v>6.3054828217903518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8"/>
        <v>6.0339548533878968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8"/>
        <v>5.7741194769262174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8"/>
        <v>5.5254731836614521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8"/>
        <v>5.287534147044453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8"/>
        <v>5.0598412890377542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8"/>
        <v>4.841953386639001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8"/>
        <v>4.633448216879426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8"/>
        <v>4.4339217386406009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2024-04-09T15:06:29Z</dcterms:modified>
</cp:coreProperties>
</file>