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Evreux\MAHERU (61) - LE TORS DE CRECY Benoit\Dossier déposé le 09 07 2024\"/>
    </mc:Choice>
  </mc:AlternateContent>
  <xr:revisionPtr revIDLastSave="0" documentId="13_ncr:1_{706F4BE1-B2CD-41C8-8299-BD2D1569B4E2}" xr6:coauthVersionLast="36" xr6:coauthVersionMax="36" xr10:uidLastSave="{00000000-0000-0000-0000-000000000000}"/>
  <bookViews>
    <workbookView xWindow="0" yWindow="0" windowWidth="28800" windowHeight="12612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6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58" i="2" a="1"/>
  <c r="BC5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34" i="2" l="1" a="1"/>
  <c r="BC34" i="2" s="1"/>
  <c r="AH163" i="2" a="1"/>
  <c r="AH163" i="2" s="1"/>
  <c r="AH19" i="2" a="1"/>
  <c r="AH19" i="2" s="1"/>
  <c r="AH166" i="2" a="1"/>
  <c r="AH166" i="2" s="1"/>
  <c r="AH90" i="2" a="1"/>
  <c r="AH90" i="2" s="1"/>
  <c r="AH199" i="2" a="1"/>
  <c r="AH199" i="2" s="1"/>
  <c r="AH151" i="2" a="1"/>
  <c r="AH151" i="2" s="1"/>
  <c r="AH92" i="2" a="1"/>
  <c r="AH92" i="2" s="1"/>
  <c r="BC68" i="2" a="1"/>
  <c r="BC68" i="2" s="1"/>
  <c r="BC192" i="2" a="1"/>
  <c r="BC192" i="2" s="1"/>
  <c r="BC117" i="2" a="1"/>
  <c r="BC117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M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<sst xmlns="http://schemas.openxmlformats.org/spreadsheetml/2006/main" count="1171" uniqueCount="324">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</sst>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€_-;\-* #,##0.00\ _€_-;_-* &quot;-&quot;??\ _€_-;_-@_-"/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  <numFmt numFmtId="169" formatCode="_-* #,##0\ _€_-;\-* #,##0\ _€_-;_-* &quot;-&quot;??\ _€_-;_-@_-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9" fontId="9" fillId="14" borderId="1" xfId="3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4">
    <cellStyle name="Lien hypertexte" xfId="2" builtinId="8"/>
    <cellStyle name="Milliers" xfId="3" builtinId="3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40.194516673030414</c:v>
                </c:pt>
                <c:pt idx="12">
                  <c:v>59.423997506342801</c:v>
                </c:pt>
                <c:pt idx="13">
                  <c:v>78.488959578049446</c:v>
                </c:pt>
                <c:pt idx="14">
                  <c:v>97.435579235164482</c:v>
                </c:pt>
                <c:pt idx="15">
                  <c:v>116.29027446560372</c:v>
                </c:pt>
                <c:pt idx="16">
                  <c:v>84.113672803399268</c:v>
                </c:pt>
                <c:pt idx="17">
                  <c:v>107.92051495671598</c:v>
                </c:pt>
                <c:pt idx="18">
                  <c:v>131.59741333417946</c:v>
                </c:pt>
                <c:pt idx="19">
                  <c:v>155.17115527031999</c:v>
                </c:pt>
                <c:pt idx="20">
                  <c:v>178.65965761508951</c:v>
                </c:pt>
                <c:pt idx="21">
                  <c:v>143.74255992313238</c:v>
                </c:pt>
                <c:pt idx="22">
                  <c:v>169.34263834209935</c:v>
                </c:pt>
                <c:pt idx="23">
                  <c:v>194.85139259598841</c:v>
                </c:pt>
                <c:pt idx="24">
                  <c:v>220.2824723640712</c:v>
                </c:pt>
                <c:pt idx="25">
                  <c:v>245.64610894283177</c:v>
                </c:pt>
                <c:pt idx="26">
                  <c:v>209.98122047833627</c:v>
                </c:pt>
                <c:pt idx="27">
                  <c:v>234.34307827690756</c:v>
                </c:pt>
                <c:pt idx="28">
                  <c:v>258.64712580976101</c:v>
                </c:pt>
                <c:pt idx="29">
                  <c:v>282.89955759178855</c:v>
                </c:pt>
                <c:pt idx="30">
                  <c:v>307.10541864100406</c:v>
                </c:pt>
                <c:pt idx="31">
                  <c:v>269.58386372149999</c:v>
                </c:pt>
                <c:pt idx="32">
                  <c:v>291.76884281866893</c:v>
                </c:pt>
                <c:pt idx="33">
                  <c:v>313.9161563114389</c:v>
                </c:pt>
                <c:pt idx="34">
                  <c:v>336.02883386480761</c:v>
                </c:pt>
                <c:pt idx="35">
                  <c:v>358.10947390735402</c:v>
                </c:pt>
                <c:pt idx="36">
                  <c:v>318.00102122537891</c:v>
                </c:pt>
                <c:pt idx="37">
                  <c:v>337.38854301296448</c:v>
                </c:pt>
                <c:pt idx="38">
                  <c:v>356.7515468667284</c:v>
                </c:pt>
                <c:pt idx="39">
                  <c:v>376.09155014049139</c:v>
                </c:pt>
                <c:pt idx="40">
                  <c:v>395.40990144559356</c:v>
                </c:pt>
                <c:pt idx="41">
                  <c:v>352.67708456218475</c:v>
                </c:pt>
                <c:pt idx="42">
                  <c:v>369.30811574035579</c:v>
                </c:pt>
                <c:pt idx="43">
                  <c:v>385.92281180916166</c:v>
                </c:pt>
                <c:pt idx="44">
                  <c:v>402.5219748287804</c:v>
                </c:pt>
                <c:pt idx="45">
                  <c:v>419.10633532774767</c:v>
                </c:pt>
                <c:pt idx="46">
                  <c:v>392.69981359198135</c:v>
                </c:pt>
                <c:pt idx="47">
                  <c:v>406.92332134334953</c:v>
                </c:pt>
                <c:pt idx="48">
                  <c:v>421.13608919058862</c:v>
                </c:pt>
                <c:pt idx="49">
                  <c:v>435.33853059869926</c:v>
                </c:pt>
                <c:pt idx="50">
                  <c:v>449.53102985794368</c:v>
                </c:pt>
                <c:pt idx="51">
                  <c:v>429.92926929891951</c:v>
                </c:pt>
                <c:pt idx="52">
                  <c:v>442.43600003546334</c:v>
                </c:pt>
                <c:pt idx="53">
                  <c:v>454.93515661064185</c:v>
                </c:pt>
                <c:pt idx="54">
                  <c:v>467.42697643811471</c:v>
                </c:pt>
                <c:pt idx="55">
                  <c:v>479.91168320756537</c:v>
                </c:pt>
                <c:pt idx="56">
                  <c:v>463.71394501783237</c:v>
                </c:pt>
                <c:pt idx="57">
                  <c:v>474.51375017343656</c:v>
                </c:pt>
                <c:pt idx="58">
                  <c:v>485.30832573764309</c:v>
                </c:pt>
                <c:pt idx="59">
                  <c:v>496.09780443549545</c:v>
                </c:pt>
                <c:pt idx="60">
                  <c:v>506.88231274768867</c:v>
                </c:pt>
                <c:pt idx="61">
                  <c:v>492.05233905304038</c:v>
                </c:pt>
                <c:pt idx="62">
                  <c:v>500.81663116885534</c:v>
                </c:pt>
                <c:pt idx="63">
                  <c:v>509.57767746501696</c:v>
                </c:pt>
                <c:pt idx="64">
                  <c:v>518.33554162748908</c:v>
                </c:pt>
                <c:pt idx="65">
                  <c:v>527.09028501417163</c:v>
                </c:pt>
                <c:pt idx="66">
                  <c:v>512.60960277392599</c:v>
                </c:pt>
                <c:pt idx="67">
                  <c:v>520.0193866370247</c:v>
                </c:pt>
                <c:pt idx="68">
                  <c:v>527.42694440011905</c:v>
                </c:pt>
                <c:pt idx="69">
                  <c:v>534.83231174765172</c:v>
                </c:pt>
                <c:pt idx="70">
                  <c:v>542.23552329497818</c:v>
                </c:pt>
                <c:pt idx="71">
                  <c:v>527.42694440011894</c:v>
                </c:pt>
                <c:pt idx="72">
                  <c:v>534.49575116718847</c:v>
                </c:pt>
                <c:pt idx="73">
                  <c:v>541.56259225555311</c:v>
                </c:pt>
                <c:pt idx="74">
                  <c:v>548.62749694119634</c:v>
                </c:pt>
                <c:pt idx="75">
                  <c:v>555.69049368437459</c:v>
                </c:pt>
                <c:pt idx="76">
                  <c:v>552.32739808267536</c:v>
                </c:pt>
                <c:pt idx="77">
                  <c:v>569.1386416539591</c:v>
                </c:pt>
                <c:pt idx="78">
                  <c:v>585.93951180923511</c:v>
                </c:pt>
                <c:pt idx="79">
                  <c:v>602.73034768336231</c:v>
                </c:pt>
                <c:pt idx="80">
                  <c:v>619.51146798813363</c:v>
                </c:pt>
                <c:pt idx="81">
                  <c:v>601.05170640358574</c:v>
                </c:pt>
                <c:pt idx="82">
                  <c:v>601.05170640358574</c:v>
                </c:pt>
                <c:pt idx="83">
                  <c:v>601.05170640358574</c:v>
                </c:pt>
                <c:pt idx="84">
                  <c:v>601.05170640358574</c:v>
                </c:pt>
                <c:pt idx="85">
                  <c:v>601.05170640358574</c:v>
                </c:pt>
                <c:pt idx="86">
                  <c:v>601.05170640358574</c:v>
                </c:pt>
                <c:pt idx="87">
                  <c:v>601.05170640358574</c:v>
                </c:pt>
                <c:pt idx="88">
                  <c:v>601.05170640358574</c:v>
                </c:pt>
                <c:pt idx="89">
                  <c:v>601.05170640358574</c:v>
                </c:pt>
                <c:pt idx="90">
                  <c:v>601.05170640358574</c:v>
                </c:pt>
                <c:pt idx="91">
                  <c:v>601.05170640358574</c:v>
                </c:pt>
                <c:pt idx="92">
                  <c:v>601.05170640358574</c:v>
                </c:pt>
                <c:pt idx="93">
                  <c:v>601.05170640358574</c:v>
                </c:pt>
                <c:pt idx="94">
                  <c:v>601.05170640358574</c:v>
                </c:pt>
                <c:pt idx="95">
                  <c:v>601.05170640358574</c:v>
                </c:pt>
                <c:pt idx="96">
                  <c:v>601.05170640358574</c:v>
                </c:pt>
                <c:pt idx="97">
                  <c:v>601.05170640358574</c:v>
                </c:pt>
                <c:pt idx="98">
                  <c:v>601.05170640358574</c:v>
                </c:pt>
                <c:pt idx="99">
                  <c:v>601.05170640358574</c:v>
                </c:pt>
                <c:pt idx="100">
                  <c:v>601.05170640358574</c:v>
                </c:pt>
                <c:pt idx="101">
                  <c:v>601.05170640358574</c:v>
                </c:pt>
                <c:pt idx="102">
                  <c:v>601.05170640358574</c:v>
                </c:pt>
                <c:pt idx="103">
                  <c:v>601.05170640358574</c:v>
                </c:pt>
                <c:pt idx="104">
                  <c:v>601.05170640358574</c:v>
                </c:pt>
                <c:pt idx="105">
                  <c:v>601.05170640358574</c:v>
                </c:pt>
                <c:pt idx="106">
                  <c:v>601.05170640358574</c:v>
                </c:pt>
                <c:pt idx="107">
                  <c:v>601.05170640358574</c:v>
                </c:pt>
                <c:pt idx="108">
                  <c:v>601.05170640358574</c:v>
                </c:pt>
                <c:pt idx="109">
                  <c:v>601.05170640358574</c:v>
                </c:pt>
                <c:pt idx="110">
                  <c:v>601.05170640358574</c:v>
                </c:pt>
                <c:pt idx="111">
                  <c:v>601.05170640358574</c:v>
                </c:pt>
                <c:pt idx="112">
                  <c:v>601.05170640358574</c:v>
                </c:pt>
                <c:pt idx="113">
                  <c:v>601.05170640358574</c:v>
                </c:pt>
                <c:pt idx="114">
                  <c:v>601.05170640358574</c:v>
                </c:pt>
                <c:pt idx="115">
                  <c:v>601.05170640358574</c:v>
                </c:pt>
                <c:pt idx="116">
                  <c:v>601.05170640358574</c:v>
                </c:pt>
                <c:pt idx="117">
                  <c:v>601.05170640358574</c:v>
                </c:pt>
                <c:pt idx="118">
                  <c:v>601.05170640358574</c:v>
                </c:pt>
                <c:pt idx="119">
                  <c:v>601.05170640358574</c:v>
                </c:pt>
                <c:pt idx="120">
                  <c:v>601.05170640358574</c:v>
                </c:pt>
                <c:pt idx="121">
                  <c:v>601.05170640358574</c:v>
                </c:pt>
                <c:pt idx="122">
                  <c:v>601.05170640358574</c:v>
                </c:pt>
                <c:pt idx="123">
                  <c:v>601.05170640358574</c:v>
                </c:pt>
                <c:pt idx="124">
                  <c:v>601.05170640358574</c:v>
                </c:pt>
                <c:pt idx="125">
                  <c:v>601.05170640358574</c:v>
                </c:pt>
                <c:pt idx="126">
                  <c:v>601.05170640358574</c:v>
                </c:pt>
                <c:pt idx="127">
                  <c:v>601.05170640358574</c:v>
                </c:pt>
                <c:pt idx="128">
                  <c:v>601.05170640358574</c:v>
                </c:pt>
                <c:pt idx="129">
                  <c:v>601.05170640358574</c:v>
                </c:pt>
                <c:pt idx="130">
                  <c:v>601.05170640358574</c:v>
                </c:pt>
                <c:pt idx="131">
                  <c:v>601.05170640358574</c:v>
                </c:pt>
                <c:pt idx="132">
                  <c:v>601.05170640358574</c:v>
                </c:pt>
                <c:pt idx="133">
                  <c:v>601.05170640358574</c:v>
                </c:pt>
                <c:pt idx="134">
                  <c:v>601.05170640358574</c:v>
                </c:pt>
                <c:pt idx="135">
                  <c:v>601.05170640358574</c:v>
                </c:pt>
                <c:pt idx="136">
                  <c:v>601.05170640358574</c:v>
                </c:pt>
                <c:pt idx="137">
                  <c:v>601.05170640358574</c:v>
                </c:pt>
                <c:pt idx="138">
                  <c:v>601.05170640358574</c:v>
                </c:pt>
                <c:pt idx="139">
                  <c:v>601.05170640358574</c:v>
                </c:pt>
                <c:pt idx="140">
                  <c:v>601.05170640358574</c:v>
                </c:pt>
                <c:pt idx="141">
                  <c:v>601.05170640358574</c:v>
                </c:pt>
                <c:pt idx="142">
                  <c:v>601.05170640358574</c:v>
                </c:pt>
                <c:pt idx="143">
                  <c:v>601.05170640358574</c:v>
                </c:pt>
                <c:pt idx="144">
                  <c:v>601.05170640358574</c:v>
                </c:pt>
                <c:pt idx="145">
                  <c:v>601.05170640358574</c:v>
                </c:pt>
                <c:pt idx="146">
                  <c:v>601.05170640358574</c:v>
                </c:pt>
                <c:pt idx="147">
                  <c:v>601.05170640358574</c:v>
                </c:pt>
                <c:pt idx="148">
                  <c:v>601.05170640358574</c:v>
                </c:pt>
                <c:pt idx="149">
                  <c:v>601.05170640358574</c:v>
                </c:pt>
                <c:pt idx="150">
                  <c:v>601.05170640358574</c:v>
                </c:pt>
                <c:pt idx="151">
                  <c:v>601.05170640358574</c:v>
                </c:pt>
                <c:pt idx="152">
                  <c:v>601.05170640358574</c:v>
                </c:pt>
                <c:pt idx="153">
                  <c:v>601.05170640358574</c:v>
                </c:pt>
                <c:pt idx="154">
                  <c:v>601.05170640358574</c:v>
                </c:pt>
                <c:pt idx="155">
                  <c:v>601.05170640358574</c:v>
                </c:pt>
                <c:pt idx="156">
                  <c:v>601.05170640358574</c:v>
                </c:pt>
                <c:pt idx="157">
                  <c:v>601.05170640358574</c:v>
                </c:pt>
                <c:pt idx="158">
                  <c:v>601.05170640358574</c:v>
                </c:pt>
                <c:pt idx="159">
                  <c:v>601.05170640358574</c:v>
                </c:pt>
                <c:pt idx="160">
                  <c:v>601.05170640358574</c:v>
                </c:pt>
                <c:pt idx="161">
                  <c:v>601.05170640358574</c:v>
                </c:pt>
                <c:pt idx="162">
                  <c:v>601.05170640358574</c:v>
                </c:pt>
                <c:pt idx="163">
                  <c:v>601.05170640358574</c:v>
                </c:pt>
                <c:pt idx="164">
                  <c:v>601.05170640358574</c:v>
                </c:pt>
                <c:pt idx="165">
                  <c:v>601.05170640358574</c:v>
                </c:pt>
                <c:pt idx="166">
                  <c:v>601.05170640358574</c:v>
                </c:pt>
                <c:pt idx="167">
                  <c:v>601.05170640358574</c:v>
                </c:pt>
                <c:pt idx="168">
                  <c:v>601.05170640358574</c:v>
                </c:pt>
                <c:pt idx="169">
                  <c:v>601.05170640358574</c:v>
                </c:pt>
                <c:pt idx="170">
                  <c:v>601.05170640358574</c:v>
                </c:pt>
                <c:pt idx="171">
                  <c:v>601.05170640358574</c:v>
                </c:pt>
                <c:pt idx="172">
                  <c:v>601.05170640358574</c:v>
                </c:pt>
                <c:pt idx="173">
                  <c:v>601.05170640358574</c:v>
                </c:pt>
                <c:pt idx="174">
                  <c:v>601.05170640358574</c:v>
                </c:pt>
                <c:pt idx="175">
                  <c:v>601.05170640358574</c:v>
                </c:pt>
                <c:pt idx="176">
                  <c:v>601.05170640358574</c:v>
                </c:pt>
                <c:pt idx="177">
                  <c:v>601.05170640358574</c:v>
                </c:pt>
                <c:pt idx="178">
                  <c:v>601.05170640358574</c:v>
                </c:pt>
                <c:pt idx="179">
                  <c:v>601.05170640358574</c:v>
                </c:pt>
                <c:pt idx="180">
                  <c:v>601.05170640358574</c:v>
                </c:pt>
                <c:pt idx="181">
                  <c:v>601.05170640358574</c:v>
                </c:pt>
                <c:pt idx="182">
                  <c:v>601.05170640358574</c:v>
                </c:pt>
                <c:pt idx="183">
                  <c:v>601.05170640358574</c:v>
                </c:pt>
                <c:pt idx="184">
                  <c:v>601.05170640358574</c:v>
                </c:pt>
                <c:pt idx="185">
                  <c:v>601.05170640358574</c:v>
                </c:pt>
                <c:pt idx="186">
                  <c:v>601.05170640358574</c:v>
                </c:pt>
                <c:pt idx="187">
                  <c:v>601.05170640358574</c:v>
                </c:pt>
                <c:pt idx="188">
                  <c:v>601.05170640358574</c:v>
                </c:pt>
                <c:pt idx="189">
                  <c:v>601.05170640358574</c:v>
                </c:pt>
                <c:pt idx="190">
                  <c:v>601.05170640358574</c:v>
                </c:pt>
                <c:pt idx="191">
                  <c:v>601.05170640358574</c:v>
                </c:pt>
                <c:pt idx="192">
                  <c:v>601.05170640358574</c:v>
                </c:pt>
                <c:pt idx="193">
                  <c:v>601.05170640358574</c:v>
                </c:pt>
                <c:pt idx="194">
                  <c:v>601.05170640358574</c:v>
                </c:pt>
                <c:pt idx="195">
                  <c:v>601.05170640358574</c:v>
                </c:pt>
                <c:pt idx="196">
                  <c:v>601.05170640358574</c:v>
                </c:pt>
                <c:pt idx="197">
                  <c:v>601.05170640358574</c:v>
                </c:pt>
                <c:pt idx="198">
                  <c:v>601.05170640358574</c:v>
                </c:pt>
                <c:pt idx="199">
                  <c:v>601.05170640358574</c:v>
                </c:pt>
                <c:pt idx="200">
                  <c:v>601.05170640358574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2.5056460090303925</c:v>
                </c:pt>
                <c:pt idx="2">
                  <c:v>3.327732738846354</c:v>
                </c:pt>
                <c:pt idx="3">
                  <c:v>4.4206485604712045</c:v>
                </c:pt>
                <c:pt idx="4">
                  <c:v>5.8739591407388465</c:v>
                </c:pt>
                <c:pt idx="5">
                  <c:v>7.8069564008888577</c:v>
                </c:pt>
                <c:pt idx="6">
                  <c:v>10.378557094398952</c:v>
                </c:pt>
                <c:pt idx="7">
                  <c:v>13.800507525415135</c:v>
                </c:pt>
                <c:pt idx="8">
                  <c:v>18.355001719973249</c:v>
                </c:pt>
                <c:pt idx="9">
                  <c:v>24.418192160645134</c:v>
                </c:pt>
                <c:pt idx="10">
                  <c:v>32.491569113944941</c:v>
                </c:pt>
                <c:pt idx="11">
                  <c:v>44.716696017915012</c:v>
                </c:pt>
                <c:pt idx="12">
                  <c:v>68.267356266852531</c:v>
                </c:pt>
                <c:pt idx="13">
                  <c:v>91.605526277825675</c:v>
                </c:pt>
                <c:pt idx="14">
                  <c:v>114.79386073387417</c:v>
                </c:pt>
                <c:pt idx="15">
                  <c:v>137.86711899238378</c:v>
                </c:pt>
                <c:pt idx="16">
                  <c:v>96.447363572255242</c:v>
                </c:pt>
                <c:pt idx="17">
                  <c:v>122.49645924610256</c:v>
                </c:pt>
                <c:pt idx="18">
                  <c:v>148.41023510355402</c:v>
                </c:pt>
                <c:pt idx="19">
                  <c:v>174.21574506160064</c:v>
                </c:pt>
                <c:pt idx="20">
                  <c:v>199.93131520555619</c:v>
                </c:pt>
                <c:pt idx="21">
                  <c:v>159.89147845501216</c:v>
                </c:pt>
                <c:pt idx="22">
                  <c:v>186.6076360513151</c:v>
                </c:pt>
                <c:pt idx="23">
                  <c:v>213.23441535885948</c:v>
                </c:pt>
                <c:pt idx="24">
                  <c:v>239.78455379251184</c:v>
                </c:pt>
                <c:pt idx="25">
                  <c:v>266.26773098057953</c:v>
                </c:pt>
                <c:pt idx="26">
                  <c:v>225.88624492093732</c:v>
                </c:pt>
                <c:pt idx="27">
                  <c:v>251.77283729785236</c:v>
                </c:pt>
                <c:pt idx="28">
                  <c:v>277.59910531675155</c:v>
                </c:pt>
                <c:pt idx="29">
                  <c:v>303.37144778612094</c:v>
                </c:pt>
                <c:pt idx="30">
                  <c:v>329.09508705409212</c:v>
                </c:pt>
                <c:pt idx="31">
                  <c:v>287.03396888617937</c:v>
                </c:pt>
                <c:pt idx="32">
                  <c:v>310.90515078463847</c:v>
                </c:pt>
                <c:pt idx="33">
                  <c:v>334.73566468440248</c:v>
                </c:pt>
                <c:pt idx="34">
                  <c:v>358.52881092769786</c:v>
                </c:pt>
                <c:pt idx="35">
                  <c:v>382.28741618096228</c:v>
                </c:pt>
                <c:pt idx="36">
                  <c:v>337.24191352703082</c:v>
                </c:pt>
                <c:pt idx="37">
                  <c:v>357.90312952366207</c:v>
                </c:pt>
                <c:pt idx="38">
                  <c:v>378.53824995849158</c:v>
                </c:pt>
                <c:pt idx="39">
                  <c:v>399.14889663922986</c:v>
                </c:pt>
                <c:pt idx="40">
                  <c:v>419.73651029301618</c:v>
                </c:pt>
                <c:pt idx="41">
                  <c:v>375.10080417289322</c:v>
                </c:pt>
                <c:pt idx="42">
                  <c:v>392.90574133229569</c:v>
                </c:pt>
                <c:pt idx="43">
                  <c:v>410.69318870493333</c:v>
                </c:pt>
                <c:pt idx="44">
                  <c:v>428.46401008226007</c:v>
                </c:pt>
                <c:pt idx="45">
                  <c:v>446.21899178570357</c:v>
                </c:pt>
                <c:pt idx="46">
                  <c:v>420.98353332932442</c:v>
                </c:pt>
                <c:pt idx="47">
                  <c:v>436.25318896943855</c:v>
                </c:pt>
                <c:pt idx="48">
                  <c:v>451.51137887574367</c:v>
                </c:pt>
                <c:pt idx="49">
                  <c:v>466.75854497480481</c:v>
                </c:pt>
                <c:pt idx="50">
                  <c:v>481.99509797473166</c:v>
                </c:pt>
                <c:pt idx="51">
                  <c:v>462.4033121825118</c:v>
                </c:pt>
                <c:pt idx="52">
                  <c:v>475.46642110106609</c:v>
                </c:pt>
                <c:pt idx="53">
                  <c:v>488.5218960991653</c:v>
                </c:pt>
                <c:pt idx="54">
                  <c:v>501.5699699024297</c:v>
                </c:pt>
                <c:pt idx="55">
                  <c:v>514.61086214265526</c:v>
                </c:pt>
                <c:pt idx="56">
                  <c:v>498.15332008482136</c:v>
                </c:pt>
                <c:pt idx="57">
                  <c:v>509.64373653602433</c:v>
                </c:pt>
                <c:pt idx="58">
                  <c:v>521.12868049361134</c:v>
                </c:pt>
                <c:pt idx="59">
                  <c:v>532.60828955263503</c:v>
                </c:pt>
                <c:pt idx="60">
                  <c:v>544.08269489370571</c:v>
                </c:pt>
                <c:pt idx="61">
                  <c:v>527.02427283891677</c:v>
                </c:pt>
                <c:pt idx="62">
                  <c:v>536.330282305266</c:v>
                </c:pt>
                <c:pt idx="63">
                  <c:v>545.63289799541383</c:v>
                </c:pt>
                <c:pt idx="64">
                  <c:v>554.9321859329965</c:v>
                </c:pt>
                <c:pt idx="65">
                  <c:v>564.22820974827573</c:v>
                </c:pt>
                <c:pt idx="66">
                  <c:v>547.4930197333249</c:v>
                </c:pt>
                <c:pt idx="67">
                  <c:v>555.55202171385451</c:v>
                </c:pt>
                <c:pt idx="68">
                  <c:v>563.60857513569988</c:v>
                </c:pt>
                <c:pt idx="69">
                  <c:v>571.66271994120405</c:v>
                </c:pt>
                <c:pt idx="70">
                  <c:v>579.71449485526693</c:v>
                </c:pt>
                <c:pt idx="71">
                  <c:v>566.08702825512148</c:v>
                </c:pt>
                <c:pt idx="72">
                  <c:v>575.68890126042095</c:v>
                </c:pt>
                <c:pt idx="73">
                  <c:v>585.28743207754212</c:v>
                </c:pt>
                <c:pt idx="74">
                  <c:v>594.88268324212095</c:v>
                </c:pt>
                <c:pt idx="75">
                  <c:v>604.47471510805701</c:v>
                </c:pt>
                <c:pt idx="76">
                  <c:v>602.30905077945499</c:v>
                </c:pt>
                <c:pt idx="77">
                  <c:v>621.79428224684091</c:v>
                </c:pt>
                <c:pt idx="78">
                  <c:v>641.26687104541554</c:v>
                </c:pt>
                <c:pt idx="79">
                  <c:v>660.72725477196343</c:v>
                </c:pt>
                <c:pt idx="80">
                  <c:v>680.17584316919124</c:v>
                </c:pt>
                <c:pt idx="81">
                  <c:v>660.10964819351113</c:v>
                </c:pt>
                <c:pt idx="82">
                  <c:v>660.10964819351113</c:v>
                </c:pt>
                <c:pt idx="83">
                  <c:v>660.10964819351113</c:v>
                </c:pt>
                <c:pt idx="84">
                  <c:v>660.10964819351113</c:v>
                </c:pt>
                <c:pt idx="85">
                  <c:v>660.10964819351113</c:v>
                </c:pt>
                <c:pt idx="86">
                  <c:v>660.10964819351113</c:v>
                </c:pt>
                <c:pt idx="87">
                  <c:v>660.10964819351113</c:v>
                </c:pt>
                <c:pt idx="88">
                  <c:v>660.10964819351113</c:v>
                </c:pt>
                <c:pt idx="89">
                  <c:v>660.10964819351113</c:v>
                </c:pt>
                <c:pt idx="90">
                  <c:v>660.10964819351113</c:v>
                </c:pt>
                <c:pt idx="91">
                  <c:v>660.10964819351113</c:v>
                </c:pt>
                <c:pt idx="92">
                  <c:v>660.10964819351113</c:v>
                </c:pt>
                <c:pt idx="93">
                  <c:v>660.10964819351113</c:v>
                </c:pt>
                <c:pt idx="94">
                  <c:v>660.10964819351113</c:v>
                </c:pt>
                <c:pt idx="95">
                  <c:v>660.10964819351113</c:v>
                </c:pt>
                <c:pt idx="96">
                  <c:v>660.10964819351113</c:v>
                </c:pt>
                <c:pt idx="97">
                  <c:v>660.10964819351113</c:v>
                </c:pt>
                <c:pt idx="98">
                  <c:v>660.10964819351113</c:v>
                </c:pt>
                <c:pt idx="99">
                  <c:v>660.10964819351113</c:v>
                </c:pt>
                <c:pt idx="100">
                  <c:v>660.10964819351113</c:v>
                </c:pt>
                <c:pt idx="101">
                  <c:v>660.10964819351113</c:v>
                </c:pt>
                <c:pt idx="102">
                  <c:v>660.10964819351113</c:v>
                </c:pt>
                <c:pt idx="103">
                  <c:v>660.10964819351113</c:v>
                </c:pt>
                <c:pt idx="104">
                  <c:v>660.10964819351113</c:v>
                </c:pt>
                <c:pt idx="105">
                  <c:v>660.10964819351113</c:v>
                </c:pt>
                <c:pt idx="106">
                  <c:v>660.10964819351113</c:v>
                </c:pt>
                <c:pt idx="107">
                  <c:v>660.10964819351113</c:v>
                </c:pt>
                <c:pt idx="108">
                  <c:v>660.10964819351113</c:v>
                </c:pt>
                <c:pt idx="109">
                  <c:v>660.10964819351113</c:v>
                </c:pt>
                <c:pt idx="110">
                  <c:v>660.10964819351113</c:v>
                </c:pt>
                <c:pt idx="111">
                  <c:v>660.10964819351113</c:v>
                </c:pt>
                <c:pt idx="112">
                  <c:v>660.10964819351113</c:v>
                </c:pt>
                <c:pt idx="113">
                  <c:v>660.10964819351113</c:v>
                </c:pt>
                <c:pt idx="114">
                  <c:v>660.10964819351113</c:v>
                </c:pt>
                <c:pt idx="115">
                  <c:v>660.10964819351113</c:v>
                </c:pt>
                <c:pt idx="116">
                  <c:v>660.10964819351113</c:v>
                </c:pt>
                <c:pt idx="117">
                  <c:v>660.10964819351113</c:v>
                </c:pt>
                <c:pt idx="118">
                  <c:v>660.10964819351113</c:v>
                </c:pt>
                <c:pt idx="119">
                  <c:v>660.10964819351113</c:v>
                </c:pt>
                <c:pt idx="120">
                  <c:v>660.10964819351113</c:v>
                </c:pt>
                <c:pt idx="121">
                  <c:v>660.10964819351113</c:v>
                </c:pt>
                <c:pt idx="122">
                  <c:v>660.10964819351113</c:v>
                </c:pt>
                <c:pt idx="123">
                  <c:v>660.10964819351113</c:v>
                </c:pt>
                <c:pt idx="124">
                  <c:v>660.10964819351113</c:v>
                </c:pt>
                <c:pt idx="125">
                  <c:v>660.10964819351113</c:v>
                </c:pt>
                <c:pt idx="126">
                  <c:v>660.10964819351113</c:v>
                </c:pt>
                <c:pt idx="127">
                  <c:v>660.10964819351113</c:v>
                </c:pt>
                <c:pt idx="128">
                  <c:v>660.10964819351113</c:v>
                </c:pt>
                <c:pt idx="129">
                  <c:v>660.10964819351113</c:v>
                </c:pt>
                <c:pt idx="130">
                  <c:v>660.10964819351113</c:v>
                </c:pt>
                <c:pt idx="131">
                  <c:v>660.10964819351113</c:v>
                </c:pt>
                <c:pt idx="132">
                  <c:v>660.10964819351113</c:v>
                </c:pt>
                <c:pt idx="133">
                  <c:v>660.10964819351113</c:v>
                </c:pt>
                <c:pt idx="134">
                  <c:v>660.10964819351113</c:v>
                </c:pt>
                <c:pt idx="135">
                  <c:v>660.10964819351113</c:v>
                </c:pt>
                <c:pt idx="136">
                  <c:v>660.10964819351113</c:v>
                </c:pt>
                <c:pt idx="137">
                  <c:v>660.10964819351113</c:v>
                </c:pt>
                <c:pt idx="138">
                  <c:v>660.10964819351113</c:v>
                </c:pt>
                <c:pt idx="139">
                  <c:v>660.10964819351113</c:v>
                </c:pt>
                <c:pt idx="140">
                  <c:v>660.10964819351113</c:v>
                </c:pt>
                <c:pt idx="141">
                  <c:v>660.10964819351113</c:v>
                </c:pt>
                <c:pt idx="142">
                  <c:v>660.10964819351113</c:v>
                </c:pt>
                <c:pt idx="143">
                  <c:v>660.10964819351113</c:v>
                </c:pt>
                <c:pt idx="144">
                  <c:v>660.10964819351113</c:v>
                </c:pt>
                <c:pt idx="145">
                  <c:v>660.10964819351113</c:v>
                </c:pt>
                <c:pt idx="146">
                  <c:v>660.10964819351113</c:v>
                </c:pt>
                <c:pt idx="147">
                  <c:v>660.10964819351113</c:v>
                </c:pt>
                <c:pt idx="148">
                  <c:v>660.10964819351113</c:v>
                </c:pt>
                <c:pt idx="149">
                  <c:v>660.10964819351113</c:v>
                </c:pt>
                <c:pt idx="150">
                  <c:v>660.10964819351113</c:v>
                </c:pt>
                <c:pt idx="151">
                  <c:v>660.10964819351113</c:v>
                </c:pt>
                <c:pt idx="152">
                  <c:v>660.10964819351113</c:v>
                </c:pt>
                <c:pt idx="153">
                  <c:v>660.10964819351113</c:v>
                </c:pt>
                <c:pt idx="154">
                  <c:v>660.10964819351113</c:v>
                </c:pt>
                <c:pt idx="155">
                  <c:v>660.10964819351113</c:v>
                </c:pt>
                <c:pt idx="156">
                  <c:v>660.10964819351113</c:v>
                </c:pt>
                <c:pt idx="157">
                  <c:v>660.10964819351113</c:v>
                </c:pt>
                <c:pt idx="158">
                  <c:v>660.10964819351113</c:v>
                </c:pt>
                <c:pt idx="159">
                  <c:v>660.10964819351113</c:v>
                </c:pt>
                <c:pt idx="160">
                  <c:v>660.10964819351113</c:v>
                </c:pt>
                <c:pt idx="161">
                  <c:v>660.10964819351113</c:v>
                </c:pt>
                <c:pt idx="162">
                  <c:v>660.10964819351113</c:v>
                </c:pt>
                <c:pt idx="163">
                  <c:v>660.10964819351113</c:v>
                </c:pt>
                <c:pt idx="164">
                  <c:v>660.10964819351113</c:v>
                </c:pt>
                <c:pt idx="165">
                  <c:v>660.10964819351113</c:v>
                </c:pt>
                <c:pt idx="166">
                  <c:v>660.10964819351113</c:v>
                </c:pt>
                <c:pt idx="167">
                  <c:v>660.10964819351113</c:v>
                </c:pt>
                <c:pt idx="168">
                  <c:v>660.10964819351113</c:v>
                </c:pt>
                <c:pt idx="169">
                  <c:v>660.10964819351113</c:v>
                </c:pt>
                <c:pt idx="170">
                  <c:v>660.10964819351113</c:v>
                </c:pt>
                <c:pt idx="171">
                  <c:v>660.10964819351113</c:v>
                </c:pt>
                <c:pt idx="172">
                  <c:v>660.10964819351113</c:v>
                </c:pt>
                <c:pt idx="173">
                  <c:v>660.10964819351113</c:v>
                </c:pt>
                <c:pt idx="174">
                  <c:v>660.10964819351113</c:v>
                </c:pt>
                <c:pt idx="175">
                  <c:v>660.10964819351113</c:v>
                </c:pt>
                <c:pt idx="176">
                  <c:v>660.10964819351113</c:v>
                </c:pt>
                <c:pt idx="177">
                  <c:v>660.10964819351113</c:v>
                </c:pt>
                <c:pt idx="178">
                  <c:v>660.10964819351113</c:v>
                </c:pt>
                <c:pt idx="179">
                  <c:v>660.10964819351113</c:v>
                </c:pt>
                <c:pt idx="180">
                  <c:v>660.10964819351113</c:v>
                </c:pt>
                <c:pt idx="181">
                  <c:v>660.10964819351113</c:v>
                </c:pt>
                <c:pt idx="182">
                  <c:v>660.10964819351113</c:v>
                </c:pt>
                <c:pt idx="183">
                  <c:v>660.10964819351113</c:v>
                </c:pt>
                <c:pt idx="184">
                  <c:v>660.10964819351113</c:v>
                </c:pt>
                <c:pt idx="185">
                  <c:v>660.10964819351113</c:v>
                </c:pt>
                <c:pt idx="186">
                  <c:v>660.10964819351113</c:v>
                </c:pt>
                <c:pt idx="187">
                  <c:v>660.10964819351113</c:v>
                </c:pt>
                <c:pt idx="188">
                  <c:v>660.10964819351113</c:v>
                </c:pt>
                <c:pt idx="189">
                  <c:v>660.10964819351113</c:v>
                </c:pt>
                <c:pt idx="190">
                  <c:v>660.10964819351113</c:v>
                </c:pt>
                <c:pt idx="191">
                  <c:v>660.10964819351113</c:v>
                </c:pt>
                <c:pt idx="192">
                  <c:v>660.10964819351113</c:v>
                </c:pt>
                <c:pt idx="193">
                  <c:v>660.10964819351113</c:v>
                </c:pt>
                <c:pt idx="194">
                  <c:v>660.10964819351113</c:v>
                </c:pt>
                <c:pt idx="195">
                  <c:v>660.10964819351113</c:v>
                </c:pt>
                <c:pt idx="196">
                  <c:v>660.10964819351113</c:v>
                </c:pt>
                <c:pt idx="197">
                  <c:v>660.10964819351113</c:v>
                </c:pt>
                <c:pt idx="198">
                  <c:v>660.10964819351113</c:v>
                </c:pt>
                <c:pt idx="199">
                  <c:v>660.10964819351113</c:v>
                </c:pt>
                <c:pt idx="200">
                  <c:v>660.10964819351113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3.015643224062297</c:v>
                </c:pt>
                <c:pt idx="2">
                  <c:v>4.0722529948595438</c:v>
                </c:pt>
                <c:pt idx="3">
                  <c:v>5.5006018745362235</c:v>
                </c:pt>
                <c:pt idx="4">
                  <c:v>7.4319811827349751</c:v>
                </c:pt>
                <c:pt idx="5">
                  <c:v>10.044218170589504</c:v>
                </c:pt>
                <c:pt idx="6">
                  <c:v>13.578225113429147</c:v>
                </c:pt>
                <c:pt idx="7">
                  <c:v>18.360451404377937</c:v>
                </c:pt>
                <c:pt idx="8">
                  <c:v>24.83335003064289</c:v>
                </c:pt>
                <c:pt idx="9">
                  <c:v>33.596726896246878</c:v>
                </c:pt>
                <c:pt idx="10">
                  <c:v>45.463870615269634</c:v>
                </c:pt>
                <c:pt idx="11">
                  <c:v>61.537759614262761</c:v>
                </c:pt>
                <c:pt idx="12">
                  <c:v>83.314545972184078</c:v>
                </c:pt>
                <c:pt idx="13">
                  <c:v>112.82410282766058</c:v>
                </c:pt>
                <c:pt idx="14">
                  <c:v>152.8209413414541</c:v>
                </c:pt>
                <c:pt idx="15">
                  <c:v>207.04359025710687</c:v>
                </c:pt>
                <c:pt idx="16">
                  <c:v>173.3902523967221</c:v>
                </c:pt>
                <c:pt idx="17">
                  <c:v>204.02410382923904</c:v>
                </c:pt>
                <c:pt idx="18">
                  <c:v>234.55138491384039</c:v>
                </c:pt>
                <c:pt idx="19">
                  <c:v>264.98792439409294</c:v>
                </c:pt>
                <c:pt idx="20">
                  <c:v>295.34560890488154</c:v>
                </c:pt>
                <c:pt idx="21">
                  <c:v>230.78777111964931</c:v>
                </c:pt>
                <c:pt idx="22">
                  <c:v>260.10863290775887</c:v>
                </c:pt>
                <c:pt idx="23">
                  <c:v>289.35480857103522</c:v>
                </c:pt>
                <c:pt idx="24">
                  <c:v>318.53490425391578</c:v>
                </c:pt>
                <c:pt idx="25">
                  <c:v>347.65581965898065</c:v>
                </c:pt>
                <c:pt idx="26">
                  <c:v>278.11452603753787</c:v>
                </c:pt>
                <c:pt idx="27">
                  <c:v>305.82302433005219</c:v>
                </c:pt>
                <c:pt idx="28">
                  <c:v>333.47571872180367</c:v>
                </c:pt>
                <c:pt idx="29">
                  <c:v>361.07788328212001</c:v>
                </c:pt>
                <c:pt idx="30">
                  <c:v>388.63392005694885</c:v>
                </c:pt>
                <c:pt idx="31">
                  <c:v>318.90861058050916</c:v>
                </c:pt>
                <c:pt idx="32">
                  <c:v>344.29854381894557</c:v>
                </c:pt>
                <c:pt idx="33">
                  <c:v>369.64735159591186</c:v>
                </c:pt>
                <c:pt idx="34">
                  <c:v>394.95824817710309</c:v>
                </c:pt>
                <c:pt idx="35">
                  <c:v>420.23400244347675</c:v>
                </c:pt>
                <c:pt idx="36">
                  <c:v>351.75819111537254</c:v>
                </c:pt>
                <c:pt idx="37">
                  <c:v>374.48903994418214</c:v>
                </c:pt>
                <c:pt idx="38">
                  <c:v>397.18983794003793</c:v>
                </c:pt>
                <c:pt idx="39">
                  <c:v>419.86254283875792</c:v>
                </c:pt>
                <c:pt idx="40">
                  <c:v>442.50888381337427</c:v>
                </c:pt>
                <c:pt idx="41">
                  <c:v>379.70164117358576</c:v>
                </c:pt>
                <c:pt idx="42">
                  <c:v>400.53671385047045</c:v>
                </c:pt>
                <c:pt idx="43">
                  <c:v>421.34833884363485</c:v>
                </c:pt>
                <c:pt idx="44">
                  <c:v>442.1378364455864</c:v>
                </c:pt>
                <c:pt idx="45">
                  <c:v>462.90639273248456</c:v>
                </c:pt>
                <c:pt idx="46">
                  <c:v>404.9982744755884</c:v>
                </c:pt>
                <c:pt idx="47">
                  <c:v>423.20542522399978</c:v>
                </c:pt>
                <c:pt idx="48">
                  <c:v>441.39572167958931</c:v>
                </c:pt>
                <c:pt idx="49">
                  <c:v>459.56995582844655</c:v>
                </c:pt>
                <c:pt idx="50">
                  <c:v>477.72885193803205</c:v>
                </c:pt>
                <c:pt idx="51">
                  <c:v>425.06233617824205</c:v>
                </c:pt>
                <c:pt idx="52">
                  <c:v>441.02465426855321</c:v>
                </c:pt>
                <c:pt idx="53">
                  <c:v>456.97459194094722</c:v>
                </c:pt>
                <c:pt idx="54">
                  <c:v>472.9126420088009</c:v>
                </c:pt>
                <c:pt idx="55">
                  <c:v>488.83926137072308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3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3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3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3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3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3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3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3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3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3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3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3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3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3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3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3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3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3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81" zoomScale="90" zoomScaleNormal="90" workbookViewId="0">
      <selection activeCell="F90" sqref="F90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5" t="s">
        <v>231</v>
      </c>
      <c r="B5" s="305"/>
      <c r="C5" s="26">
        <v>2.2999999999999998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23</v>
      </c>
      <c r="C9" s="35">
        <v>0.33300000000000002</v>
      </c>
      <c r="D9" s="36">
        <f t="shared" ref="D9:D18" si="0">C9*$C$5</f>
        <v>0.76590000000000003</v>
      </c>
      <c r="E9" s="37">
        <v>80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8</v>
      </c>
      <c r="C10" s="35">
        <v>0.33300000000000002</v>
      </c>
      <c r="D10" s="36">
        <f t="shared" si="0"/>
        <v>0.76590000000000003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13</v>
      </c>
      <c r="C11" s="35">
        <v>0.33300000000000002</v>
      </c>
      <c r="D11" s="36">
        <f t="shared" si="0"/>
        <v>0.76590000000000003</v>
      </c>
      <c r="E11" s="37">
        <v>55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0.99900000000000011</v>
      </c>
      <c r="D19" s="41">
        <f>SUM(D9:D18)</f>
        <v>2.2976999999999999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Erable sycomore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10</v>
      </c>
      <c r="B36" s="63">
        <v>11</v>
      </c>
      <c r="C36" s="63">
        <v>1</v>
      </c>
      <c r="D36" s="63">
        <v>0</v>
      </c>
      <c r="E36" s="54"/>
      <c r="F36" s="54"/>
      <c r="G36" s="54"/>
      <c r="H36" s="54"/>
      <c r="I36" s="52">
        <f>IFERROR(B36/A36,"")</f>
        <v>1.1000000000000001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15</v>
      </c>
      <c r="B37" s="63">
        <v>65</v>
      </c>
      <c r="C37" s="63">
        <v>2</v>
      </c>
      <c r="D37" s="63">
        <v>32</v>
      </c>
      <c r="E37" s="54"/>
      <c r="F37" s="54">
        <v>0.4</v>
      </c>
      <c r="G37" s="54">
        <v>0.6</v>
      </c>
      <c r="H37" s="54"/>
      <c r="I37" s="56">
        <f t="shared" ref="I37:I55" si="1">IF(A37&lt;&gt;0,(B37-(B36-D36))/(A37-A36),"")</f>
        <v>10.8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20</v>
      </c>
      <c r="B38" s="63">
        <v>101</v>
      </c>
      <c r="C38" s="63">
        <v>3</v>
      </c>
      <c r="D38" s="63">
        <v>35</v>
      </c>
      <c r="E38" s="54"/>
      <c r="F38" s="54">
        <v>0.4</v>
      </c>
      <c r="G38" s="54">
        <v>0.6</v>
      </c>
      <c r="H38" s="54"/>
      <c r="I38" s="56">
        <f t="shared" si="1"/>
        <v>13.6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25</v>
      </c>
      <c r="B39" s="63">
        <v>140</v>
      </c>
      <c r="C39" s="63">
        <v>4</v>
      </c>
      <c r="D39" s="63">
        <v>35</v>
      </c>
      <c r="E39" s="54"/>
      <c r="F39" s="54">
        <v>0.5</v>
      </c>
      <c r="G39" s="54">
        <v>0.5</v>
      </c>
      <c r="H39" s="54"/>
      <c r="I39" s="52">
        <f t="shared" si="1"/>
        <v>14.8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30</v>
      </c>
      <c r="B40" s="63">
        <v>176</v>
      </c>
      <c r="C40" s="63">
        <v>5</v>
      </c>
      <c r="D40" s="63">
        <v>35</v>
      </c>
      <c r="E40" s="54"/>
      <c r="F40" s="54">
        <v>0.6</v>
      </c>
      <c r="G40" s="54">
        <v>0.4</v>
      </c>
      <c r="H40" s="54"/>
      <c r="I40" s="52">
        <f t="shared" si="1"/>
        <v>14.2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35</v>
      </c>
      <c r="B41" s="63">
        <v>206</v>
      </c>
      <c r="C41" s="63">
        <v>6</v>
      </c>
      <c r="D41" s="63">
        <v>35</v>
      </c>
      <c r="E41" s="54"/>
      <c r="F41" s="54"/>
      <c r="G41" s="54"/>
      <c r="H41" s="54"/>
      <c r="I41" s="56">
        <f t="shared" si="1"/>
        <v>13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40</v>
      </c>
      <c r="B42" s="63">
        <v>228</v>
      </c>
      <c r="C42" s="63">
        <v>7</v>
      </c>
      <c r="D42" s="63">
        <v>35</v>
      </c>
      <c r="E42" s="54"/>
      <c r="F42" s="54"/>
      <c r="G42" s="54"/>
      <c r="H42" s="54"/>
      <c r="I42" s="56">
        <f t="shared" si="1"/>
        <v>11.4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45</v>
      </c>
      <c r="B43" s="63">
        <v>242</v>
      </c>
      <c r="C43" s="63">
        <v>8</v>
      </c>
      <c r="D43" s="63">
        <v>24</v>
      </c>
      <c r="E43" s="54"/>
      <c r="F43" s="54"/>
      <c r="G43" s="54"/>
      <c r="H43" s="54"/>
      <c r="I43" s="52">
        <f t="shared" si="1"/>
        <v>9.8000000000000007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50</v>
      </c>
      <c r="B44" s="63">
        <v>260</v>
      </c>
      <c r="C44" s="63">
        <v>9</v>
      </c>
      <c r="D44" s="63">
        <v>19</v>
      </c>
      <c r="E44" s="54"/>
      <c r="F44" s="54"/>
      <c r="G44" s="54"/>
      <c r="H44" s="54"/>
      <c r="I44" s="52">
        <f t="shared" si="1"/>
        <v>8.4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55</v>
      </c>
      <c r="B45" s="63">
        <v>278</v>
      </c>
      <c r="C45" s="63">
        <v>10</v>
      </c>
      <c r="D45" s="63">
        <v>16</v>
      </c>
      <c r="E45" s="54"/>
      <c r="F45" s="54"/>
      <c r="G45" s="54"/>
      <c r="H45" s="54"/>
      <c r="I45" s="52">
        <f t="shared" si="1"/>
        <v>7.4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>
        <v>60</v>
      </c>
      <c r="B46" s="63">
        <v>294</v>
      </c>
      <c r="C46" s="63">
        <v>11</v>
      </c>
      <c r="D46" s="63">
        <v>14</v>
      </c>
      <c r="E46" s="54"/>
      <c r="F46" s="54"/>
      <c r="G46" s="54"/>
      <c r="H46" s="54"/>
      <c r="I46" s="52">
        <f t="shared" si="1"/>
        <v>6.4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>
        <v>65</v>
      </c>
      <c r="B47" s="63">
        <v>306</v>
      </c>
      <c r="C47" s="63">
        <v>12</v>
      </c>
      <c r="D47" s="63">
        <v>13</v>
      </c>
      <c r="E47" s="54"/>
      <c r="F47" s="54"/>
      <c r="G47" s="54"/>
      <c r="H47" s="54"/>
      <c r="I47" s="52">
        <f t="shared" si="1"/>
        <v>5.2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>
        <v>70</v>
      </c>
      <c r="B48" s="63">
        <v>315</v>
      </c>
      <c r="C48" s="63">
        <v>13</v>
      </c>
      <c r="D48" s="63">
        <v>13</v>
      </c>
      <c r="E48" s="54"/>
      <c r="F48" s="54"/>
      <c r="G48" s="54"/>
      <c r="H48" s="54"/>
      <c r="I48" s="52">
        <f t="shared" si="1"/>
        <v>4.4000000000000004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>
        <v>75</v>
      </c>
      <c r="B49" s="63">
        <v>323</v>
      </c>
      <c r="C49" s="63">
        <v>14</v>
      </c>
      <c r="D49" s="63">
        <v>12</v>
      </c>
      <c r="E49" s="54"/>
      <c r="F49" s="54"/>
      <c r="G49" s="54"/>
      <c r="H49" s="54"/>
      <c r="I49" s="52">
        <f t="shared" si="1"/>
        <v>4.2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>
        <v>80</v>
      </c>
      <c r="B50" s="53">
        <v>361</v>
      </c>
      <c r="C50" s="53">
        <v>15</v>
      </c>
      <c r="D50" s="53">
        <v>11</v>
      </c>
      <c r="E50" s="54"/>
      <c r="F50" s="54"/>
      <c r="G50" s="54"/>
      <c r="H50" s="54"/>
      <c r="I50" s="52">
        <f t="shared" si="1"/>
        <v>10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Châtaignier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10</v>
      </c>
      <c r="B62" s="63">
        <v>19</v>
      </c>
      <c r="C62" s="63">
        <v>1</v>
      </c>
      <c r="D62" s="63">
        <v>7</v>
      </c>
      <c r="E62" s="54"/>
      <c r="F62" s="54"/>
      <c r="G62" s="54"/>
      <c r="H62" s="54">
        <v>1</v>
      </c>
      <c r="I62" s="56">
        <f>IFERROR(B62/A62,"")</f>
        <v>1.9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15</v>
      </c>
      <c r="B63" s="63">
        <v>84</v>
      </c>
      <c r="C63" s="63">
        <v>2</v>
      </c>
      <c r="D63" s="63">
        <v>42</v>
      </c>
      <c r="E63" s="54"/>
      <c r="F63" s="54">
        <v>0.4</v>
      </c>
      <c r="G63" s="54">
        <v>0.6</v>
      </c>
      <c r="H63" s="54"/>
      <c r="I63" s="52">
        <f>IF(A63&lt;&gt;0,(B63-(B62-D62))/(A63-A62),"")</f>
        <v>14.4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20</v>
      </c>
      <c r="B64" s="63">
        <v>123</v>
      </c>
      <c r="C64" s="63">
        <v>3</v>
      </c>
      <c r="D64" s="63">
        <v>42</v>
      </c>
      <c r="E64" s="54"/>
      <c r="F64" s="54">
        <v>0.4</v>
      </c>
      <c r="G64" s="54">
        <v>0.6</v>
      </c>
      <c r="H64" s="54"/>
      <c r="I64" s="52">
        <f>IF(A64&lt;&gt;0,(B64-(B63-D63))/(A64-A63),"")</f>
        <v>16.2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25</v>
      </c>
      <c r="B65" s="63">
        <v>165</v>
      </c>
      <c r="C65" s="63">
        <v>4</v>
      </c>
      <c r="D65" s="63">
        <v>42</v>
      </c>
      <c r="E65" s="54"/>
      <c r="F65" s="54">
        <v>0.5</v>
      </c>
      <c r="G65" s="54">
        <v>0.5</v>
      </c>
      <c r="H65" s="54"/>
      <c r="I65" s="52">
        <f>IF(A65&lt;&gt;0,(B65-(B64-D64))/(A65-A64),"")</f>
        <v>16.8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30</v>
      </c>
      <c r="B66" s="63">
        <v>205</v>
      </c>
      <c r="C66" s="63">
        <v>5</v>
      </c>
      <c r="D66" s="63">
        <v>42</v>
      </c>
      <c r="E66" s="54"/>
      <c r="F66" s="54">
        <v>0.6</v>
      </c>
      <c r="G66" s="54">
        <v>0.4</v>
      </c>
      <c r="H66" s="54"/>
      <c r="I66" s="52">
        <f t="shared" ref="I66:I81" si="2">IF(A66&lt;&gt;0,(B66-(B65-D65))/(A66-A65),"")</f>
        <v>16.399999999999999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35</v>
      </c>
      <c r="B67" s="63">
        <v>239</v>
      </c>
      <c r="C67" s="63">
        <v>6</v>
      </c>
      <c r="D67" s="63">
        <v>42</v>
      </c>
      <c r="E67" s="54"/>
      <c r="F67" s="54"/>
      <c r="G67" s="54"/>
      <c r="H67" s="54"/>
      <c r="I67" s="52">
        <f t="shared" si="2"/>
        <v>15.2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40</v>
      </c>
      <c r="B68" s="63">
        <v>263</v>
      </c>
      <c r="C68" s="63">
        <v>7</v>
      </c>
      <c r="D68" s="63">
        <v>40</v>
      </c>
      <c r="E68" s="54"/>
      <c r="F68" s="54"/>
      <c r="G68" s="54"/>
      <c r="H68" s="54"/>
      <c r="I68" s="52">
        <f t="shared" si="2"/>
        <v>13.2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45</v>
      </c>
      <c r="B69" s="53">
        <v>280</v>
      </c>
      <c r="C69" s="53">
        <v>8</v>
      </c>
      <c r="D69" s="53">
        <v>26</v>
      </c>
      <c r="E69" s="54"/>
      <c r="F69" s="54"/>
      <c r="G69" s="54"/>
      <c r="H69" s="54"/>
      <c r="I69" s="52">
        <f t="shared" si="2"/>
        <v>11.4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50</v>
      </c>
      <c r="B70" s="53">
        <v>303</v>
      </c>
      <c r="C70" s="53">
        <v>9</v>
      </c>
      <c r="D70" s="53">
        <v>21</v>
      </c>
      <c r="E70" s="54"/>
      <c r="F70" s="54"/>
      <c r="G70" s="54"/>
      <c r="H70" s="54"/>
      <c r="I70" s="52">
        <f t="shared" si="2"/>
        <v>9.8000000000000007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55</v>
      </c>
      <c r="B71" s="53">
        <v>324</v>
      </c>
      <c r="C71" s="53">
        <v>10</v>
      </c>
      <c r="D71" s="53">
        <v>18</v>
      </c>
      <c r="E71" s="54"/>
      <c r="F71" s="54"/>
      <c r="G71" s="54"/>
      <c r="H71" s="54"/>
      <c r="I71" s="52">
        <f t="shared" si="2"/>
        <v>8.4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60</v>
      </c>
      <c r="B72" s="53">
        <v>343</v>
      </c>
      <c r="C72" s="53">
        <v>11</v>
      </c>
      <c r="D72" s="53">
        <v>17</v>
      </c>
      <c r="E72" s="54"/>
      <c r="F72" s="54"/>
      <c r="G72" s="54"/>
      <c r="H72" s="54"/>
      <c r="I72" s="52">
        <f t="shared" si="2"/>
        <v>7.4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65</v>
      </c>
      <c r="B73" s="53">
        <v>356</v>
      </c>
      <c r="C73" s="53">
        <v>12</v>
      </c>
      <c r="D73" s="53">
        <v>16</v>
      </c>
      <c r="E73" s="54"/>
      <c r="F73" s="54"/>
      <c r="G73" s="54"/>
      <c r="H73" s="54"/>
      <c r="I73" s="52">
        <f t="shared" si="2"/>
        <v>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70</v>
      </c>
      <c r="B74" s="53">
        <v>366</v>
      </c>
      <c r="C74" s="53">
        <v>13</v>
      </c>
      <c r="D74" s="53">
        <v>15</v>
      </c>
      <c r="E74" s="54"/>
      <c r="F74" s="54"/>
      <c r="G74" s="54"/>
      <c r="H74" s="54"/>
      <c r="I74" s="52">
        <f t="shared" si="2"/>
        <v>5.2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75</v>
      </c>
      <c r="B75" s="53">
        <v>382</v>
      </c>
      <c r="C75" s="53">
        <v>14</v>
      </c>
      <c r="D75" s="53">
        <v>14</v>
      </c>
      <c r="E75" s="54"/>
      <c r="F75" s="54"/>
      <c r="G75" s="54"/>
      <c r="H75" s="54"/>
      <c r="I75" s="52">
        <f t="shared" si="2"/>
        <v>6.2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80</v>
      </c>
      <c r="B76" s="53">
        <v>431</v>
      </c>
      <c r="C76" s="53">
        <v>15</v>
      </c>
      <c r="D76" s="53">
        <v>13</v>
      </c>
      <c r="E76" s="54"/>
      <c r="F76" s="54"/>
      <c r="G76" s="54"/>
      <c r="H76" s="54"/>
      <c r="I76" s="52">
        <f t="shared" si="2"/>
        <v>12.6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Chêne rouge d'Amérique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15</v>
      </c>
      <c r="B88" s="63">
        <v>107</v>
      </c>
      <c r="C88" s="63">
        <v>1</v>
      </c>
      <c r="D88" s="63">
        <v>34</v>
      </c>
      <c r="E88" s="292"/>
      <c r="F88" s="54"/>
      <c r="G88" s="54"/>
      <c r="H88" s="54">
        <v>1</v>
      </c>
      <c r="I88" s="56">
        <f>IFERROR(B88/A88,"")</f>
        <v>7.1333333333333337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20</v>
      </c>
      <c r="B89" s="63">
        <v>154</v>
      </c>
      <c r="C89" s="63">
        <v>2</v>
      </c>
      <c r="D89" s="63">
        <v>50</v>
      </c>
      <c r="E89" s="292"/>
      <c r="F89" s="54">
        <v>0.2</v>
      </c>
      <c r="G89" s="54"/>
      <c r="H89" s="54">
        <v>0.8</v>
      </c>
      <c r="I89" s="56">
        <f t="shared" ref="I89:I107" si="3">IF(A89&lt;&gt;0,(B89-(B88-D88))/(A89-A88),"")</f>
        <v>16.2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25</v>
      </c>
      <c r="B90" s="63">
        <v>182</v>
      </c>
      <c r="C90" s="63">
        <v>3</v>
      </c>
      <c r="D90" s="63">
        <v>52</v>
      </c>
      <c r="E90" s="292"/>
      <c r="F90" s="54">
        <v>0.4</v>
      </c>
      <c r="G90" s="54"/>
      <c r="H90" s="54">
        <v>0.6</v>
      </c>
      <c r="I90" s="56">
        <f t="shared" si="3"/>
        <v>15.6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30</v>
      </c>
      <c r="B91" s="63">
        <v>204</v>
      </c>
      <c r="C91" s="63">
        <v>4</v>
      </c>
      <c r="D91" s="63">
        <v>51</v>
      </c>
      <c r="E91" s="292"/>
      <c r="F91" s="54">
        <v>0.4</v>
      </c>
      <c r="G91" s="54">
        <v>0.4</v>
      </c>
      <c r="H91" s="54">
        <v>0.2</v>
      </c>
      <c r="I91" s="56">
        <f t="shared" si="3"/>
        <v>14.8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35</v>
      </c>
      <c r="B92" s="63">
        <v>221</v>
      </c>
      <c r="C92" s="63">
        <v>5</v>
      </c>
      <c r="D92" s="63">
        <v>49</v>
      </c>
      <c r="E92" s="93"/>
      <c r="F92" s="93"/>
      <c r="G92" s="93"/>
      <c r="H92" s="93"/>
      <c r="I92" s="56">
        <f t="shared" si="3"/>
        <v>13.6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40</v>
      </c>
      <c r="B93" s="63">
        <v>233</v>
      </c>
      <c r="C93" s="63">
        <v>6</v>
      </c>
      <c r="D93" s="63">
        <v>45</v>
      </c>
      <c r="E93" s="93"/>
      <c r="F93" s="93"/>
      <c r="G93" s="93"/>
      <c r="H93" s="93"/>
      <c r="I93" s="56">
        <f t="shared" si="3"/>
        <v>12.2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45</v>
      </c>
      <c r="B94" s="63">
        <v>244</v>
      </c>
      <c r="C94" s="63">
        <v>7</v>
      </c>
      <c r="D94" s="63">
        <v>41</v>
      </c>
      <c r="E94" s="93"/>
      <c r="F94" s="93"/>
      <c r="G94" s="93"/>
      <c r="H94" s="93"/>
      <c r="I94" s="56">
        <f t="shared" si="3"/>
        <v>11.2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50</v>
      </c>
      <c r="B95" s="63">
        <v>252</v>
      </c>
      <c r="C95" s="63">
        <v>8</v>
      </c>
      <c r="D95" s="63">
        <v>37</v>
      </c>
      <c r="E95" s="93"/>
      <c r="F95" s="93"/>
      <c r="G95" s="93"/>
      <c r="H95" s="93"/>
      <c r="I95" s="56">
        <f t="shared" si="3"/>
        <v>9.8000000000000007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55</v>
      </c>
      <c r="B96" s="63">
        <v>258</v>
      </c>
      <c r="C96" s="63">
        <v>9</v>
      </c>
      <c r="D96" s="63">
        <v>258</v>
      </c>
      <c r="E96" s="93"/>
      <c r="F96" s="93"/>
      <c r="G96" s="93"/>
      <c r="H96" s="93"/>
      <c r="I96" s="56">
        <f t="shared" si="3"/>
        <v>8.6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B17" sqref="B1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Erable sycomore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Châtaignier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Chêne rouge d'Amérique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354.56491118410622</v>
      </c>
      <c r="T3" s="62">
        <f>IF('Données projet'!E9&gt;30,$R$33-$H$33,LOOKUP('Données projet'!$E$9,$A$3:$A$203,R3:R203)-LOOKUP('Données projet'!$E$9,$A$3:$A$203,$H$3:$H$203))</f>
        <v>343.77208530767069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380.01621935031324</v>
      </c>
      <c r="AO3" s="62">
        <f>IF('Données projet'!E10&gt;30,$AM$33-$H$33,LOOKUP('Données projet'!$E$10,$A$3:$A$203,AM3:AM203)-LOOKUP('Données projet'!$E$10,$A$3:$A$203,$H$3:$H$203))</f>
        <v>365.76175372075869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303.33040062722074</v>
      </c>
      <c r="BJ3" s="62">
        <f>IF('Données projet'!E11&gt;30,$BH$33-$H$33,LOOKUP('Données projet'!$E$11,$A$3:$A$203,BH3:BH203)-LOOKUP('Données projet'!$E$11,$A$3:$A$203,$H$3:$H$203))</f>
        <v>425.30058672361548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1.1000000000000001</v>
      </c>
      <c r="N4" s="14">
        <f>IF('Données projet'!$A$36&gt;35,N3+M4-V3,IF(A4&lt;'Données projet'!$A$36,$K$205^A4,IF(A4='Données projet'!$A$36,'Données projet'!$B$36,N3+M4-V3)))</f>
        <v>1.2709816152101407</v>
      </c>
      <c r="O4" s="14">
        <f>N4*VLOOKUP('Données projet'!$B$9,Paramètres!$A$1:$I$89,3,0)*VLOOKUP('Données projet'!$B$9,Paramètres!$A$1:$I$89,5,0)</f>
        <v>1.0111929730611879</v>
      </c>
      <c r="P4" s="14">
        <f>EXP(-1.0587+0.8836*LN(O4)+0.284)</f>
        <v>0.46539683474213156</v>
      </c>
      <c r="Q4" s="22">
        <f t="shared" ref="Q4:Q34" si="2">(O4+P4)*0.475*44/12</f>
        <v>2.5717272485907814</v>
      </c>
      <c r="R4" s="62">
        <f t="shared" si="0"/>
        <v>260.46061613747963</v>
      </c>
      <c r="S4" s="62">
        <f ca="1">AVERAGE(OFFSET($R$3,0,0,'Données projet'!$E$9+1,1))-AVERAGE(OFFSET($H$3,0,0,'Données projet'!$E$9+1,1))</f>
        <v>354.56491118410622</v>
      </c>
      <c r="T4" s="62">
        <f>$T$3</f>
        <v>343.77208530767069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1.9</v>
      </c>
      <c r="AI4" s="14">
        <f>IF('Données projet'!$A$62&gt;35,AI3+AH4-AQ3,IF(A4&lt;'Données projet'!$A$62,$AF$205^A4,IF(A4='Données projet'!$A$62,'Données projet'!$B$62,AI3+AH4-AQ3)))</f>
        <v>1.3423796509621049</v>
      </c>
      <c r="AJ4" s="14">
        <f>AI4*VLOOKUP('Données projet'!$B$10,Paramètres!$A$1:$I$89,3,0)*VLOOKUP('Données projet'!$B$10,Paramètres!$A$1:$I$89,5,0)</f>
        <v>0.98423276008541516</v>
      </c>
      <c r="AK4" s="14">
        <f>EXP(-1.0587+0.8836*LN(AJ4)+0.284)</f>
        <v>0.45441566615213064</v>
      </c>
      <c r="AL4" s="22">
        <f t="shared" ref="AL4:AL67" si="4">(AJ4+AK4)*0.475*44/12</f>
        <v>2.5056460090303925</v>
      </c>
      <c r="AM4" s="62">
        <f t="shared" ref="AM4:AM67" si="5">AL4+(AD4+AE4)*44/12</f>
        <v>260.39453489791924</v>
      </c>
      <c r="AN4" s="62">
        <f ca="1">AVERAGE(OFFSET($AM$3,0,0,'Données projet'!$E$10+1,1))-AVERAGE(OFFSET($H$3,0,0,'Données projet'!$E$10+1,1))</f>
        <v>380.01621935031324</v>
      </c>
      <c r="AO4" s="62">
        <f>$AO$3</f>
        <v>365.76175372075869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7.1333333333333337</v>
      </c>
      <c r="BD4" s="13">
        <f>IF('Données projet'!$A$88&gt;35,BD3+BC4-BL3,IF(A4&lt;'Données projet'!$A$88,$BA$205^A4,IF(A4='Données projet'!$A$88,'Données projet'!$B$88,BD3+BC4-BL3)))</f>
        <v>1.3655017210306359</v>
      </c>
      <c r="BE4" s="14">
        <f>BD4*VLOOKUP('Données projet'!$B$11,Paramètres!$A$1:$I$89,3,0)*VLOOKUP('Données projet'!$B$11,Paramètres!$A$1:$I$89,5,0)</f>
        <v>1.1929023034923638</v>
      </c>
      <c r="BF4" s="14">
        <f>EXP(-1.0587+0.8836*LN(BE4)+0.284)</f>
        <v>0.53856749022761552</v>
      </c>
      <c r="BG4" s="22">
        <f t="shared" ref="BG4:BG67" si="7">(BE4+BF4)*0.475*44/12</f>
        <v>3.015643224062297</v>
      </c>
      <c r="BH4" s="62">
        <f t="shared" ref="BH4:BH67" si="8">BG4+(AY4+AZ4)*44/12</f>
        <v>260.90453211295113</v>
      </c>
      <c r="BI4" s="62">
        <f ca="1">AVERAGE(OFFSET($BH$3,0,0,'Données projet'!$E$11+1,1))-AVERAGE(OFFSET($H$3,0,0,'Données projet'!$E$11+1,1))</f>
        <v>303.33040062722074</v>
      </c>
      <c r="BJ4" s="62">
        <f>$BJ$3</f>
        <v>425.30058672361548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1.1000000000000001</v>
      </c>
      <c r="N5" s="14">
        <f>IF('Données projet'!$A$36&gt;35,N4+M5-V4,IF(A5&lt;'Données projet'!$A$36,$K$205^A5,IF(A5='Données projet'!$A$36,'Données projet'!$B$36,N4+M5-V4)))</f>
        <v>1.6153942662021783</v>
      </c>
      <c r="O5" s="14">
        <f>N5*VLOOKUP('Données projet'!$B$9,Paramètres!$A$1:$I$89,3,0)*VLOOKUP('Données projet'!$B$9,Paramètres!$A$1:$I$89,5,0)</f>
        <v>1.2852076781904531</v>
      </c>
      <c r="P5" s="14">
        <f t="shared" ref="P5:P68" si="33">EXP(-1.0587+0.8836*LN(O5)+0.284)</f>
        <v>0.57522914588482876</v>
      </c>
      <c r="Q5" s="22">
        <f t="shared" si="2"/>
        <v>3.2402608019311159</v>
      </c>
      <c r="R5" s="62">
        <f t="shared" si="0"/>
        <v>262.35137191304227</v>
      </c>
      <c r="S5" s="62">
        <f ca="1">AVERAGE(OFFSET($R$3,0,0,'Données projet'!$E$9+1,1))-AVERAGE(OFFSET($H$3,0,0,'Données projet'!$E$9+1,1))</f>
        <v>354.56491118410622</v>
      </c>
      <c r="T5" s="62">
        <f t="shared" ref="T5:T68" si="34">$T$3</f>
        <v>343.77208530767069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1.9</v>
      </c>
      <c r="AI5" s="14">
        <f>IF('Données projet'!$A$62&gt;35,AI4+AH5-AQ4,IF(A5&lt;'Données projet'!$A$62,$AF$205^A5,IF(A5='Données projet'!$A$62,'Données projet'!$B$62,AI4+AH5-AQ4)))</f>
        <v>1.8019831273171425</v>
      </c>
      <c r="AJ5" s="14">
        <f>AI5*VLOOKUP('Données projet'!$B$10,Paramètres!$A$1:$I$89,3,0)*VLOOKUP('Données projet'!$B$10,Paramètres!$A$1:$I$89,5,0)</f>
        <v>1.3212140289489287</v>
      </c>
      <c r="AK5" s="14">
        <f t="shared" ref="AK5:AK68" si="35">EXP(-1.0587+0.8836*LN(AJ5)+0.284)</f>
        <v>0.58944591680017422</v>
      </c>
      <c r="AL5" s="22">
        <f t="shared" si="4"/>
        <v>3.327732738846354</v>
      </c>
      <c r="AM5" s="62">
        <f t="shared" si="5"/>
        <v>262.43884384995749</v>
      </c>
      <c r="AN5" s="62">
        <f ca="1">AVERAGE(OFFSET($AM$3,0,0,'Données projet'!$E$10+1,1))-AVERAGE(OFFSET($H$3,0,0,'Données projet'!$E$10+1,1))</f>
        <v>380.01621935031324</v>
      </c>
      <c r="AO5" s="62">
        <f t="shared" ref="AO5:AO68" si="36">$AO$3</f>
        <v>365.76175372075869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7.1333333333333337</v>
      </c>
      <c r="BD5" s="13">
        <f>IF('Données projet'!$A$88&gt;35,BD4+BC5-BL4,IF(A5&lt;'Données projet'!$A$88,$BA$205^A5,IF(A5='Données projet'!$A$88,'Données projet'!$B$88,BD4+BC5-BL4)))</f>
        <v>1.8645949501376287</v>
      </c>
      <c r="BE5" s="14">
        <f>BD5*VLOOKUP('Données projet'!$B$11,Paramètres!$A$1:$I$89,3,0)*VLOOKUP('Données projet'!$B$11,Paramètres!$A$1:$I$89,5,0)</f>
        <v>1.6289101484402326</v>
      </c>
      <c r="BF5" s="14">
        <f t="shared" ref="BF5:BF68" si="37">EXP(-1.0587+0.8836*LN(BE5)+0.284)</f>
        <v>0.70922554238821334</v>
      </c>
      <c r="BG5" s="22">
        <f t="shared" si="7"/>
        <v>4.0722529948595438</v>
      </c>
      <c r="BH5" s="62">
        <f t="shared" si="8"/>
        <v>263.18336410597067</v>
      </c>
      <c r="BI5" s="62">
        <f ca="1">AVERAGE(OFFSET($BH$3,0,0,'Données projet'!$E$11+1,1))-AVERAGE(OFFSET($H$3,0,0,'Données projet'!$E$11+1,1))</f>
        <v>303.33040062722074</v>
      </c>
      <c r="BJ5" s="62">
        <f t="shared" ref="BJ5:BJ68" si="38">$BJ$3</f>
        <v>425.30058672361548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1.1000000000000001</v>
      </c>
      <c r="N6" s="14">
        <f>IF('Données projet'!$A$36&gt;35,N5+M6-V5,IF(A6&lt;'Données projet'!$A$36,$K$205^A6,IF(A6='Données projet'!$A$36,'Données projet'!$B$36,N5+M6-V5)))</f>
        <v>2.0531364136588448</v>
      </c>
      <c r="O6" s="14">
        <f>N6*VLOOKUP('Données projet'!$B$9,Paramètres!$A$1:$I$89,3,0)*VLOOKUP('Données projet'!$B$9,Paramètres!$A$1:$I$89,5,0)</f>
        <v>1.6334753307069771</v>
      </c>
      <c r="P6" s="14">
        <f t="shared" si="33"/>
        <v>0.71098156578295024</v>
      </c>
      <c r="Q6" s="22">
        <f t="shared" si="2"/>
        <v>4.0832624280532892</v>
      </c>
      <c r="R6" s="62">
        <f t="shared" si="0"/>
        <v>264.41659576138659</v>
      </c>
      <c r="S6" s="62">
        <f ca="1">AVERAGE(OFFSET($R$3,0,0,'Données projet'!$E$9+1,1))-AVERAGE(OFFSET($H$3,0,0,'Données projet'!$E$9+1,1))</f>
        <v>354.56491118410622</v>
      </c>
      <c r="T6" s="62">
        <f t="shared" si="34"/>
        <v>343.77208530767069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1.9</v>
      </c>
      <c r="AI6" s="14">
        <f>IF('Données projet'!$A$62&gt;35,AI5+AH6-AQ5,IF(A6&lt;'Données projet'!$A$62,$AF$205^A6,IF(A6='Données projet'!$A$62,'Données projet'!$B$62,AI5+AH6-AQ5)))</f>
        <v>2.4189454814875879</v>
      </c>
      <c r="AJ6" s="14">
        <f>AI6*VLOOKUP('Données projet'!$B$10,Paramètres!$A$1:$I$89,3,0)*VLOOKUP('Données projet'!$B$10,Paramètres!$A$1:$I$89,5,0)</f>
        <v>1.7735708270266992</v>
      </c>
      <c r="AK6" s="14">
        <f t="shared" si="35"/>
        <v>0.76460059525341872</v>
      </c>
      <c r="AL6" s="22">
        <f t="shared" si="4"/>
        <v>4.4206485604712045</v>
      </c>
      <c r="AM6" s="62">
        <f t="shared" si="5"/>
        <v>264.75398189380451</v>
      </c>
      <c r="AN6" s="62">
        <f ca="1">AVERAGE(OFFSET($AM$3,0,0,'Données projet'!$E$10+1,1))-AVERAGE(OFFSET($H$3,0,0,'Données projet'!$E$10+1,1))</f>
        <v>380.01621935031324</v>
      </c>
      <c r="AO6" s="62">
        <f t="shared" si="36"/>
        <v>365.76175372075869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7.1333333333333337</v>
      </c>
      <c r="BD6" s="13">
        <f>IF('Données projet'!$A$88&gt;35,BD5+BC6-BL5,IF(A6&lt;'Données projet'!$A$88,$BA$205^A6,IF(A6='Données projet'!$A$88,'Données projet'!$B$88,BD5+BC6-BL5)))</f>
        <v>2.5461076134379645</v>
      </c>
      <c r="BE6" s="14">
        <f>BD6*VLOOKUP('Données projet'!$B$11,Paramètres!$A$1:$I$89,3,0)*VLOOKUP('Données projet'!$B$11,Paramètres!$A$1:$I$89,5,0)</f>
        <v>2.2242796110994063</v>
      </c>
      <c r="BF6" s="14">
        <f t="shared" si="37"/>
        <v>0.93396069963909534</v>
      </c>
      <c r="BG6" s="22">
        <f t="shared" si="7"/>
        <v>5.5006018745362235</v>
      </c>
      <c r="BH6" s="62">
        <f t="shared" si="8"/>
        <v>265.83393520786956</v>
      </c>
      <c r="BI6" s="62">
        <f ca="1">AVERAGE(OFFSET($BH$3,0,0,'Données projet'!$E$11+1,1))-AVERAGE(OFFSET($H$3,0,0,'Données projet'!$E$11+1,1))</f>
        <v>303.33040062722074</v>
      </c>
      <c r="BJ6" s="62">
        <f t="shared" si="38"/>
        <v>425.30058672361548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1.1000000000000001</v>
      </c>
      <c r="N7" s="14">
        <f>IF('Données projet'!$A$36&gt;35,N6+M7-V6,IF(A7&lt;'Données projet'!$A$36,$K$205^A7,IF(A7='Données projet'!$A$36,'Données projet'!$B$36,N6+M7-V6)))</f>
        <v>2.6094986352788743</v>
      </c>
      <c r="O7" s="14">
        <f>N7*VLOOKUP('Données projet'!$B$9,Paramètres!$A$1:$I$89,3,0)*VLOOKUP('Données projet'!$B$9,Paramètres!$A$1:$I$89,5,0)</f>
        <v>2.0761171142278725</v>
      </c>
      <c r="P7" s="14">
        <f t="shared" si="33"/>
        <v>0.87877116536856548</v>
      </c>
      <c r="Q7" s="22">
        <f t="shared" si="2"/>
        <v>5.14643042029713</v>
      </c>
      <c r="R7" s="62">
        <f t="shared" si="0"/>
        <v>266.70198597585266</v>
      </c>
      <c r="S7" s="62">
        <f ca="1">AVERAGE(OFFSET($R$3,0,0,'Données projet'!$E$9+1,1))-AVERAGE(OFFSET($H$3,0,0,'Données projet'!$E$9+1,1))</f>
        <v>354.56491118410622</v>
      </c>
      <c r="T7" s="62">
        <f t="shared" si="34"/>
        <v>343.77208530767069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1.9</v>
      </c>
      <c r="AI7" s="14">
        <f>IF('Données projet'!$A$62&gt;35,AI6+AH7-AQ6,IF(A7&lt;'Données projet'!$A$62,$AF$205^A7,IF(A7='Données projet'!$A$62,'Données projet'!$B$62,AI6+AH7-AQ6)))</f>
        <v>3.247143191135669</v>
      </c>
      <c r="AJ7" s="14">
        <f>AI7*VLOOKUP('Données projet'!$B$10,Paramètres!$A$1:$I$89,3,0)*VLOOKUP('Données projet'!$B$10,Paramètres!$A$1:$I$89,5,0)</f>
        <v>2.3808053877406725</v>
      </c>
      <c r="AK7" s="14">
        <f t="shared" si="35"/>
        <v>0.99180273134383279</v>
      </c>
      <c r="AL7" s="22">
        <f t="shared" si="4"/>
        <v>5.8739591407388465</v>
      </c>
      <c r="AM7" s="62">
        <f t="shared" si="5"/>
        <v>267.4295146962944</v>
      </c>
      <c r="AN7" s="62">
        <f ca="1">AVERAGE(OFFSET($AM$3,0,0,'Données projet'!$E$10+1,1))-AVERAGE(OFFSET($H$3,0,0,'Données projet'!$E$10+1,1))</f>
        <v>380.01621935031324</v>
      </c>
      <c r="AO7" s="62">
        <f t="shared" si="36"/>
        <v>365.76175372075869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7.1333333333333337</v>
      </c>
      <c r="BD7" s="13">
        <f>IF('Données projet'!$A$88&gt;35,BD6+BC7-BL6,IF(A7&lt;'Données projet'!$A$88,$BA$205^A7,IF(A7='Données projet'!$A$88,'Données projet'!$B$88,BD6+BC7-BL6)))</f>
        <v>3.4767143280787458</v>
      </c>
      <c r="BE7" s="14">
        <f>BD7*VLOOKUP('Données projet'!$B$11,Paramètres!$A$1:$I$89,3,0)*VLOOKUP('Données projet'!$B$11,Paramètres!$A$1:$I$89,5,0)</f>
        <v>3.0372576370095925</v>
      </c>
      <c r="BF7" s="14">
        <f t="shared" si="37"/>
        <v>1.2299085923119242</v>
      </c>
      <c r="BG7" s="22">
        <f t="shared" si="7"/>
        <v>7.4319811827349751</v>
      </c>
      <c r="BH7" s="62">
        <f t="shared" si="8"/>
        <v>268.98753673829054</v>
      </c>
      <c r="BI7" s="62">
        <f ca="1">AVERAGE(OFFSET($BH$3,0,0,'Données projet'!$E$11+1,1))-AVERAGE(OFFSET($H$3,0,0,'Données projet'!$E$11+1,1))</f>
        <v>303.33040062722074</v>
      </c>
      <c r="BJ7" s="62">
        <f t="shared" si="38"/>
        <v>425.30058672361548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1.1000000000000001</v>
      </c>
      <c r="N8" s="14">
        <f>IF('Données projet'!$A$36&gt;35,N7+M8-V7,IF(A8&lt;'Données projet'!$A$36,$K$205^A8,IF(A8='Données projet'!$A$36,'Données projet'!$B$36,N7+M8-V7)))</f>
        <v>3.3166247903554016</v>
      </c>
      <c r="O8" s="14">
        <f>N8*VLOOKUP('Données projet'!$B$9,Paramètres!$A$1:$I$89,3,0)*VLOOKUP('Données projet'!$B$9,Paramètres!$A$1:$I$89,5,0)</f>
        <v>2.6387066832067574</v>
      </c>
      <c r="P8" s="14">
        <f t="shared" si="33"/>
        <v>1.0861586266766543</v>
      </c>
      <c r="Q8" s="22">
        <f t="shared" si="2"/>
        <v>6.4874737480469413</v>
      </c>
      <c r="R8" s="62">
        <f t="shared" si="0"/>
        <v>269.26525152582474</v>
      </c>
      <c r="S8" s="62">
        <f ca="1">AVERAGE(OFFSET($R$3,0,0,'Données projet'!$E$9+1,1))-AVERAGE(OFFSET($H$3,0,0,'Données projet'!$E$9+1,1))</f>
        <v>354.56491118410622</v>
      </c>
      <c r="T8" s="62">
        <f t="shared" si="34"/>
        <v>343.77208530767069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1.9</v>
      </c>
      <c r="AI8" s="14">
        <f>IF('Données projet'!$A$62&gt;35,AI7+AH8-AQ7,IF(A8&lt;'Données projet'!$A$62,$AF$205^A8,IF(A8='Données projet'!$A$62,'Données projet'!$B$62,AI7+AH8-AQ7)))</f>
        <v>4.3588989435406749</v>
      </c>
      <c r="AJ8" s="14">
        <f>AI8*VLOOKUP('Données projet'!$B$10,Paramètres!$A$1:$I$89,3,0)*VLOOKUP('Données projet'!$B$10,Paramètres!$A$1:$I$89,5,0)</f>
        <v>3.1959447054040226</v>
      </c>
      <c r="AK8" s="14">
        <f t="shared" si="35"/>
        <v>1.2865182998910156</v>
      </c>
      <c r="AL8" s="22">
        <f t="shared" si="4"/>
        <v>7.8069564008888577</v>
      </c>
      <c r="AM8" s="62">
        <f t="shared" si="5"/>
        <v>270.58473417866662</v>
      </c>
      <c r="AN8" s="62">
        <f ca="1">AVERAGE(OFFSET($AM$3,0,0,'Données projet'!$E$10+1,1))-AVERAGE(OFFSET($H$3,0,0,'Données projet'!$E$10+1,1))</f>
        <v>380.01621935031324</v>
      </c>
      <c r="AO8" s="62">
        <f t="shared" si="36"/>
        <v>365.76175372075869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7.1333333333333337</v>
      </c>
      <c r="BD8" s="13">
        <f>IF('Données projet'!$A$88&gt;35,BD7+BC8-BL7,IF(A8&lt;'Données projet'!$A$88,$BA$205^A8,IF(A8='Données projet'!$A$88,'Données projet'!$B$88,BD7+BC8-BL7)))</f>
        <v>4.7474593985233984</v>
      </c>
      <c r="BE8" s="14">
        <f>BD8*VLOOKUP('Données projet'!$B$11,Paramètres!$A$1:$I$89,3,0)*VLOOKUP('Données projet'!$B$11,Paramètres!$A$1:$I$89,5,0)</f>
        <v>4.1473805305500413</v>
      </c>
      <c r="BF8" s="14">
        <f t="shared" si="37"/>
        <v>1.6196346870133109</v>
      </c>
      <c r="BG8" s="22">
        <f t="shared" si="7"/>
        <v>10.044218170589504</v>
      </c>
      <c r="BH8" s="62">
        <f t="shared" si="8"/>
        <v>272.82199594836726</v>
      </c>
      <c r="BI8" s="62">
        <f ca="1">AVERAGE(OFFSET($BH$3,0,0,'Données projet'!$E$11+1,1))-AVERAGE(OFFSET($H$3,0,0,'Données projet'!$E$11+1,1))</f>
        <v>303.33040062722074</v>
      </c>
      <c r="BJ8" s="62">
        <f t="shared" si="38"/>
        <v>425.30058672361548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1.1000000000000001</v>
      </c>
      <c r="N9" s="14">
        <f>IF('Données projet'!$A$36&gt;35,N8+M9-V8,IF(A9&lt;'Données projet'!$A$36,$K$205^A9,IF(A9='Données projet'!$A$36,'Données projet'!$B$36,N8+M9-V8)))</f>
        <v>4.2153691330919028</v>
      </c>
      <c r="O9" s="14">
        <f>N9*VLOOKUP('Données projet'!$B$9,Paramètres!$A$1:$I$89,3,0)*VLOOKUP('Données projet'!$B$9,Paramètres!$A$1:$I$89,5,0)</f>
        <v>3.353747682287918</v>
      </c>
      <c r="P9" s="14">
        <f t="shared" si="33"/>
        <v>1.3424889309030987</v>
      </c>
      <c r="Q9" s="22">
        <f t="shared" si="2"/>
        <v>8.1792787679743544</v>
      </c>
      <c r="R9" s="62">
        <f t="shared" si="0"/>
        <v>272.17927876797438</v>
      </c>
      <c r="S9" s="62">
        <f ca="1">AVERAGE(OFFSET($R$3,0,0,'Données projet'!$E$9+1,1))-AVERAGE(OFFSET($H$3,0,0,'Données projet'!$E$9+1,1))</f>
        <v>354.56491118410622</v>
      </c>
      <c r="T9" s="62">
        <f t="shared" si="34"/>
        <v>343.77208530767069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1.9</v>
      </c>
      <c r="AI9" s="14">
        <f>IF('Données projet'!$A$62&gt;35,AI8+AH9-AQ8,IF(A9&lt;'Données projet'!$A$62,$AF$205^A9,IF(A9='Données projet'!$A$62,'Données projet'!$B$62,AI8+AH9-AQ8)))</f>
        <v>5.8512972424092187</v>
      </c>
      <c r="AJ9" s="14">
        <f>AI9*VLOOKUP('Données projet'!$B$10,Paramètres!$A$1:$I$89,3,0)*VLOOKUP('Données projet'!$B$10,Paramètres!$A$1:$I$89,5,0)</f>
        <v>4.290171138134439</v>
      </c>
      <c r="AK9" s="14">
        <f t="shared" si="35"/>
        <v>1.6688090117596963</v>
      </c>
      <c r="AL9" s="22">
        <f t="shared" si="4"/>
        <v>10.378557094398952</v>
      </c>
      <c r="AM9" s="62">
        <f t="shared" si="5"/>
        <v>274.37855709439896</v>
      </c>
      <c r="AN9" s="62">
        <f ca="1">AVERAGE(OFFSET($AM$3,0,0,'Données projet'!$E$10+1,1))-AVERAGE(OFFSET($H$3,0,0,'Données projet'!$E$10+1,1))</f>
        <v>380.01621935031324</v>
      </c>
      <c r="AO9" s="62">
        <f t="shared" si="36"/>
        <v>365.76175372075869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7.1333333333333337</v>
      </c>
      <c r="BD9" s="13">
        <f>IF('Données projet'!$A$88&gt;35,BD8+BC9-BL8,IF(A9&lt;'Données projet'!$A$88,$BA$205^A9,IF(A9='Données projet'!$A$88,'Données projet'!$B$88,BD8+BC9-BL8)))</f>
        <v>6.4826639792067677</v>
      </c>
      <c r="BE9" s="14">
        <f>BD9*VLOOKUP('Données projet'!$B$11,Paramètres!$A$1:$I$89,3,0)*VLOOKUP('Données projet'!$B$11,Paramètres!$A$1:$I$89,5,0)</f>
        <v>5.6632552522350332</v>
      </c>
      <c r="BF9" s="14">
        <f t="shared" si="37"/>
        <v>2.1328548607386395</v>
      </c>
      <c r="BG9" s="22">
        <f t="shared" si="7"/>
        <v>13.578225113429147</v>
      </c>
      <c r="BH9" s="62">
        <f t="shared" si="8"/>
        <v>277.57822511342914</v>
      </c>
      <c r="BI9" s="62">
        <f ca="1">AVERAGE(OFFSET($BH$3,0,0,'Données projet'!$E$11+1,1))-AVERAGE(OFFSET($H$3,0,0,'Données projet'!$E$11+1,1))</f>
        <v>303.33040062722074</v>
      </c>
      <c r="BJ9" s="62">
        <f t="shared" si="38"/>
        <v>425.30058672361548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1.1000000000000001</v>
      </c>
      <c r="N10" s="14">
        <f>IF('Données projet'!$A$36&gt;35,N9+M10-V9,IF(A10&lt;'Données projet'!$A$36,$K$205^A10,IF(A10='Données projet'!$A$36,'Données projet'!$B$36,N9+M10-V9)))</f>
        <v>5.3576566694841175</v>
      </c>
      <c r="O10" s="14">
        <f>N10*VLOOKUP('Données projet'!$B$9,Paramètres!$A$1:$I$89,3,0)*VLOOKUP('Données projet'!$B$9,Paramètres!$A$1:$I$89,5,0)</f>
        <v>4.2625516462415645</v>
      </c>
      <c r="P10" s="14">
        <f t="shared" si="33"/>
        <v>1.6593124478620722</v>
      </c>
      <c r="Q10" s="22">
        <f t="shared" si="2"/>
        <v>10.313913297230501</v>
      </c>
      <c r="R10" s="62">
        <f t="shared" si="0"/>
        <v>275.53613551945273</v>
      </c>
      <c r="S10" s="62">
        <f ca="1">AVERAGE(OFFSET($R$3,0,0,'Données projet'!$E$9+1,1))-AVERAGE(OFFSET($H$3,0,0,'Données projet'!$E$9+1,1))</f>
        <v>354.56491118410622</v>
      </c>
      <c r="T10" s="62">
        <f t="shared" si="34"/>
        <v>343.77208530767069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1.9</v>
      </c>
      <c r="AI10" s="14">
        <f>IF('Données projet'!$A$62&gt;35,AI9+AH10-AQ9,IF(A10&lt;'Données projet'!$A$62,$AF$205^A10,IF(A10='Données projet'!$A$62,'Données projet'!$B$62,AI9+AH10-AQ9)))</f>
        <v>7.8546623499408135</v>
      </c>
      <c r="AJ10" s="14">
        <f>AI10*VLOOKUP('Données projet'!$B$10,Paramètres!$A$1:$I$89,3,0)*VLOOKUP('Données projet'!$B$10,Paramètres!$A$1:$I$89,5,0)</f>
        <v>5.7590384349766044</v>
      </c>
      <c r="AK10" s="14">
        <f t="shared" si="35"/>
        <v>2.1646979432521807</v>
      </c>
      <c r="AL10" s="22">
        <f t="shared" si="4"/>
        <v>13.800507525415135</v>
      </c>
      <c r="AM10" s="62">
        <f t="shared" si="5"/>
        <v>279.02272974763736</v>
      </c>
      <c r="AN10" s="62">
        <f ca="1">AVERAGE(OFFSET($AM$3,0,0,'Données projet'!$E$10+1,1))-AVERAGE(OFFSET($H$3,0,0,'Données projet'!$E$10+1,1))</f>
        <v>380.01621935031324</v>
      </c>
      <c r="AO10" s="62">
        <f t="shared" si="36"/>
        <v>365.76175372075869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7.1333333333333337</v>
      </c>
      <c r="BD10" s="13">
        <f>IF('Données projet'!$A$88&gt;35,BD9+BC10-BL9,IF(A10&lt;'Données projet'!$A$88,$BA$205^A10,IF(A10='Données projet'!$A$88,'Données projet'!$B$88,BD9+BC10-BL9)))</f>
        <v>8.8520888204701524</v>
      </c>
      <c r="BE10" s="14">
        <f>BD10*VLOOKUP('Données projet'!$B$11,Paramètres!$A$1:$I$89,3,0)*VLOOKUP('Données projet'!$B$11,Paramètres!$A$1:$I$89,5,0)</f>
        <v>7.7331847935627263</v>
      </c>
      <c r="BF10" s="14">
        <f t="shared" si="37"/>
        <v>2.8087011802427866</v>
      </c>
      <c r="BG10" s="22">
        <f t="shared" si="7"/>
        <v>18.360451404377937</v>
      </c>
      <c r="BH10" s="62">
        <f t="shared" si="8"/>
        <v>283.58267362660018</v>
      </c>
      <c r="BI10" s="62">
        <f ca="1">AVERAGE(OFFSET($BH$3,0,0,'Données projet'!$E$11+1,1))-AVERAGE(OFFSET($H$3,0,0,'Données projet'!$E$11+1,1))</f>
        <v>303.33040062722074</v>
      </c>
      <c r="BJ10" s="62">
        <f t="shared" si="38"/>
        <v>425.30058672361548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1.1000000000000001</v>
      </c>
      <c r="N11" s="14">
        <f>IF('Données projet'!$A$36&gt;35,N10+M11-V10,IF(A11&lt;'Données projet'!$A$36,$K$205^A11,IF(A11='Données projet'!$A$36,'Données projet'!$B$36,N10+M11-V10)))</f>
        <v>6.8094831275223076</v>
      </c>
      <c r="O11" s="14">
        <f>N11*VLOOKUP('Données projet'!$B$9,Paramètres!$A$1:$I$89,3,0)*VLOOKUP('Données projet'!$B$9,Paramètres!$A$1:$I$89,5,0)</f>
        <v>5.4176247762567487</v>
      </c>
      <c r="P11" s="14">
        <f t="shared" si="33"/>
        <v>2.0509054013412618</v>
      </c>
      <c r="Q11" s="22">
        <f t="shared" si="2"/>
        <v>13.007690059316532</v>
      </c>
      <c r="R11" s="62">
        <f t="shared" si="0"/>
        <v>279.45213450376099</v>
      </c>
      <c r="S11" s="62">
        <f ca="1">AVERAGE(OFFSET($R$3,0,0,'Données projet'!$E$9+1,1))-AVERAGE(OFFSET($H$3,0,0,'Données projet'!$E$9+1,1))</f>
        <v>354.56491118410622</v>
      </c>
      <c r="T11" s="62">
        <f t="shared" si="34"/>
        <v>343.77208530767069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1.9</v>
      </c>
      <c r="AI11" s="14">
        <f>IF('Données projet'!$A$62&gt;35,AI10+AH11-AQ10,IF(A11&lt;'Données projet'!$A$62,$AF$205^A11,IF(A11='Données projet'!$A$62,'Données projet'!$B$62,AI10+AH11-AQ10)))</f>
        <v>10.543938903738736</v>
      </c>
      <c r="AJ11" s="14">
        <f>AI11*VLOOKUP('Données projet'!$B$10,Paramètres!$A$1:$I$89,3,0)*VLOOKUP('Données projet'!$B$10,Paramètres!$A$1:$I$89,5,0)</f>
        <v>7.730816004221241</v>
      </c>
      <c r="AK11" s="14">
        <f t="shared" si="35"/>
        <v>2.8079409641844508</v>
      </c>
      <c r="AL11" s="22">
        <f t="shared" si="4"/>
        <v>18.355001719973249</v>
      </c>
      <c r="AM11" s="62">
        <f t="shared" si="5"/>
        <v>284.7994461644177</v>
      </c>
      <c r="AN11" s="62">
        <f ca="1">AVERAGE(OFFSET($AM$3,0,0,'Données projet'!$E$10+1,1))-AVERAGE(OFFSET($H$3,0,0,'Données projet'!$E$10+1,1))</f>
        <v>380.01621935031324</v>
      </c>
      <c r="AO11" s="62">
        <f t="shared" si="36"/>
        <v>365.76175372075869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7.1333333333333337</v>
      </c>
      <c r="BD11" s="13">
        <f>IF('Données projet'!$A$88&gt;35,BD10+BC11-BL10,IF(A11&lt;'Données projet'!$A$88,$BA$205^A11,IF(A11='Données projet'!$A$88,'Données projet'!$B$88,BD10+BC11-BL10)))</f>
        <v>12.087542519068045</v>
      </c>
      <c r="BE11" s="14">
        <f>BD11*VLOOKUP('Données projet'!$B$11,Paramètres!$A$1:$I$89,3,0)*VLOOKUP('Données projet'!$B$11,Paramètres!$A$1:$I$89,5,0)</f>
        <v>10.559677144657845</v>
      </c>
      <c r="BF11" s="14">
        <f t="shared" si="37"/>
        <v>3.6987056480557761</v>
      </c>
      <c r="BG11" s="22">
        <f t="shared" si="7"/>
        <v>24.83335003064289</v>
      </c>
      <c r="BH11" s="62">
        <f t="shared" si="8"/>
        <v>291.27779447508738</v>
      </c>
      <c r="BI11" s="62">
        <f ca="1">AVERAGE(OFFSET($BH$3,0,0,'Données projet'!$E$11+1,1))-AVERAGE(OFFSET($H$3,0,0,'Données projet'!$E$11+1,1))</f>
        <v>303.33040062722074</v>
      </c>
      <c r="BJ11" s="62">
        <f t="shared" si="38"/>
        <v>425.30058672361548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1.1000000000000001</v>
      </c>
      <c r="N12" s="14">
        <f>IF('Données projet'!$A$36&gt;35,N11+M12-V11,IF(A12&lt;'Données projet'!$A$36,$K$205^A12,IF(A12='Données projet'!$A$36,'Données projet'!$B$36,N11+M12-V11)))</f>
        <v>8.6547278641645029</v>
      </c>
      <c r="O12" s="14">
        <f>N12*VLOOKUP('Données projet'!$B$9,Paramètres!$A$1:$I$89,3,0)*VLOOKUP('Données projet'!$B$9,Paramètres!$A$1:$I$89,5,0)</f>
        <v>6.8857014887292793</v>
      </c>
      <c r="P12" s="14">
        <f t="shared" si="33"/>
        <v>2.5349131627802968</v>
      </c>
      <c r="Q12" s="22">
        <f t="shared" si="2"/>
        <v>16.407570518045844</v>
      </c>
      <c r="R12" s="62">
        <f t="shared" si="0"/>
        <v>284.0742371847125</v>
      </c>
      <c r="S12" s="62">
        <f ca="1">AVERAGE(OFFSET($R$3,0,0,'Données projet'!$E$9+1,1))-AVERAGE(OFFSET($H$3,0,0,'Données projet'!$E$9+1,1))</f>
        <v>354.56491118410622</v>
      </c>
      <c r="T12" s="62">
        <f t="shared" si="34"/>
        <v>343.77208530767069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1.9</v>
      </c>
      <c r="AI12" s="14">
        <f>IF('Données projet'!$A$62&gt;35,AI11+AH12-AQ11,IF(A12&lt;'Données projet'!$A$62,$AF$205^A12,IF(A12='Données projet'!$A$62,'Données projet'!$B$62,AI11+AH12-AQ11)))</f>
        <v>14.153969025366564</v>
      </c>
      <c r="AJ12" s="14">
        <f>AI12*VLOOKUP('Données projet'!$B$10,Paramètres!$A$1:$I$89,3,0)*VLOOKUP('Données projet'!$B$10,Paramètres!$A$1:$I$89,5,0)</f>
        <v>10.377690089398765</v>
      </c>
      <c r="AK12" s="14">
        <f t="shared" si="35"/>
        <v>3.6423245482922235</v>
      </c>
      <c r="AL12" s="22">
        <f t="shared" si="4"/>
        <v>24.418192160645134</v>
      </c>
      <c r="AM12" s="62">
        <f t="shared" si="5"/>
        <v>292.08485882731179</v>
      </c>
      <c r="AN12" s="62">
        <f ca="1">AVERAGE(OFFSET($AM$3,0,0,'Données projet'!$E$10+1,1))-AVERAGE(OFFSET($H$3,0,0,'Données projet'!$E$10+1,1))</f>
        <v>380.01621935031324</v>
      </c>
      <c r="AO12" s="62">
        <f t="shared" si="36"/>
        <v>365.76175372075869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7.1333333333333337</v>
      </c>
      <c r="BD12" s="13">
        <f>IF('Données projet'!$A$88&gt;35,BD11+BC12-BL11,IF(A12&lt;'Données projet'!$A$88,$BA$205^A12,IF(A12='Données projet'!$A$88,'Données projet'!$B$88,BD11+BC12-BL11)))</f>
        <v>16.505560112818404</v>
      </c>
      <c r="BE12" s="14">
        <f>BD12*VLOOKUP('Données projet'!$B$11,Paramètres!$A$1:$I$89,3,0)*VLOOKUP('Données projet'!$B$11,Paramètres!$A$1:$I$89,5,0)</f>
        <v>14.419257314558161</v>
      </c>
      <c r="BF12" s="14">
        <f t="shared" si="37"/>
        <v>4.870729420129039</v>
      </c>
      <c r="BG12" s="22">
        <f t="shared" si="7"/>
        <v>33.596726896246878</v>
      </c>
      <c r="BH12" s="62">
        <f t="shared" si="8"/>
        <v>301.26339356291356</v>
      </c>
      <c r="BI12" s="62">
        <f ca="1">AVERAGE(OFFSET($BH$3,0,0,'Données projet'!$E$11+1,1))-AVERAGE(OFFSET($H$3,0,0,'Données projet'!$E$11+1,1))</f>
        <v>303.33040062722074</v>
      </c>
      <c r="BJ12" s="62">
        <f t="shared" si="38"/>
        <v>425.30058672361548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11</v>
      </c>
      <c r="L13" s="13">
        <f>VLOOKUP(A13,'Données projet'!$A$35:$I$55,9,0)</f>
        <v>1.1000000000000001</v>
      </c>
      <c r="M13" s="13">
        <f t="array" ref="M13">INDEX(L:L,MIN(IF(ISNUMBER(L13:L209),ROW(L13:L209),"")))</f>
        <v>1.1000000000000001</v>
      </c>
      <c r="N13" s="14">
        <f>IF('Données projet'!$A$36&gt;35,N12+M13-V12,IF(A13&lt;'Données projet'!$A$36,$K$205^A13,IF(A13='Données projet'!$A$36,'Données projet'!$B$36,N12+M13-V12)))</f>
        <v>11</v>
      </c>
      <c r="O13" s="14">
        <f>N13*VLOOKUP('Données projet'!$B$9,Paramètres!$A$1:$I$89,3,0)*VLOOKUP('Données projet'!$B$9,Paramètres!$A$1:$I$89,5,0)</f>
        <v>8.7516000000000016</v>
      </c>
      <c r="P13" s="14">
        <f t="shared" si="33"/>
        <v>3.1331453604025001</v>
      </c>
      <c r="Q13" s="22">
        <f t="shared" si="2"/>
        <v>20.699264836034356</v>
      </c>
      <c r="R13" s="62">
        <f t="shared" si="0"/>
        <v>289.58815372492319</v>
      </c>
      <c r="S13" s="62">
        <f ca="1">AVERAGE(OFFSET($R$3,0,0,'Données projet'!$E$9+1,1))-AVERAGE(OFFSET($H$3,0,0,'Données projet'!$E$9+1,1))</f>
        <v>354.56491118410622</v>
      </c>
      <c r="T13" s="62">
        <f t="shared" si="34"/>
        <v>343.77208530767069</v>
      </c>
      <c r="U13" s="16">
        <f>IF(ISNA(VLOOKUP(A13,'Données projet'!$A$35:$I$55,3,0)),0,VLOOKUP(A13,'Données projet'!$A$35:$I$55,3,0))</f>
        <v>1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19</v>
      </c>
      <c r="AG13" s="13">
        <f>VLOOKUP(A13,'Données projet'!$A$61:$I$81,9,0)</f>
        <v>1.9</v>
      </c>
      <c r="AH13" s="13">
        <f t="array" ref="AH13">INDEX(AG:AG,MIN(IF(ISNUMBER(AG13:AG209),ROW(AG13:AG209),"")))</f>
        <v>1.9</v>
      </c>
      <c r="AI13" s="14">
        <f>IF('Données projet'!$A$62&gt;35,AI12+AH13-AQ12,IF(A13&lt;'Données projet'!$A$62,$AF$205^A13,IF(A13='Données projet'!$A$62,'Données projet'!$B$62,AI12+AH13-AQ12)))</f>
        <v>19</v>
      </c>
      <c r="AJ13" s="14">
        <f>AI13*VLOOKUP('Données projet'!$B$10,Paramètres!$A$1:$I$89,3,0)*VLOOKUP('Données projet'!$B$10,Paramètres!$A$1:$I$89,5,0)</f>
        <v>13.9308</v>
      </c>
      <c r="AK13" s="14">
        <f t="shared" si="35"/>
        <v>4.7246463812124082</v>
      </c>
      <c r="AL13" s="22">
        <f t="shared" si="4"/>
        <v>32.491569113944941</v>
      </c>
      <c r="AM13" s="62">
        <f t="shared" si="5"/>
        <v>301.38045800283379</v>
      </c>
      <c r="AN13" s="62">
        <f ca="1">AVERAGE(OFFSET($AM$3,0,0,'Données projet'!$E$10+1,1))-AVERAGE(OFFSET($H$3,0,0,'Données projet'!$E$10+1,1))</f>
        <v>380.01621935031324</v>
      </c>
      <c r="AO13" s="62">
        <f t="shared" si="36"/>
        <v>365.76175372075869</v>
      </c>
      <c r="AP13" s="16">
        <f>IF(ISNA(VLOOKUP(A13,'Données projet'!$A$61:$I$81,3,0)),0,VLOOKUP(A13,'Données projet'!$A$61:$I$81,3,0))</f>
        <v>1</v>
      </c>
      <c r="AQ13" s="16">
        <f>IF(ISNA(VLOOKUP(A13,'Données projet'!$A$61:$I$81,4,0)),0,VLOOKUP(A13,'Données projet'!$A$61:$I$81,4,0))</f>
        <v>7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7.1333333333333337</v>
      </c>
      <c r="BD13" s="13">
        <f>IF('Données projet'!$A$88&gt;35,BD12+BC13-BL12,IF(A13&lt;'Données projet'!$A$88,$BA$205^A13,IF(A13='Données projet'!$A$88,'Données projet'!$B$88,BD12+BC13-BL12)))</f>
        <v>22.538370740628146</v>
      </c>
      <c r="BE13" s="14">
        <f>BD13*VLOOKUP('Données projet'!$B$11,Paramètres!$A$1:$I$89,3,0)*VLOOKUP('Données projet'!$B$11,Paramètres!$A$1:$I$89,5,0)</f>
        <v>19.689520679012752</v>
      </c>
      <c r="BF13" s="14">
        <f t="shared" si="37"/>
        <v>6.414137090520053</v>
      </c>
      <c r="BG13" s="22">
        <f t="shared" si="7"/>
        <v>45.463870615269634</v>
      </c>
      <c r="BH13" s="62">
        <f t="shared" si="8"/>
        <v>314.35275950415848</v>
      </c>
      <c r="BI13" s="62">
        <f ca="1">AVERAGE(OFFSET($BH$3,0,0,'Données projet'!$E$11+1,1))-AVERAGE(OFFSET($H$3,0,0,'Données projet'!$E$11+1,1))</f>
        <v>303.33040062722074</v>
      </c>
      <c r="BJ13" s="62">
        <f t="shared" si="38"/>
        <v>425.30058672361548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10.8</v>
      </c>
      <c r="N14" s="14">
        <f>IF('Données projet'!$A$36&gt;35,N13+M14-V13,IF(A14&lt;'Données projet'!$A$36,$K$205^A14,IF(A14='Données projet'!$A$36,'Données projet'!$B$36,N13+M14-V13)))</f>
        <v>21.8</v>
      </c>
      <c r="O14" s="14">
        <f>N14*VLOOKUP('Données projet'!$B$9,Paramètres!$A$1:$I$89,3,0)*VLOOKUP('Données projet'!$B$9,Paramètres!$A$1:$I$89,5,0)</f>
        <v>17.344080000000002</v>
      </c>
      <c r="P14" s="14">
        <f t="shared" si="33"/>
        <v>5.7341113912136308</v>
      </c>
      <c r="Q14" s="22">
        <f t="shared" si="2"/>
        <v>40.194516673030414</v>
      </c>
      <c r="R14" s="62">
        <f t="shared" si="0"/>
        <v>310.30562778414156</v>
      </c>
      <c r="S14" s="62">
        <f ca="1">AVERAGE(OFFSET($R$3,0,0,'Données projet'!$E$9+1,1))-AVERAGE(OFFSET($H$3,0,0,'Données projet'!$E$9+1,1))</f>
        <v>354.56491118410622</v>
      </c>
      <c r="T14" s="62">
        <f t="shared" si="34"/>
        <v>343.77208530767069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14.4</v>
      </c>
      <c r="AI14" s="14">
        <f>IF('Données projet'!$A$62&gt;35,AI13+AH14-AQ13,IF(A14&lt;'Données projet'!$A$62,$AF$205^A14,IF(A14='Données projet'!$A$62,'Données projet'!$B$62,AI13+AH14-AQ13)))</f>
        <v>26.4</v>
      </c>
      <c r="AJ14" s="14">
        <f>AI14*VLOOKUP('Données projet'!$B$10,Paramètres!$A$1:$I$89,3,0)*VLOOKUP('Données projet'!$B$10,Paramètres!$A$1:$I$89,5,0)</f>
        <v>19.356480000000001</v>
      </c>
      <c r="AK14" s="14">
        <f t="shared" si="35"/>
        <v>6.3181780007167561</v>
      </c>
      <c r="AL14" s="22">
        <f t="shared" si="4"/>
        <v>44.716696017915012</v>
      </c>
      <c r="AM14" s="62">
        <f t="shared" si="5"/>
        <v>314.82780712902616</v>
      </c>
      <c r="AN14" s="62">
        <f ca="1">AVERAGE(OFFSET($AM$3,0,0,'Données projet'!$E$10+1,1))-AVERAGE(OFFSET($H$3,0,0,'Données projet'!$E$10+1,1))</f>
        <v>380.01621935031324</v>
      </c>
      <c r="AO14" s="62">
        <f t="shared" si="36"/>
        <v>365.76175372075869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7.1333333333333337</v>
      </c>
      <c r="BD14" s="13">
        <f>IF('Données projet'!$A$88&gt;35,BD13+BC14-BL13,IF(A14&lt;'Données projet'!$A$88,$BA$205^A14,IF(A14='Données projet'!$A$88,'Données projet'!$B$88,BD13+BC14-BL13)))</f>
        <v>30.776184035554262</v>
      </c>
      <c r="BE14" s="14">
        <f>BD14*VLOOKUP('Données projet'!$B$11,Paramètres!$A$1:$I$89,3,0)*VLOOKUP('Données projet'!$B$11,Paramètres!$A$1:$I$89,5,0)</f>
        <v>26.886074373460207</v>
      </c>
      <c r="BF14" s="14">
        <f t="shared" si="37"/>
        <v>8.4466105725279856</v>
      </c>
      <c r="BG14" s="22">
        <f t="shared" si="7"/>
        <v>61.537759614262761</v>
      </c>
      <c r="BH14" s="62">
        <f t="shared" si="8"/>
        <v>331.64887072537391</v>
      </c>
      <c r="BI14" s="62">
        <f ca="1">AVERAGE(OFFSET($BH$3,0,0,'Données projet'!$E$11+1,1))-AVERAGE(OFFSET($H$3,0,0,'Données projet'!$E$11+1,1))</f>
        <v>303.33040062722074</v>
      </c>
      <c r="BJ14" s="62">
        <f t="shared" si="38"/>
        <v>425.30058672361548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10.8</v>
      </c>
      <c r="N15" s="14">
        <f>IF('Données projet'!$A$36&gt;35,N14+M15-V14,IF(A15&lt;'Données projet'!$A$36,$K$205^A15,IF(A15='Données projet'!$A$36,'Données projet'!$B$36,N14+M15-V14)))</f>
        <v>32.6</v>
      </c>
      <c r="O15" s="14">
        <f>N15*VLOOKUP('Données projet'!$B$9,Paramètres!$A$1:$I$89,3,0)*VLOOKUP('Données projet'!$B$9,Paramètres!$A$1:$I$89,5,0)</f>
        <v>25.936560000000004</v>
      </c>
      <c r="P15" s="14">
        <f t="shared" si="33"/>
        <v>8.1824816304360635</v>
      </c>
      <c r="Q15" s="22">
        <f t="shared" si="2"/>
        <v>59.423997506342801</v>
      </c>
      <c r="R15" s="62">
        <f t="shared" si="0"/>
        <v>330.75733083967611</v>
      </c>
      <c r="S15" s="62">
        <f ca="1">AVERAGE(OFFSET($R$3,0,0,'Données projet'!$E$9+1,1))-AVERAGE(OFFSET($H$3,0,0,'Données projet'!$E$9+1,1))</f>
        <v>354.56491118410622</v>
      </c>
      <c r="T15" s="62">
        <f t="shared" si="34"/>
        <v>343.77208530767069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14.4</v>
      </c>
      <c r="AI15" s="14">
        <f>IF('Données projet'!$A$62&gt;35,AI14+AH15-AQ14,IF(A15&lt;'Données projet'!$A$62,$AF$205^A15,IF(A15='Données projet'!$A$62,'Données projet'!$B$62,AI14+AH15-AQ14)))</f>
        <v>40.799999999999997</v>
      </c>
      <c r="AJ15" s="14">
        <f>AI15*VLOOKUP('Données projet'!$B$10,Paramètres!$A$1:$I$89,3,0)*VLOOKUP('Données projet'!$B$10,Paramètres!$A$1:$I$89,5,0)</f>
        <v>29.914559999999998</v>
      </c>
      <c r="AK15" s="14">
        <f t="shared" si="35"/>
        <v>9.2820081914942723</v>
      </c>
      <c r="AL15" s="22">
        <f t="shared" si="4"/>
        <v>68.267356266852531</v>
      </c>
      <c r="AM15" s="62">
        <f t="shared" si="5"/>
        <v>339.60068960018583</v>
      </c>
      <c r="AN15" s="62">
        <f ca="1">AVERAGE(OFFSET($AM$3,0,0,'Données projet'!$E$10+1,1))-AVERAGE(OFFSET($H$3,0,0,'Données projet'!$E$10+1,1))</f>
        <v>380.01621935031324</v>
      </c>
      <c r="AO15" s="62">
        <f t="shared" si="36"/>
        <v>365.76175372075869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7.1333333333333337</v>
      </c>
      <c r="BD15" s="13">
        <f>IF('Données projet'!$A$88&gt;35,BD14+BC15-BL14,IF(A15&lt;'Données projet'!$A$88,$BA$205^A15,IF(A15='Données projet'!$A$88,'Données projet'!$B$88,BD14+BC15-BL14)))</f>
        <v>42.024932267304926</v>
      </c>
      <c r="BE15" s="14">
        <f>BD15*VLOOKUP('Données projet'!$B$11,Paramètres!$A$1:$I$89,3,0)*VLOOKUP('Données projet'!$B$11,Paramètres!$A$1:$I$89,5,0)</f>
        <v>36.71298082871759</v>
      </c>
      <c r="BF15" s="14">
        <f t="shared" si="37"/>
        <v>11.123122121818724</v>
      </c>
      <c r="BG15" s="22">
        <f t="shared" si="7"/>
        <v>83.314545972184078</v>
      </c>
      <c r="BH15" s="62">
        <f t="shared" si="8"/>
        <v>354.64787930551739</v>
      </c>
      <c r="BI15" s="62">
        <f ca="1">AVERAGE(OFFSET($BH$3,0,0,'Données projet'!$E$11+1,1))-AVERAGE(OFFSET($H$3,0,0,'Données projet'!$E$11+1,1))</f>
        <v>303.33040062722074</v>
      </c>
      <c r="BJ15" s="62">
        <f t="shared" si="38"/>
        <v>425.30058672361548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10.8</v>
      </c>
      <c r="N16" s="14">
        <f>IF('Données projet'!$A$36&gt;35,N15+M16-V15,IF(A16&lt;'Données projet'!$A$36,$K$205^A16,IF(A16='Données projet'!$A$36,'Données projet'!$B$36,N15+M16-V15)))</f>
        <v>43.400000000000006</v>
      </c>
      <c r="O16" s="14">
        <f>N16*VLOOKUP('Données projet'!$B$9,Paramètres!$A$1:$I$89,3,0)*VLOOKUP('Données projet'!$B$9,Paramètres!$A$1:$I$89,5,0)</f>
        <v>34.529040000000009</v>
      </c>
      <c r="P16" s="14">
        <f t="shared" si="33"/>
        <v>10.536391336679102</v>
      </c>
      <c r="Q16" s="22">
        <f t="shared" si="2"/>
        <v>78.488959578049446</v>
      </c>
      <c r="R16" s="62">
        <f t="shared" si="0"/>
        <v>351.04451513360499</v>
      </c>
      <c r="S16" s="62">
        <f ca="1">AVERAGE(OFFSET($R$3,0,0,'Données projet'!$E$9+1,1))-AVERAGE(OFFSET($H$3,0,0,'Données projet'!$E$9+1,1))</f>
        <v>354.56491118410622</v>
      </c>
      <c r="T16" s="62">
        <f t="shared" si="34"/>
        <v>343.77208530767069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14.4</v>
      </c>
      <c r="AI16" s="14">
        <f>IF('Données projet'!$A$62&gt;35,AI15+AH16-AQ15,IF(A16&lt;'Données projet'!$A$62,$AF$205^A16,IF(A16='Données projet'!$A$62,'Données projet'!$B$62,AI15+AH16-AQ15)))</f>
        <v>55.199999999999996</v>
      </c>
      <c r="AJ16" s="14">
        <f>AI16*VLOOKUP('Données projet'!$B$10,Paramètres!$A$1:$I$89,3,0)*VLOOKUP('Données projet'!$B$10,Paramètres!$A$1:$I$89,5,0)</f>
        <v>40.472639999999991</v>
      </c>
      <c r="AK16" s="14">
        <f t="shared" si="35"/>
        <v>12.123834417890356</v>
      </c>
      <c r="AL16" s="22">
        <f t="shared" si="4"/>
        <v>91.605526277825675</v>
      </c>
      <c r="AM16" s="62">
        <f t="shared" si="5"/>
        <v>364.16108183338122</v>
      </c>
      <c r="AN16" s="62">
        <f ca="1">AVERAGE(OFFSET($AM$3,0,0,'Données projet'!$E$10+1,1))-AVERAGE(OFFSET($H$3,0,0,'Données projet'!$E$10+1,1))</f>
        <v>380.01621935031324</v>
      </c>
      <c r="AO16" s="62">
        <f t="shared" si="36"/>
        <v>365.76175372075869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7.1333333333333337</v>
      </c>
      <c r="BD16" s="13">
        <f>IF('Données projet'!$A$88&gt;35,BD15+BC16-BL15,IF(A16&lt;'Données projet'!$A$88,$BA$205^A16,IF(A16='Données projet'!$A$88,'Données projet'!$B$88,BD15+BC16-BL15)))</f>
        <v>57.385117337200782</v>
      </c>
      <c r="BE16" s="14">
        <f>BD16*VLOOKUP('Données projet'!$B$11,Paramètres!$A$1:$I$89,3,0)*VLOOKUP('Données projet'!$B$11,Paramètres!$A$1:$I$89,5,0)</f>
        <v>50.131638505778611</v>
      </c>
      <c r="BF16" s="14">
        <f t="shared" si="37"/>
        <v>14.647750677567194</v>
      </c>
      <c r="BG16" s="22">
        <f t="shared" si="7"/>
        <v>112.82410282766058</v>
      </c>
      <c r="BH16" s="62">
        <f t="shared" si="8"/>
        <v>385.37965838321611</v>
      </c>
      <c r="BI16" s="62">
        <f ca="1">AVERAGE(OFFSET($BH$3,0,0,'Données projet'!$E$11+1,1))-AVERAGE(OFFSET($H$3,0,0,'Données projet'!$E$11+1,1))</f>
        <v>303.33040062722074</v>
      </c>
      <c r="BJ16" s="62">
        <f t="shared" si="38"/>
        <v>425.30058672361548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10.8</v>
      </c>
      <c r="N17" s="14">
        <f>IF('Données projet'!$A$36&gt;35,N16+M17-V16,IF(A17&lt;'Données projet'!$A$36,$K$205^A17,IF(A17='Données projet'!$A$36,'Données projet'!$B$36,N16+M17-V16)))</f>
        <v>54.2</v>
      </c>
      <c r="O17" s="14">
        <f>N17*VLOOKUP('Données projet'!$B$9,Paramètres!$A$1:$I$89,3,0)*VLOOKUP('Données projet'!$B$9,Paramètres!$A$1:$I$89,5,0)</f>
        <v>43.121520000000004</v>
      </c>
      <c r="P17" s="14">
        <f t="shared" si="33"/>
        <v>12.822353245070515</v>
      </c>
      <c r="Q17" s="22">
        <f t="shared" si="2"/>
        <v>97.435579235164482</v>
      </c>
      <c r="R17" s="62">
        <f t="shared" si="0"/>
        <v>371.21335701294225</v>
      </c>
      <c r="S17" s="62">
        <f ca="1">AVERAGE(OFFSET($R$3,0,0,'Données projet'!$E$9+1,1))-AVERAGE(OFFSET($H$3,0,0,'Données projet'!$E$9+1,1))</f>
        <v>354.56491118410622</v>
      </c>
      <c r="T17" s="62">
        <f t="shared" si="34"/>
        <v>343.77208530767069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14.4</v>
      </c>
      <c r="AI17" s="14">
        <f>IF('Données projet'!$A$62&gt;35,AI16+AH17-AQ16,IF(A17&lt;'Données projet'!$A$62,$AF$205^A17,IF(A17='Données projet'!$A$62,'Données projet'!$B$62,AI16+AH17-AQ16)))</f>
        <v>69.599999999999994</v>
      </c>
      <c r="AJ17" s="14">
        <f>AI17*VLOOKUP('Données projet'!$B$10,Paramètres!$A$1:$I$89,3,0)*VLOOKUP('Données projet'!$B$10,Paramètres!$A$1:$I$89,5,0)</f>
        <v>51.030719999999995</v>
      </c>
      <c r="AK17" s="14">
        <f t="shared" si="35"/>
        <v>14.879630660597618</v>
      </c>
      <c r="AL17" s="22">
        <f t="shared" si="4"/>
        <v>114.79386073387417</v>
      </c>
      <c r="AM17" s="62">
        <f t="shared" si="5"/>
        <v>388.57163851165194</v>
      </c>
      <c r="AN17" s="62">
        <f ca="1">AVERAGE(OFFSET($AM$3,0,0,'Données projet'!$E$10+1,1))-AVERAGE(OFFSET($H$3,0,0,'Données projet'!$E$10+1,1))</f>
        <v>380.01621935031324</v>
      </c>
      <c r="AO17" s="62">
        <f t="shared" si="36"/>
        <v>365.76175372075869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7.1333333333333337</v>
      </c>
      <c r="BD17" s="13">
        <f>IF('Données projet'!$A$88&gt;35,BD16+BC17-BL16,IF(A17&lt;'Données projet'!$A$88,$BA$205^A17,IF(A17='Données projet'!$A$88,'Données projet'!$B$88,BD16+BC17-BL16)))</f>
        <v>78.35947648549265</v>
      </c>
      <c r="BE17" s="14">
        <f>BD17*VLOOKUP('Données projet'!$B$11,Paramètres!$A$1:$I$89,3,0)*VLOOKUP('Données projet'!$B$11,Paramètres!$A$1:$I$89,5,0)</f>
        <v>68.454838657726384</v>
      </c>
      <c r="BF17" s="14">
        <f t="shared" si="37"/>
        <v>19.289242495261615</v>
      </c>
      <c r="BG17" s="22">
        <f t="shared" si="7"/>
        <v>152.8209413414541</v>
      </c>
      <c r="BH17" s="62">
        <f t="shared" si="8"/>
        <v>426.59871911923187</v>
      </c>
      <c r="BI17" s="62">
        <f ca="1">AVERAGE(OFFSET($BH$3,0,0,'Données projet'!$E$11+1,1))-AVERAGE(OFFSET($H$3,0,0,'Données projet'!$E$11+1,1))</f>
        <v>303.33040062722074</v>
      </c>
      <c r="BJ17" s="62">
        <f t="shared" si="38"/>
        <v>425.30058672361548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65</v>
      </c>
      <c r="L18" s="13">
        <f>VLOOKUP(A18,'Données projet'!$A$35:$I$55,9,0)</f>
        <v>10.8</v>
      </c>
      <c r="M18" s="13">
        <f t="array" ref="M18">INDEX(L:L,MIN(IF(ISNUMBER(L18:L214),ROW(L18:L214),"")))</f>
        <v>10.8</v>
      </c>
      <c r="N18" s="14">
        <f>IF('Données projet'!$A$36&gt;35,N17+M18-V17,IF(A18&lt;'Données projet'!$A$36,$K$205^A18,IF(A18='Données projet'!$A$36,'Données projet'!$B$36,N17+M18-V17)))</f>
        <v>65</v>
      </c>
      <c r="O18" s="14">
        <f>N18*VLOOKUP('Données projet'!$B$9,Paramètres!$A$1:$I$89,3,0)*VLOOKUP('Données projet'!$B$9,Paramètres!$A$1:$I$89,5,0)</f>
        <v>51.713999999999999</v>
      </c>
      <c r="P18" s="14">
        <f t="shared" si="33"/>
        <v>15.055535578337075</v>
      </c>
      <c r="Q18" s="22">
        <f t="shared" si="2"/>
        <v>116.29027446560372</v>
      </c>
      <c r="R18" s="62">
        <f t="shared" si="0"/>
        <v>391.29027446560372</v>
      </c>
      <c r="S18" s="62">
        <f ca="1">AVERAGE(OFFSET($R$3,0,0,'Données projet'!$E$9+1,1))-AVERAGE(OFFSET($H$3,0,0,'Données projet'!$E$9+1,1))</f>
        <v>354.56491118410622</v>
      </c>
      <c r="T18" s="62">
        <f t="shared" si="34"/>
        <v>343.77208530767069</v>
      </c>
      <c r="U18" s="16">
        <f>IF(ISNA(VLOOKUP(A18,'Données projet'!$A$35:$I$55,3,0)),0,VLOOKUP(A18,'Données projet'!$A$35:$I$55,3,0))</f>
        <v>2</v>
      </c>
      <c r="V18" s="16">
        <f>IF(ISNA(VLOOKUP(A18,'Données projet'!$A$35:$I$55,4,0)),0,VLOOKUP(A18,'Données projet'!$A$35:$I$55,4,0))</f>
        <v>32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0.21200000000000002</v>
      </c>
      <c r="Y18" s="17">
        <f>IF(ISNA(VLOOKUP(A18,'Données projet'!$A$35:$I$55,7,0)),0%,VLOOKUP(A18,'Données projet'!$A$35:$I$55,7,0))</f>
        <v>0.6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5.9431181742153498</v>
      </c>
      <c r="AB18" s="23">
        <f>EXP(-LN(2)/2)*AB17+(1-EXP(-LN(2)/2))/(LN(2)/2)*V18*Y18*VLOOKUP('Données projet'!$B$9,Paramètres!$A$1:$I$89,3,0)*0.475*44/12</f>
        <v>14.412864254592899</v>
      </c>
      <c r="AC18" s="24">
        <f t="shared" si="3"/>
        <v>20.355982428808247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84</v>
      </c>
      <c r="AG18" s="13">
        <f>VLOOKUP(A18,'Données projet'!$A$61:$I$81,9,0)</f>
        <v>14.4</v>
      </c>
      <c r="AH18" s="13">
        <f t="array" ref="AH18">INDEX(AG:AG,MIN(IF(ISNUMBER(AG18:AG214),ROW(AG18:AG214),"")))</f>
        <v>14.4</v>
      </c>
      <c r="AI18" s="14">
        <f>IF('Données projet'!$A$62&gt;35,AI17+AH18-AQ17,IF(A18&lt;'Données projet'!$A$62,$AF$205^A18,IF(A18='Données projet'!$A$62,'Données projet'!$B$62,AI17+AH18-AQ17)))</f>
        <v>84</v>
      </c>
      <c r="AJ18" s="14">
        <f>AI18*VLOOKUP('Données projet'!$B$10,Paramètres!$A$1:$I$89,3,0)*VLOOKUP('Données projet'!$B$10,Paramètres!$A$1:$I$89,5,0)</f>
        <v>61.588799999999999</v>
      </c>
      <c r="AK18" s="14">
        <f t="shared" si="35"/>
        <v>17.56935444538782</v>
      </c>
      <c r="AL18" s="22">
        <f t="shared" si="4"/>
        <v>137.86711899238378</v>
      </c>
      <c r="AM18" s="62">
        <f t="shared" si="5"/>
        <v>412.86711899238378</v>
      </c>
      <c r="AN18" s="62">
        <f ca="1">AVERAGE(OFFSET($AM$3,0,0,'Données projet'!$E$10+1,1))-AVERAGE(OFFSET($H$3,0,0,'Données projet'!$E$10+1,1))</f>
        <v>380.01621935031324</v>
      </c>
      <c r="AO18" s="62">
        <f t="shared" si="36"/>
        <v>365.76175372075869</v>
      </c>
      <c r="AP18" s="16">
        <f>IF(ISNA(VLOOKUP(A18,'Données projet'!$A$61:$I$81,3,0)),0,VLOOKUP(A18,'Données projet'!$A$61:$I$81,3,0))</f>
        <v>2</v>
      </c>
      <c r="AQ18" s="16">
        <f>IF(ISNA(VLOOKUP(A18,'Données projet'!$A$61:$I$81,4,0)),0,VLOOKUP(A18,'Données projet'!$A$61:$I$81,4,0))</f>
        <v>42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0.17200000000000001</v>
      </c>
      <c r="AT18" s="17">
        <f>IF(ISNA(VLOOKUP(A18,'Données projet'!$A$61:$I$81,7,0)),0%,VLOOKUP(A18,'Données projet'!$A$61:$I$81,7,0))</f>
        <v>0.6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5.8322206444661857</v>
      </c>
      <c r="AW18" s="23">
        <f>EXP(-LN(2)/2)*AW17+(1-EXP(-LN(2)/2))/(LN(2)/2)*AQ18*AT18*VLOOKUP('Données projet'!$B$10,Paramètres!$A$1:$I$89,3,0)*0.475*44/12</f>
        <v>17.433207131474497</v>
      </c>
      <c r="AX18" s="23">
        <f t="shared" si="6"/>
        <v>23.265427775940683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107</v>
      </c>
      <c r="BB18" s="13">
        <f>VLOOKUP(A18,'Données projet'!$A$87:$I$107,9,0)</f>
        <v>7.1333333333333337</v>
      </c>
      <c r="BC18" s="13">
        <f t="array" ref="BC18">INDEX(BB:BB,MIN(IF(ISNUMBER(BB18:BB214),ROW(BB18:BB214),"")))</f>
        <v>7.1333333333333337</v>
      </c>
      <c r="BD18" s="13">
        <f>IF('Données projet'!$A$88&gt;35,BD17+BC18-BL17,IF(A18&lt;'Données projet'!$A$88,$BA$205^A18,IF(A18='Données projet'!$A$88,'Données projet'!$B$88,BD17+BC18-BL17)))</f>
        <v>107</v>
      </c>
      <c r="BE18" s="14">
        <f>BD18*VLOOKUP('Données projet'!$B$11,Paramètres!$A$1:$I$89,3,0)*VLOOKUP('Données projet'!$B$11,Paramètres!$A$1:$I$89,5,0)</f>
        <v>93.475200000000015</v>
      </c>
      <c r="BF18" s="14">
        <f t="shared" si="37"/>
        <v>25.401502539965662</v>
      </c>
      <c r="BG18" s="22">
        <f t="shared" si="7"/>
        <v>207.04359025710687</v>
      </c>
      <c r="BH18" s="62">
        <f t="shared" si="8"/>
        <v>482.04359025710687</v>
      </c>
      <c r="BI18" s="62">
        <f ca="1">AVERAGE(OFFSET($BH$3,0,0,'Données projet'!$E$11+1,1))-AVERAGE(OFFSET($H$3,0,0,'Données projet'!$E$11+1,1))</f>
        <v>303.33040062722074</v>
      </c>
      <c r="BJ18" s="62">
        <f t="shared" si="38"/>
        <v>425.30058672361548</v>
      </c>
      <c r="BK18" s="16">
        <f>IF(ISNA(VLOOKUP(A18,'Données projet'!$A$87:$I$107,3,0)),0,VLOOKUP(A18,'Données projet'!$A$87:$I$107,3,0))</f>
        <v>1</v>
      </c>
      <c r="BL18" s="16">
        <f>IF(ISNA(VLOOKUP(A18,'Données projet'!$A$87:$I$107,4,0)),0,VLOOKUP(A18,'Données projet'!$A$87:$I$107,4,0))</f>
        <v>34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13.6</v>
      </c>
      <c r="N19" s="14">
        <f>IF('Données projet'!$A$36&gt;35,N18+M19-V18,IF(A19&lt;'Données projet'!$A$36,$K$205^A19,IF(A19='Données projet'!$A$36,'Données projet'!$B$36,N18+M19-V18)))</f>
        <v>46.599999999999994</v>
      </c>
      <c r="O19" s="14">
        <f>N19*VLOOKUP('Données projet'!$B$9,Paramètres!$A$1:$I$89,3,0)*VLOOKUP('Données projet'!$B$9,Paramètres!$A$1:$I$89,5,0)</f>
        <v>37.074959999999997</v>
      </c>
      <c r="P19" s="14">
        <f t="shared" si="33"/>
        <v>11.219971753147911</v>
      </c>
      <c r="Q19" s="22">
        <f t="shared" si="2"/>
        <v>84.113672803399268</v>
      </c>
      <c r="R19" s="62">
        <f t="shared" si="0"/>
        <v>360.33589502562148</v>
      </c>
      <c r="S19" s="62">
        <f ca="1">AVERAGE(OFFSET($R$3,0,0,'Données projet'!$E$9+1,1))-AVERAGE(OFFSET($H$3,0,0,'Données projet'!$E$9+1,1))</f>
        <v>354.56491118410622</v>
      </c>
      <c r="T19" s="62">
        <f t="shared" si="34"/>
        <v>343.77208530767069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5.7806032952064292</v>
      </c>
      <c r="AB19" s="23">
        <f>EXP(-LN(2)/2)*AB18+(1-EXP(-LN(2)/2))/(LN(2)/2)*V19*Y19*VLOOKUP('Données projet'!$B$9,Paramètres!$A$1:$I$89,3,0)*0.475*44/12</f>
        <v>10.191434050743833</v>
      </c>
      <c r="AC19" s="24">
        <f t="shared" si="3"/>
        <v>15.972037345950262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16.2</v>
      </c>
      <c r="AI19" s="14">
        <f>IF('Données projet'!$A$62&gt;35,AI18+AH19-AQ18,IF(A19&lt;'Données projet'!$A$62,$AF$205^A19,IF(A19='Données projet'!$A$62,'Données projet'!$B$62,AI18+AH19-AQ18)))</f>
        <v>58.2</v>
      </c>
      <c r="AJ19" s="14">
        <f>AI19*VLOOKUP('Données projet'!$B$10,Paramètres!$A$1:$I$89,3,0)*VLOOKUP('Données projet'!$B$10,Paramètres!$A$1:$I$89,5,0)</f>
        <v>42.672240000000002</v>
      </c>
      <c r="AK19" s="14">
        <f t="shared" si="35"/>
        <v>12.704236692203963</v>
      </c>
      <c r="AL19" s="22">
        <f t="shared" si="4"/>
        <v>96.447363572255242</v>
      </c>
      <c r="AM19" s="62">
        <f t="shared" si="5"/>
        <v>372.66958579447748</v>
      </c>
      <c r="AN19" s="62">
        <f ca="1">AVERAGE(OFFSET($AM$3,0,0,'Données projet'!$E$10+1,1))-AVERAGE(OFFSET($H$3,0,0,'Données projet'!$E$10+1,1))</f>
        <v>380.01621935031324</v>
      </c>
      <c r="AO19" s="62">
        <f t="shared" si="36"/>
        <v>365.76175372075869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5.6727382642401043</v>
      </c>
      <c r="AW19" s="23">
        <f>EXP(-LN(2)/2)*AW18+(1-EXP(-LN(2)/2))/(LN(2)/2)*AQ19*AT19*VLOOKUP('Données projet'!$B$10,Paramètres!$A$1:$I$89,3,0)*0.475*44/12</f>
        <v>12.327138980495297</v>
      </c>
      <c r="AX19" s="23">
        <f t="shared" si="6"/>
        <v>17.999877244735401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16.2</v>
      </c>
      <c r="BD19" s="13">
        <f>IF('Données projet'!$A$88&gt;35,BD18+BC19-BL18,IF(A19&lt;'Données projet'!$A$88,$BA$205^A19,IF(A19='Données projet'!$A$88,'Données projet'!$B$88,BD18+BC19-BL18)))</f>
        <v>89.2</v>
      </c>
      <c r="BE19" s="14">
        <f>BD19*VLOOKUP('Données projet'!$B$11,Paramètres!$A$1:$I$89,3,0)*VLOOKUP('Données projet'!$B$11,Paramètres!$A$1:$I$89,5,0)</f>
        <v>77.925120000000007</v>
      </c>
      <c r="BF19" s="14">
        <f t="shared" si="37"/>
        <v>21.629091902424182</v>
      </c>
      <c r="BG19" s="22">
        <f t="shared" si="7"/>
        <v>173.3902523967221</v>
      </c>
      <c r="BH19" s="62">
        <f t="shared" si="8"/>
        <v>449.61247461894436</v>
      </c>
      <c r="BI19" s="62">
        <f ca="1">AVERAGE(OFFSET($BH$3,0,0,'Données projet'!$E$11+1,1))-AVERAGE(OFFSET($H$3,0,0,'Données projet'!$E$11+1,1))</f>
        <v>303.33040062722074</v>
      </c>
      <c r="BJ19" s="62">
        <f t="shared" si="38"/>
        <v>425.30058672361548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13.6</v>
      </c>
      <c r="N20" s="14">
        <f>IF('Données projet'!$A$36&gt;35,N19+M20-V19,IF(A20&lt;'Données projet'!$A$36,$K$205^A20,IF(A20='Données projet'!$A$36,'Données projet'!$B$36,N19+M20-V19)))</f>
        <v>60.199999999999996</v>
      </c>
      <c r="O20" s="14">
        <f>N20*VLOOKUP('Données projet'!$B$9,Paramètres!$A$1:$I$89,3,0)*VLOOKUP('Données projet'!$B$9,Paramètres!$A$1:$I$89,5,0)</f>
        <v>47.895119999999999</v>
      </c>
      <c r="P20" s="14">
        <f t="shared" si="33"/>
        <v>14.068812032564205</v>
      </c>
      <c r="Q20" s="22">
        <f t="shared" si="2"/>
        <v>107.92051495671598</v>
      </c>
      <c r="R20" s="62">
        <f t="shared" si="0"/>
        <v>385.36495940116043</v>
      </c>
      <c r="S20" s="62">
        <f ca="1">AVERAGE(OFFSET($R$3,0,0,'Données projet'!$E$9+1,1))-AVERAGE(OFFSET($H$3,0,0,'Données projet'!$E$9+1,1))</f>
        <v>354.56491118410622</v>
      </c>
      <c r="T20" s="62">
        <f t="shared" si="34"/>
        <v>343.77208530767069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5.6225323941102943</v>
      </c>
      <c r="AB20" s="23">
        <f>EXP(-LN(2)/2)*AB19+(1-EXP(-LN(2)/2))/(LN(2)/2)*V20*Y20*VLOOKUP('Données projet'!$B$9,Paramètres!$A$1:$I$89,3,0)*0.475*44/12</f>
        <v>7.2064321272964502</v>
      </c>
      <c r="AC20" s="24">
        <f t="shared" si="3"/>
        <v>12.828964521406744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16.2</v>
      </c>
      <c r="AI20" s="14">
        <f>IF('Données projet'!$A$62&gt;35,AI19+AH20-AQ19,IF(A20&lt;'Données projet'!$A$62,$AF$205^A20,IF(A20='Données projet'!$A$62,'Données projet'!$B$62,AI19+AH20-AQ19)))</f>
        <v>74.400000000000006</v>
      </c>
      <c r="AJ20" s="14">
        <f>AI20*VLOOKUP('Données projet'!$B$10,Paramètres!$A$1:$I$89,3,0)*VLOOKUP('Données projet'!$B$10,Paramètres!$A$1:$I$89,5,0)</f>
        <v>54.550080000000008</v>
      </c>
      <c r="AK20" s="14">
        <f t="shared" si="35"/>
        <v>15.782815260920124</v>
      </c>
      <c r="AL20" s="22">
        <f t="shared" si="4"/>
        <v>122.49645924610256</v>
      </c>
      <c r="AM20" s="62">
        <f t="shared" si="5"/>
        <v>399.94090369054703</v>
      </c>
      <c r="AN20" s="62">
        <f ca="1">AVERAGE(OFFSET($AM$3,0,0,'Données projet'!$E$10+1,1))-AVERAGE(OFFSET($H$3,0,0,'Données projet'!$E$10+1,1))</f>
        <v>380.01621935031324</v>
      </c>
      <c r="AO20" s="62">
        <f t="shared" si="36"/>
        <v>365.76175372075869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5.5176169380881186</v>
      </c>
      <c r="AW20" s="23">
        <f>EXP(-LN(2)/2)*AW19+(1-EXP(-LN(2)/2))/(LN(2)/2)*AQ20*AT20*VLOOKUP('Données projet'!$B$10,Paramètres!$A$1:$I$89,3,0)*0.475*44/12</f>
        <v>8.71660356573725</v>
      </c>
      <c r="AX20" s="23">
        <f t="shared" si="6"/>
        <v>14.23422050382537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16.2</v>
      </c>
      <c r="BD20" s="13">
        <f>IF('Données projet'!$A$88&gt;35,BD19+BC20-BL19,IF(A20&lt;'Données projet'!$A$88,$BA$205^A20,IF(A20='Données projet'!$A$88,'Données projet'!$B$88,BD19+BC20-BL19)))</f>
        <v>105.4</v>
      </c>
      <c r="BE20" s="14">
        <f>BD20*VLOOKUP('Données projet'!$B$11,Paramètres!$A$1:$I$89,3,0)*VLOOKUP('Données projet'!$B$11,Paramètres!$A$1:$I$89,5,0)</f>
        <v>92.07744000000001</v>
      </c>
      <c r="BF20" s="14">
        <f t="shared" si="37"/>
        <v>25.065586122051112</v>
      </c>
      <c r="BG20" s="22">
        <f t="shared" si="7"/>
        <v>204.02410382923904</v>
      </c>
      <c r="BH20" s="62">
        <f t="shared" si="8"/>
        <v>481.4685482736835</v>
      </c>
      <c r="BI20" s="62">
        <f ca="1">AVERAGE(OFFSET($BH$3,0,0,'Données projet'!$E$11+1,1))-AVERAGE(OFFSET($H$3,0,0,'Données projet'!$E$11+1,1))</f>
        <v>303.33040062722074</v>
      </c>
      <c r="BJ20" s="62">
        <f t="shared" si="38"/>
        <v>425.30058672361548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13.6</v>
      </c>
      <c r="N21" s="14">
        <f>IF('Données projet'!$A$36&gt;35,N20+M21-V20,IF(A21&lt;'Données projet'!$A$36,$K$205^A21,IF(A21='Données projet'!$A$36,'Données projet'!$B$36,N20+M21-V20)))</f>
        <v>73.8</v>
      </c>
      <c r="O21" s="14">
        <f>N21*VLOOKUP('Données projet'!$B$9,Paramètres!$A$1:$I$89,3,0)*VLOOKUP('Données projet'!$B$9,Paramètres!$A$1:$I$89,5,0)</f>
        <v>58.71528</v>
      </c>
      <c r="P21" s="14">
        <f t="shared" si="33"/>
        <v>16.843043445461888</v>
      </c>
      <c r="Q21" s="22">
        <f t="shared" si="2"/>
        <v>131.59741333417946</v>
      </c>
      <c r="R21" s="62">
        <f t="shared" si="0"/>
        <v>410.26408000084615</v>
      </c>
      <c r="S21" s="62">
        <f ca="1">AVERAGE(OFFSET($R$3,0,0,'Données projet'!$E$9+1,1))-AVERAGE(OFFSET($H$3,0,0,'Données projet'!$E$9+1,1))</f>
        <v>354.56491118410622</v>
      </c>
      <c r="T21" s="62">
        <f t="shared" si="34"/>
        <v>343.77208530767069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5.4687839501172197</v>
      </c>
      <c r="AB21" s="23">
        <f>EXP(-LN(2)/2)*AB20+(1-EXP(-LN(2)/2))/(LN(2)/2)*V21*Y21*VLOOKUP('Données projet'!$B$9,Paramètres!$A$1:$I$89,3,0)*0.475*44/12</f>
        <v>5.0957170253719175</v>
      </c>
      <c r="AC21" s="24">
        <f t="shared" si="3"/>
        <v>10.564500975489137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16.2</v>
      </c>
      <c r="AI21" s="14">
        <f>IF('Données projet'!$A$62&gt;35,AI20+AH21-AQ20,IF(A21&lt;'Données projet'!$A$62,$AF$205^A21,IF(A21='Données projet'!$A$62,'Données projet'!$B$62,AI20+AH21-AQ20)))</f>
        <v>90.600000000000009</v>
      </c>
      <c r="AJ21" s="14">
        <f>AI21*VLOOKUP('Données projet'!$B$10,Paramètres!$A$1:$I$89,3,0)*VLOOKUP('Données projet'!$B$10,Paramètres!$A$1:$I$89,5,0)</f>
        <v>66.42792</v>
      </c>
      <c r="AK21" s="14">
        <f t="shared" si="35"/>
        <v>18.783698241275044</v>
      </c>
      <c r="AL21" s="22">
        <f t="shared" si="4"/>
        <v>148.41023510355402</v>
      </c>
      <c r="AM21" s="62">
        <f t="shared" si="5"/>
        <v>427.07690177022073</v>
      </c>
      <c r="AN21" s="62">
        <f ca="1">AVERAGE(OFFSET($AM$3,0,0,'Données projet'!$E$10+1,1))-AVERAGE(OFFSET($H$3,0,0,'Données projet'!$E$10+1,1))</f>
        <v>380.01621935031324</v>
      </c>
      <c r="AO21" s="62">
        <f t="shared" si="36"/>
        <v>365.76175372075869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5.3667374127572351</v>
      </c>
      <c r="AW21" s="23">
        <f>EXP(-LN(2)/2)*AW20+(1-EXP(-LN(2)/2))/(LN(2)/2)*AQ21*AT21*VLOOKUP('Données projet'!$B$10,Paramètres!$A$1:$I$89,3,0)*0.475*44/12</f>
        <v>6.1635694902476503</v>
      </c>
      <c r="AX21" s="23">
        <f t="shared" si="6"/>
        <v>11.530306903004885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16.2</v>
      </c>
      <c r="BD21" s="13">
        <f>IF('Données projet'!$A$88&gt;35,BD20+BC21-BL20,IF(A21&lt;'Données projet'!$A$88,$BA$205^A21,IF(A21='Données projet'!$A$88,'Données projet'!$B$88,BD20+BC21-BL20)))</f>
        <v>121.60000000000001</v>
      </c>
      <c r="BE21" s="14">
        <f>BD21*VLOOKUP('Données projet'!$B$11,Paramètres!$A$1:$I$89,3,0)*VLOOKUP('Données projet'!$B$11,Paramètres!$A$1:$I$89,5,0)</f>
        <v>106.22976000000003</v>
      </c>
      <c r="BF21" s="14">
        <f t="shared" si="37"/>
        <v>28.440891625171492</v>
      </c>
      <c r="BG21" s="22">
        <f t="shared" si="7"/>
        <v>234.55138491384039</v>
      </c>
      <c r="BH21" s="62">
        <f t="shared" si="8"/>
        <v>513.21805158050711</v>
      </c>
      <c r="BI21" s="62">
        <f ca="1">AVERAGE(OFFSET($BH$3,0,0,'Données projet'!$E$11+1,1))-AVERAGE(OFFSET($H$3,0,0,'Données projet'!$E$11+1,1))</f>
        <v>303.33040062722074</v>
      </c>
      <c r="BJ21" s="62">
        <f t="shared" si="38"/>
        <v>425.30058672361548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13.6</v>
      </c>
      <c r="N22" s="14">
        <f>IF('Données projet'!$A$36&gt;35,N21+M22-V21,IF(A22&lt;'Données projet'!$A$36,$K$205^A22,IF(A22='Données projet'!$A$36,'Données projet'!$B$36,N21+M22-V21)))</f>
        <v>87.399999999999991</v>
      </c>
      <c r="O22" s="14">
        <f>N22*VLOOKUP('Données projet'!$B$9,Paramètres!$A$1:$I$89,3,0)*VLOOKUP('Données projet'!$B$9,Paramètres!$A$1:$I$89,5,0)</f>
        <v>69.535439999999994</v>
      </c>
      <c r="P22" s="14">
        <f t="shared" si="33"/>
        <v>19.558046279609563</v>
      </c>
      <c r="Q22" s="22">
        <f t="shared" si="2"/>
        <v>155.17115527031999</v>
      </c>
      <c r="R22" s="62">
        <f t="shared" si="0"/>
        <v>435.06004415920881</v>
      </c>
      <c r="S22" s="62">
        <f ca="1">AVERAGE(OFFSET($R$3,0,0,'Données projet'!$E$9+1,1))-AVERAGE(OFFSET($H$3,0,0,'Données projet'!$E$9+1,1))</f>
        <v>354.56491118410622</v>
      </c>
      <c r="T22" s="62">
        <f t="shared" si="34"/>
        <v>343.77208530767069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5.3192397654104155</v>
      </c>
      <c r="AB22" s="23">
        <f>EXP(-LN(2)/2)*AB21+(1-EXP(-LN(2)/2))/(LN(2)/2)*V22*Y22*VLOOKUP('Données projet'!$B$9,Paramètres!$A$1:$I$89,3,0)*0.475*44/12</f>
        <v>3.6032160636482256</v>
      </c>
      <c r="AC22" s="24">
        <f t="shared" si="3"/>
        <v>8.9224558290586415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16.2</v>
      </c>
      <c r="AI22" s="14">
        <f>IF('Données projet'!$A$62&gt;35,AI21+AH22-AQ21,IF(A22&lt;'Données projet'!$A$62,$AF$205^A22,IF(A22='Données projet'!$A$62,'Données projet'!$B$62,AI21+AH22-AQ21)))</f>
        <v>106.80000000000001</v>
      </c>
      <c r="AJ22" s="14">
        <f>AI22*VLOOKUP('Données projet'!$B$10,Paramètres!$A$1:$I$89,3,0)*VLOOKUP('Données projet'!$B$10,Paramètres!$A$1:$I$89,5,0)</f>
        <v>78.305760000000006</v>
      </c>
      <c r="AK22" s="14">
        <f t="shared" si="35"/>
        <v>21.722418982737217</v>
      </c>
      <c r="AL22" s="22">
        <f t="shared" si="4"/>
        <v>174.21574506160064</v>
      </c>
      <c r="AM22" s="62">
        <f t="shared" si="5"/>
        <v>454.10463395048953</v>
      </c>
      <c r="AN22" s="62">
        <f ca="1">AVERAGE(OFFSET($AM$3,0,0,'Données projet'!$E$10+1,1))-AVERAGE(OFFSET($H$3,0,0,'Données projet'!$E$10+1,1))</f>
        <v>380.01621935031324</v>
      </c>
      <c r="AO22" s="62">
        <f t="shared" si="36"/>
        <v>365.76175372075869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5.2199836959809343</v>
      </c>
      <c r="AW22" s="23">
        <f>EXP(-LN(2)/2)*AW21+(1-EXP(-LN(2)/2))/(LN(2)/2)*AQ22*AT22*VLOOKUP('Données projet'!$B$10,Paramètres!$A$1:$I$89,3,0)*0.475*44/12</f>
        <v>4.3583017828686259</v>
      </c>
      <c r="AX22" s="23">
        <f t="shared" si="6"/>
        <v>9.5782854788495602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16.2</v>
      </c>
      <c r="BD22" s="13">
        <f>IF('Données projet'!$A$88&gt;35,BD21+BC22-BL21,IF(A22&lt;'Données projet'!$A$88,$BA$205^A22,IF(A22='Données projet'!$A$88,'Données projet'!$B$88,BD21+BC22-BL21)))</f>
        <v>137.80000000000001</v>
      </c>
      <c r="BE22" s="14">
        <f>BD22*VLOOKUP('Données projet'!$B$11,Paramètres!$A$1:$I$89,3,0)*VLOOKUP('Données projet'!$B$11,Paramètres!$A$1:$I$89,5,0)</f>
        <v>120.38208000000003</v>
      </c>
      <c r="BF22" s="14">
        <f t="shared" si="37"/>
        <v>31.76409668560358</v>
      </c>
      <c r="BG22" s="22">
        <f t="shared" si="7"/>
        <v>264.98792439409294</v>
      </c>
      <c r="BH22" s="62">
        <f t="shared" si="8"/>
        <v>544.87681328298186</v>
      </c>
      <c r="BI22" s="62">
        <f ca="1">AVERAGE(OFFSET($BH$3,0,0,'Données projet'!$E$11+1,1))-AVERAGE(OFFSET($H$3,0,0,'Données projet'!$E$11+1,1))</f>
        <v>303.33040062722074</v>
      </c>
      <c r="BJ22" s="62">
        <f t="shared" si="38"/>
        <v>425.30058672361548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101</v>
      </c>
      <c r="L23" s="13">
        <f>VLOOKUP(A23,'Données projet'!$A$35:$I$55,9,0)</f>
        <v>13.6</v>
      </c>
      <c r="M23" s="13">
        <f t="array" ref="M23">INDEX(L:L,MIN(IF(ISNUMBER(L23:L219),ROW(L23:L219),"")))</f>
        <v>13.6</v>
      </c>
      <c r="N23" s="14">
        <f>IF('Données projet'!$A$36&gt;35,N22+M23-V22,IF(A23&lt;'Données projet'!$A$36,$K$205^A23,IF(A23='Données projet'!$A$36,'Données projet'!$B$36,N22+M23-V22)))</f>
        <v>100.99999999999999</v>
      </c>
      <c r="O23" s="14">
        <f>N23*VLOOKUP('Données projet'!$B$9,Paramètres!$A$1:$I$89,3,0)*VLOOKUP('Données projet'!$B$9,Paramètres!$A$1:$I$89,5,0)</f>
        <v>80.355599999999995</v>
      </c>
      <c r="P23" s="14">
        <f t="shared" si="33"/>
        <v>22.224107721582499</v>
      </c>
      <c r="Q23" s="22">
        <f t="shared" si="2"/>
        <v>178.65965761508951</v>
      </c>
      <c r="R23" s="62">
        <f t="shared" si="0"/>
        <v>459.77076872620069</v>
      </c>
      <c r="S23" s="62">
        <f ca="1">AVERAGE(OFFSET($R$3,0,0,'Données projet'!$E$9+1,1))-AVERAGE(OFFSET($H$3,0,0,'Données projet'!$E$9+1,1))</f>
        <v>354.56491118410622</v>
      </c>
      <c r="T23" s="62">
        <f t="shared" si="34"/>
        <v>343.77208530767069</v>
      </c>
      <c r="U23" s="16">
        <f>IF(ISNA(VLOOKUP(A23,'Données projet'!$A$35:$I$55,3,0)),0,VLOOKUP(A23,'Données projet'!$A$35:$I$55,3,0))</f>
        <v>3</v>
      </c>
      <c r="V23" s="16">
        <f>IF(ISNA(VLOOKUP(A23,'Données projet'!$A$35:$I$55,4,0)),0,VLOOKUP(A23,'Données projet'!$A$35:$I$55,4,0))</f>
        <v>35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0.21200000000000002</v>
      </c>
      <c r="Y23" s="17">
        <f>IF(ISNA(VLOOKUP(A23,'Données projet'!$A$35:$I$55,7,0)),0%,VLOOKUP(A23,'Données projet'!$A$35:$I$55,7,0))</f>
        <v>0.6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11.674070377346643</v>
      </c>
      <c r="AB23" s="23">
        <f>EXP(-LN(2)/2)*AB22+(1-EXP(-LN(2)/2))/(LN(2)/2)*V23*Y23*VLOOKUP('Données projet'!$B$9,Paramètres!$A$1:$I$89,3,0)*0.475*44/12</f>
        <v>18.311928791146943</v>
      </c>
      <c r="AC23" s="24">
        <f t="shared" si="3"/>
        <v>29.985999168493585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123</v>
      </c>
      <c r="AG23" s="13">
        <f>VLOOKUP(A23,'Données projet'!$A$61:$I$81,9,0)</f>
        <v>16.2</v>
      </c>
      <c r="AH23" s="13">
        <f t="array" ref="AH23">INDEX(AG:AG,MIN(IF(ISNUMBER(AG23:AG219),ROW(AG23:AG219),"")))</f>
        <v>16.2</v>
      </c>
      <c r="AI23" s="14">
        <f>IF('Données projet'!$A$62&gt;35,AI22+AH23-AQ22,IF(A23&lt;'Données projet'!$A$62,$AF$205^A23,IF(A23='Données projet'!$A$62,'Données projet'!$B$62,AI22+AH23-AQ22)))</f>
        <v>123.00000000000001</v>
      </c>
      <c r="AJ23" s="14">
        <f>AI23*VLOOKUP('Données projet'!$B$10,Paramètres!$A$1:$I$89,3,0)*VLOOKUP('Données projet'!$B$10,Paramètres!$A$1:$I$89,5,0)</f>
        <v>90.183600000000013</v>
      </c>
      <c r="AK23" s="14">
        <f t="shared" si="35"/>
        <v>24.609499639553789</v>
      </c>
      <c r="AL23" s="22">
        <f t="shared" si="4"/>
        <v>199.93131520555619</v>
      </c>
      <c r="AM23" s="62">
        <f t="shared" si="5"/>
        <v>481.04242631666733</v>
      </c>
      <c r="AN23" s="62">
        <f ca="1">AVERAGE(OFFSET($AM$3,0,0,'Données projet'!$E$10+1,1))-AVERAGE(OFFSET($H$3,0,0,'Données projet'!$E$10+1,1))</f>
        <v>380.01621935031324</v>
      </c>
      <c r="AO23" s="62">
        <f t="shared" si="36"/>
        <v>365.76175372075869</v>
      </c>
      <c r="AP23" s="16">
        <f>IF(ISNA(VLOOKUP(A23,'Données projet'!$A$61:$I$81,3,0)),0,VLOOKUP(A23,'Données projet'!$A$61:$I$81,3,0))</f>
        <v>3</v>
      </c>
      <c r="AQ23" s="16">
        <f>IF(ISNA(VLOOKUP(A23,'Données projet'!$A$61:$I$81,4,0)),0,VLOOKUP(A23,'Données projet'!$A$61:$I$81,4,0))</f>
        <v>42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0.17200000000000001</v>
      </c>
      <c r="AT23" s="17">
        <f>IF(ISNA(VLOOKUP(A23,'Données projet'!$A$61:$I$81,7,0)),0%,VLOOKUP(A23,'Données projet'!$A$61:$I$81,7,0))</f>
        <v>0.6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10.909463611773509</v>
      </c>
      <c r="AW23" s="23">
        <f>EXP(-LN(2)/2)*AW22+(1-EXP(-LN(2)/2))/(LN(2)/2)*AQ23*AT23*VLOOKUP('Données projet'!$B$10,Paramètres!$A$1:$I$89,3,0)*0.475*44/12</f>
        <v>20.514991876598323</v>
      </c>
      <c r="AX23" s="23">
        <f t="shared" si="6"/>
        <v>31.424455488371834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154</v>
      </c>
      <c r="BB23" s="13">
        <f>VLOOKUP(A23,'Données projet'!$A$87:$I$107,9,0)</f>
        <v>16.2</v>
      </c>
      <c r="BC23" s="13">
        <f t="array" ref="BC23">INDEX(BB:BB,MIN(IF(ISNUMBER(BB23:BB219),ROW(BB23:BB219),"")))</f>
        <v>16.2</v>
      </c>
      <c r="BD23" s="13">
        <f>IF('Données projet'!$A$88&gt;35,BD22+BC23-BL22,IF(A23&lt;'Données projet'!$A$88,$BA$205^A23,IF(A23='Données projet'!$A$88,'Données projet'!$B$88,BD22+BC23-BL22)))</f>
        <v>154</v>
      </c>
      <c r="BE23" s="14">
        <f>BD23*VLOOKUP('Données projet'!$B$11,Paramètres!$A$1:$I$89,3,0)*VLOOKUP('Données projet'!$B$11,Paramètres!$A$1:$I$89,5,0)</f>
        <v>134.53440000000001</v>
      </c>
      <c r="BF23" s="14">
        <f t="shared" si="37"/>
        <v>35.042026165482234</v>
      </c>
      <c r="BG23" s="22">
        <f t="shared" si="7"/>
        <v>295.34560890488154</v>
      </c>
      <c r="BH23" s="62">
        <f t="shared" si="8"/>
        <v>576.45672001599269</v>
      </c>
      <c r="BI23" s="62">
        <f ca="1">AVERAGE(OFFSET($BH$3,0,0,'Données projet'!$E$11+1,1))-AVERAGE(OFFSET($H$3,0,0,'Données projet'!$E$11+1,1))</f>
        <v>303.33040062722074</v>
      </c>
      <c r="BJ23" s="62">
        <f t="shared" si="38"/>
        <v>425.30058672361548</v>
      </c>
      <c r="BK23" s="16">
        <f>IF(ISNA(VLOOKUP(A23,'Données projet'!$A$87:$I$107,3,0)),0,VLOOKUP(A23,'Données projet'!$A$87:$I$107,3,0))</f>
        <v>2</v>
      </c>
      <c r="BL23" s="16">
        <f>IF(ISNA(VLOOKUP(A23,'Données projet'!$A$87:$I$107,4,0)),0,VLOOKUP(A23,'Données projet'!$A$87:$I$107,4,0))</f>
        <v>50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8.6000000000000007E-2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4.1363266982029705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4.1363266982029705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14.8</v>
      </c>
      <c r="N24" s="14">
        <f>IF('Données projet'!$A$36&gt;35,N23+M24-V23,IF(A24&lt;'Données projet'!$A$36,$K$205^A24,IF(A24='Données projet'!$A$36,'Données projet'!$B$36,N23+M24-V23)))</f>
        <v>80.799999999999983</v>
      </c>
      <c r="O24" s="14">
        <f>N24*VLOOKUP('Données projet'!$B$9,Paramètres!$A$1:$I$89,3,0)*VLOOKUP('Données projet'!$B$9,Paramètres!$A$1:$I$89,5,0)</f>
        <v>64.284479999999988</v>
      </c>
      <c r="P24" s="14">
        <f t="shared" si="33"/>
        <v>18.247133352994688</v>
      </c>
      <c r="Q24" s="22">
        <f t="shared" si="2"/>
        <v>143.74255992313238</v>
      </c>
      <c r="R24" s="62">
        <f t="shared" si="0"/>
        <v>426.07589325646569</v>
      </c>
      <c r="S24" s="62">
        <f ca="1">AVERAGE(OFFSET($R$3,0,0,'Données projet'!$E$9+1,1))-AVERAGE(OFFSET($H$3,0,0,'Données projet'!$E$9+1,1))</f>
        <v>354.56491118410622</v>
      </c>
      <c r="T24" s="62">
        <f t="shared" si="34"/>
        <v>343.77208530767069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11.35484230896542</v>
      </c>
      <c r="AB24" s="23">
        <f>EXP(-LN(2)/2)*AB23+(1-EXP(-LN(2)/2))/(LN(2)/2)*V24*Y24*VLOOKUP('Données projet'!$B$9,Paramètres!$A$1:$I$89,3,0)*0.475*44/12</f>
        <v>12.948489024825182</v>
      </c>
      <c r="AC24" s="24">
        <f t="shared" si="3"/>
        <v>24.303331333790602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16.8</v>
      </c>
      <c r="AI24" s="14">
        <f>IF('Données projet'!$A$62&gt;35,AI23+AH24-AQ23,IF(A24&lt;'Données projet'!$A$62,$AF$205^A24,IF(A24='Données projet'!$A$62,'Données projet'!$B$62,AI23+AH24-AQ23)))</f>
        <v>97.800000000000011</v>
      </c>
      <c r="AJ24" s="14">
        <f>AI24*VLOOKUP('Données projet'!$B$10,Paramètres!$A$1:$I$89,3,0)*VLOOKUP('Données projet'!$B$10,Paramètres!$A$1:$I$89,5,0)</f>
        <v>71.706960000000009</v>
      </c>
      <c r="AK24" s="14">
        <f t="shared" si="35"/>
        <v>20.096759687088312</v>
      </c>
      <c r="AL24" s="22">
        <f t="shared" si="4"/>
        <v>159.89147845501216</v>
      </c>
      <c r="AM24" s="62">
        <f t="shared" si="5"/>
        <v>442.22481178834551</v>
      </c>
      <c r="AN24" s="62">
        <f ca="1">AVERAGE(OFFSET($AM$3,0,0,'Données projet'!$E$10+1,1))-AVERAGE(OFFSET($H$3,0,0,'Données projet'!$E$10+1,1))</f>
        <v>380.01621935031324</v>
      </c>
      <c r="AO24" s="62">
        <f t="shared" si="36"/>
        <v>365.76175372075869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10.611143755605806</v>
      </c>
      <c r="AW24" s="23">
        <f>EXP(-LN(2)/2)*AW23+(1-EXP(-LN(2)/2))/(LN(2)/2)*AQ24*AT24*VLOOKUP('Données projet'!$B$10,Paramètres!$A$1:$I$89,3,0)*0.475*44/12</f>
        <v>14.506289871929612</v>
      </c>
      <c r="AX24" s="23">
        <f t="shared" si="6"/>
        <v>25.117433627535419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15.6</v>
      </c>
      <c r="BD24" s="13">
        <f>IF('Données projet'!$A$88&gt;35,BD23+BC24-BL23,IF(A24&lt;'Données projet'!$A$88,$BA$205^A24,IF(A24='Données projet'!$A$88,'Données projet'!$B$88,BD23+BC24-BL23)))</f>
        <v>119.6</v>
      </c>
      <c r="BE24" s="14">
        <f>BD24*VLOOKUP('Données projet'!$B$11,Paramètres!$A$1:$I$89,3,0)*VLOOKUP('Données projet'!$B$11,Paramètres!$A$1:$I$89,5,0)</f>
        <v>104.48256000000001</v>
      </c>
      <c r="BF24" s="14">
        <f t="shared" si="37"/>
        <v>28.02716504477474</v>
      </c>
      <c r="BG24" s="22">
        <f t="shared" si="7"/>
        <v>230.78777111964931</v>
      </c>
      <c r="BH24" s="62">
        <f t="shared" si="8"/>
        <v>513.12110445298265</v>
      </c>
      <c r="BI24" s="62">
        <f ca="1">AVERAGE(OFFSET($BH$3,0,0,'Données projet'!$E$11+1,1))-AVERAGE(OFFSET($H$3,0,0,'Données projet'!$E$11+1,1))</f>
        <v>303.33040062722074</v>
      </c>
      <c r="BJ24" s="62">
        <f t="shared" si="38"/>
        <v>425.30058672361548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4.0232186271206425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4.0232186271206425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14.8</v>
      </c>
      <c r="N25" s="14">
        <f>IF('Données projet'!$A$36&gt;35,N24+M25-V24,IF(A25&lt;'Données projet'!$A$36,$K$205^A25,IF(A25='Données projet'!$A$36,'Données projet'!$B$36,N24+M25-V24)))</f>
        <v>95.59999999999998</v>
      </c>
      <c r="O25" s="14">
        <f>N25*VLOOKUP('Données projet'!$B$9,Paramètres!$A$1:$I$89,3,0)*VLOOKUP('Données projet'!$B$9,Paramètres!$A$1:$I$89,5,0)</f>
        <v>76.059359999999998</v>
      </c>
      <c r="P25" s="14">
        <f t="shared" si="33"/>
        <v>21.170862971540299</v>
      </c>
      <c r="Q25" s="22">
        <f t="shared" si="2"/>
        <v>169.34263834209935</v>
      </c>
      <c r="R25" s="62">
        <f t="shared" si="0"/>
        <v>452.89819389765489</v>
      </c>
      <c r="S25" s="62">
        <f ca="1">AVERAGE(OFFSET($R$3,0,0,'Données projet'!$E$9+1,1))-AVERAGE(OFFSET($H$3,0,0,'Données projet'!$E$9+1,1))</f>
        <v>354.56491118410622</v>
      </c>
      <c r="T25" s="62">
        <f t="shared" si="34"/>
        <v>343.77208530767069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11.044343548901555</v>
      </c>
      <c r="AB25" s="23">
        <f>EXP(-LN(2)/2)*AB24+(1-EXP(-LN(2)/2))/(LN(2)/2)*V25*Y25*VLOOKUP('Données projet'!$B$9,Paramètres!$A$1:$I$89,3,0)*0.475*44/12</f>
        <v>9.1559643955734735</v>
      </c>
      <c r="AC25" s="24">
        <f t="shared" si="3"/>
        <v>20.200307944475028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16.8</v>
      </c>
      <c r="AI25" s="14">
        <f>IF('Données projet'!$A$62&gt;35,AI24+AH25-AQ24,IF(A25&lt;'Données projet'!$A$62,$AF$205^A25,IF(A25='Données projet'!$A$62,'Données projet'!$B$62,AI24+AH25-AQ24)))</f>
        <v>114.60000000000001</v>
      </c>
      <c r="AJ25" s="14">
        <f>AI25*VLOOKUP('Données projet'!$B$10,Paramètres!$A$1:$I$89,3,0)*VLOOKUP('Données projet'!$B$10,Paramètres!$A$1:$I$89,5,0)</f>
        <v>84.024720000000002</v>
      </c>
      <c r="AK25" s="14">
        <f t="shared" si="35"/>
        <v>23.11842031654454</v>
      </c>
      <c r="AL25" s="22">
        <f t="shared" si="4"/>
        <v>186.6076360513151</v>
      </c>
      <c r="AM25" s="62">
        <f t="shared" si="5"/>
        <v>470.16319160687067</v>
      </c>
      <c r="AN25" s="62">
        <f ca="1">AVERAGE(OFFSET($AM$3,0,0,'Données projet'!$E$10+1,1))-AVERAGE(OFFSET($H$3,0,0,'Données projet'!$E$10+1,1))</f>
        <v>380.01621935031324</v>
      </c>
      <c r="AO25" s="62">
        <f t="shared" si="36"/>
        <v>365.76175372075869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10.320981471592967</v>
      </c>
      <c r="AW25" s="23">
        <f>EXP(-LN(2)/2)*AW24+(1-EXP(-LN(2)/2))/(LN(2)/2)*AQ25*AT25*VLOOKUP('Données projet'!$B$10,Paramètres!$A$1:$I$89,3,0)*0.475*44/12</f>
        <v>10.257495938299163</v>
      </c>
      <c r="AX25" s="23">
        <f t="shared" si="6"/>
        <v>20.57847740989213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15.6</v>
      </c>
      <c r="BD25" s="13">
        <f>IF('Données projet'!$A$88&gt;35,BD24+BC25-BL24,IF(A25&lt;'Données projet'!$A$88,$BA$205^A25,IF(A25='Données projet'!$A$88,'Données projet'!$B$88,BD24+BC25-BL24)))</f>
        <v>135.19999999999999</v>
      </c>
      <c r="BE25" s="14">
        <f>BD25*VLOOKUP('Données projet'!$B$11,Paramètres!$A$1:$I$89,3,0)*VLOOKUP('Données projet'!$B$11,Paramètres!$A$1:$I$89,5,0)</f>
        <v>118.11072000000001</v>
      </c>
      <c r="BF25" s="14">
        <f t="shared" si="37"/>
        <v>31.233949612110369</v>
      </c>
      <c r="BG25" s="22">
        <f t="shared" si="7"/>
        <v>260.10863290775887</v>
      </c>
      <c r="BH25" s="62">
        <f t="shared" si="8"/>
        <v>543.66418846331442</v>
      </c>
      <c r="BI25" s="62">
        <f ca="1">AVERAGE(OFFSET($BH$3,0,0,'Données projet'!$E$11+1,1))-AVERAGE(OFFSET($H$3,0,0,'Données projet'!$E$11+1,1))</f>
        <v>303.33040062722074</v>
      </c>
      <c r="BJ25" s="62">
        <f t="shared" si="38"/>
        <v>425.30058672361548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3.9132035021901559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3.9132035021901559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14.8</v>
      </c>
      <c r="N26" s="14">
        <f>IF('Données projet'!$A$36&gt;35,N25+M26-V25,IF(A26&lt;'Données projet'!$A$36,$K$205^A26,IF(A26='Données projet'!$A$36,'Données projet'!$B$36,N25+M26-V25)))</f>
        <v>110.39999999999998</v>
      </c>
      <c r="O26" s="14">
        <f>N26*VLOOKUP('Données projet'!$B$9,Paramètres!$A$1:$I$89,3,0)*VLOOKUP('Données projet'!$B$9,Paramètres!$A$1:$I$89,5,0)</f>
        <v>87.83423999999998</v>
      </c>
      <c r="P26" s="14">
        <f t="shared" si="33"/>
        <v>24.042157662768496</v>
      </c>
      <c r="Q26" s="22">
        <f t="shared" si="2"/>
        <v>194.85139259598841</v>
      </c>
      <c r="R26" s="62">
        <f t="shared" si="0"/>
        <v>479.62917037376621</v>
      </c>
      <c r="S26" s="62">
        <f ca="1">AVERAGE(OFFSET($R$3,0,0,'Données projet'!$E$9+1,1))-AVERAGE(OFFSET($H$3,0,0,'Données projet'!$E$9+1,1))</f>
        <v>354.56491118410622</v>
      </c>
      <c r="T26" s="62">
        <f t="shared" si="34"/>
        <v>343.77208530767069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10.742335393760056</v>
      </c>
      <c r="AB26" s="23">
        <f>EXP(-LN(2)/2)*AB25+(1-EXP(-LN(2)/2))/(LN(2)/2)*V26*Y26*VLOOKUP('Données projet'!$B$9,Paramètres!$A$1:$I$89,3,0)*0.475*44/12</f>
        <v>6.474244512412592</v>
      </c>
      <c r="AC26" s="24">
        <f t="shared" si="3"/>
        <v>17.216579906172647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16.8</v>
      </c>
      <c r="AI26" s="14">
        <f>IF('Données projet'!$A$62&gt;35,AI25+AH26-AQ25,IF(A26&lt;'Données projet'!$A$62,$AF$205^A26,IF(A26='Données projet'!$A$62,'Données projet'!$B$62,AI25+AH26-AQ25)))</f>
        <v>131.4</v>
      </c>
      <c r="AJ26" s="14">
        <f>AI26*VLOOKUP('Données projet'!$B$10,Paramètres!$A$1:$I$89,3,0)*VLOOKUP('Données projet'!$B$10,Paramètres!$A$1:$I$89,5,0)</f>
        <v>96.342480000000009</v>
      </c>
      <c r="AK26" s="14">
        <f t="shared" si="35"/>
        <v>26.088763268244669</v>
      </c>
      <c r="AL26" s="22">
        <f t="shared" si="4"/>
        <v>213.23441535885948</v>
      </c>
      <c r="AM26" s="62">
        <f t="shared" si="5"/>
        <v>498.01219313663728</v>
      </c>
      <c r="AN26" s="62">
        <f ca="1">AVERAGE(OFFSET($AM$3,0,0,'Données projet'!$E$10+1,1))-AVERAGE(OFFSET($H$3,0,0,'Données projet'!$E$10+1,1))</f>
        <v>380.01621935031324</v>
      </c>
      <c r="AO26" s="62">
        <f t="shared" si="36"/>
        <v>365.76175372075869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10.038753690495431</v>
      </c>
      <c r="AW26" s="23">
        <f>EXP(-LN(2)/2)*AW25+(1-EXP(-LN(2)/2))/(LN(2)/2)*AQ26*AT26*VLOOKUP('Données projet'!$B$10,Paramètres!$A$1:$I$89,3,0)*0.475*44/12</f>
        <v>7.2531449359648068</v>
      </c>
      <c r="AX26" s="23">
        <f t="shared" si="6"/>
        <v>17.291898626460238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15.6</v>
      </c>
      <c r="BD26" s="13">
        <f>IF('Données projet'!$A$88&gt;35,BD25+BC26-BL25,IF(A26&lt;'Données projet'!$A$88,$BA$205^A26,IF(A26='Données projet'!$A$88,'Données projet'!$B$88,BD25+BC26-BL25)))</f>
        <v>150.79999999999998</v>
      </c>
      <c r="BE26" s="14">
        <f>BD26*VLOOKUP('Données projet'!$B$11,Paramètres!$A$1:$I$89,3,0)*VLOOKUP('Données projet'!$B$11,Paramètres!$A$1:$I$89,5,0)</f>
        <v>131.73887999999999</v>
      </c>
      <c r="BF26" s="14">
        <f t="shared" si="37"/>
        <v>34.397852193895829</v>
      </c>
      <c r="BG26" s="22">
        <f t="shared" si="7"/>
        <v>289.35480857103522</v>
      </c>
      <c r="BH26" s="62">
        <f t="shared" si="8"/>
        <v>574.13258634881299</v>
      </c>
      <c r="BI26" s="62">
        <f ca="1">AVERAGE(OFFSET($BH$3,0,0,'Données projet'!$E$11+1,1))-AVERAGE(OFFSET($H$3,0,0,'Données projet'!$E$11+1,1))</f>
        <v>303.33040062722074</v>
      </c>
      <c r="BJ26" s="62">
        <f t="shared" si="38"/>
        <v>425.30058672361548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3.8061967466363376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3.8061967466363376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14.8</v>
      </c>
      <c r="N27" s="14">
        <f>IF('Données projet'!$A$36&gt;35,N26+M27-V26,IF(A27&lt;'Données projet'!$A$36,$K$205^A27,IF(A27='Données projet'!$A$36,'Données projet'!$B$36,N26+M27-V26)))</f>
        <v>125.19999999999997</v>
      </c>
      <c r="O27" s="14">
        <f>N27*VLOOKUP('Données projet'!$B$9,Paramètres!$A$1:$I$89,3,0)*VLOOKUP('Données projet'!$B$9,Paramètres!$A$1:$I$89,5,0)</f>
        <v>99.60911999999999</v>
      </c>
      <c r="P27" s="14">
        <f t="shared" si="33"/>
        <v>26.868854563103099</v>
      </c>
      <c r="Q27" s="22">
        <f t="shared" si="2"/>
        <v>220.2824723640712</v>
      </c>
      <c r="R27" s="62">
        <f t="shared" si="0"/>
        <v>506.28247236407117</v>
      </c>
      <c r="S27" s="62">
        <f ca="1">AVERAGE(OFFSET($R$3,0,0,'Données projet'!$E$9+1,1))-AVERAGE(OFFSET($H$3,0,0,'Données projet'!$E$9+1,1))</f>
        <v>354.56491118410622</v>
      </c>
      <c r="T27" s="62">
        <f t="shared" si="34"/>
        <v>343.77208530767069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10.448585667502821</v>
      </c>
      <c r="AB27" s="23">
        <f>EXP(-LN(2)/2)*AB26+(1-EXP(-LN(2)/2))/(LN(2)/2)*V27*Y27*VLOOKUP('Données projet'!$B$9,Paramètres!$A$1:$I$89,3,0)*0.475*44/12</f>
        <v>4.5779821977867368</v>
      </c>
      <c r="AC27" s="24">
        <f t="shared" si="3"/>
        <v>15.026567865289557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16.8</v>
      </c>
      <c r="AI27" s="14">
        <f>IF('Données projet'!$A$62&gt;35,AI26+AH27-AQ26,IF(A27&lt;'Données projet'!$A$62,$AF$205^A27,IF(A27='Données projet'!$A$62,'Données projet'!$B$62,AI26+AH27-AQ26)))</f>
        <v>148.20000000000002</v>
      </c>
      <c r="AJ27" s="14">
        <f>AI27*VLOOKUP('Données projet'!$B$10,Paramètres!$A$1:$I$89,3,0)*VLOOKUP('Données projet'!$B$10,Paramètres!$A$1:$I$89,5,0)</f>
        <v>108.66024000000002</v>
      </c>
      <c r="AK27" s="14">
        <f t="shared" si="35"/>
        <v>29.015101890437414</v>
      </c>
      <c r="AL27" s="22">
        <f t="shared" si="4"/>
        <v>239.78455379251184</v>
      </c>
      <c r="AM27" s="62">
        <f t="shared" si="5"/>
        <v>525.78455379251182</v>
      </c>
      <c r="AN27" s="62">
        <f ca="1">AVERAGE(OFFSET($AM$3,0,0,'Données projet'!$E$10+1,1))-AVERAGE(OFFSET($H$3,0,0,'Données projet'!$E$10+1,1))</f>
        <v>380.01621935031324</v>
      </c>
      <c r="AO27" s="62">
        <f t="shared" si="36"/>
        <v>365.76175372075869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9.7642434429137204</v>
      </c>
      <c r="AW27" s="23">
        <f>EXP(-LN(2)/2)*AW26+(1-EXP(-LN(2)/2))/(LN(2)/2)*AQ27*AT27*VLOOKUP('Données projet'!$B$10,Paramètres!$A$1:$I$89,3,0)*0.475*44/12</f>
        <v>5.1287479691495825</v>
      </c>
      <c r="AX27" s="23">
        <f t="shared" si="6"/>
        <v>14.892991412063303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15.6</v>
      </c>
      <c r="BD27" s="13">
        <f>IF('Données projet'!$A$88&gt;35,BD26+BC27-BL26,IF(A27&lt;'Données projet'!$A$88,$BA$205^A27,IF(A27='Données projet'!$A$88,'Données projet'!$B$88,BD26+BC27-BL26)))</f>
        <v>166.39999999999998</v>
      </c>
      <c r="BE27" s="14">
        <f>BD27*VLOOKUP('Données projet'!$B$11,Paramètres!$A$1:$I$89,3,0)*VLOOKUP('Données projet'!$B$11,Paramètres!$A$1:$I$89,5,0)</f>
        <v>145.36704</v>
      </c>
      <c r="BF27" s="14">
        <f t="shared" si="37"/>
        <v>37.523814117080832</v>
      </c>
      <c r="BG27" s="22">
        <f t="shared" si="7"/>
        <v>318.53490425391578</v>
      </c>
      <c r="BH27" s="62">
        <f t="shared" si="8"/>
        <v>604.53490425391578</v>
      </c>
      <c r="BI27" s="62">
        <f ca="1">AVERAGE(OFFSET($BH$3,0,0,'Données projet'!$E$11+1,1))-AVERAGE(OFFSET($H$3,0,0,'Données projet'!$E$11+1,1))</f>
        <v>303.33040062722074</v>
      </c>
      <c r="BJ27" s="62">
        <f t="shared" si="38"/>
        <v>425.30058672361548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3.702116096440379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3.702116096440379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140</v>
      </c>
      <c r="L28" s="13">
        <f>VLOOKUP(A28,'Données projet'!$A$35:$I$55,9,0)</f>
        <v>14.8</v>
      </c>
      <c r="M28" s="13">
        <f t="array" ref="M28">INDEX(L:L,MIN(IF(ISNUMBER(L28:L224),ROW(L28:L224),"")))</f>
        <v>14.8</v>
      </c>
      <c r="N28" s="14">
        <f>IF('Données projet'!$A$36&gt;35,N27+M28-V27,IF(A28&lt;'Données projet'!$A$36,$K$205^A28,IF(A28='Données projet'!$A$36,'Données projet'!$B$36,N27+M28-V27)))</f>
        <v>139.99999999999997</v>
      </c>
      <c r="O28" s="14">
        <f>N28*VLOOKUP('Données projet'!$B$9,Paramètres!$A$1:$I$89,3,0)*VLOOKUP('Données projet'!$B$9,Paramètres!$A$1:$I$89,5,0)</f>
        <v>111.38399999999999</v>
      </c>
      <c r="P28" s="14">
        <f t="shared" si="33"/>
        <v>29.656828101147433</v>
      </c>
      <c r="Q28" s="22">
        <f t="shared" si="2"/>
        <v>245.64610894283177</v>
      </c>
      <c r="R28" s="62">
        <f t="shared" si="0"/>
        <v>532.86833116505397</v>
      </c>
      <c r="S28" s="62">
        <f ca="1">AVERAGE(OFFSET($R$3,0,0,'Données projet'!$E$9+1,1))-AVERAGE(OFFSET($H$3,0,0,'Données projet'!$E$9+1,1))</f>
        <v>354.56491118410622</v>
      </c>
      <c r="T28" s="62">
        <f t="shared" si="34"/>
        <v>343.77208530767069</v>
      </c>
      <c r="U28" s="16">
        <f>IF(ISNA(VLOOKUP(A28,'Données projet'!$A$35:$I$55,3,0)),0,VLOOKUP(A28,'Données projet'!$A$35:$I$55,3,0))</f>
        <v>4</v>
      </c>
      <c r="V28" s="16">
        <f>IF(ISNA(VLOOKUP(A28,'Données projet'!$A$35:$I$55,4,0)),0,VLOOKUP(A28,'Données projet'!$A$35:$I$55,4,0))</f>
        <v>35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0.26500000000000001</v>
      </c>
      <c r="Y28" s="17">
        <f>IF(ISNA(VLOOKUP(A28,'Données projet'!$A$35:$I$55,7,0)),0%,VLOOKUP(A28,'Données projet'!$A$35:$I$55,7,0))</f>
        <v>0.5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18.288225421767763</v>
      </c>
      <c r="AB28" s="23">
        <f>EXP(-LN(2)/2)*AB27+(1-EXP(-LN(2)/2))/(LN(2)/2)*V28*Y28*VLOOKUP('Données projet'!$B$9,Paramètres!$A$1:$I$89,3,0)*0.475*44/12</f>
        <v>16.373847488257116</v>
      </c>
      <c r="AC28" s="24">
        <f t="shared" si="3"/>
        <v>34.662072910024875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165</v>
      </c>
      <c r="AG28" s="13">
        <f>VLOOKUP(A28,'Données projet'!$A$61:$I$81,9,0)</f>
        <v>16.8</v>
      </c>
      <c r="AH28" s="13">
        <f t="array" ref="AH28">INDEX(AG:AG,MIN(IF(ISNUMBER(AG28:AG224),ROW(AG28:AG224),"")))</f>
        <v>16.8</v>
      </c>
      <c r="AI28" s="14">
        <f>IF('Données projet'!$A$62&gt;35,AI27+AH28-AQ27,IF(A28&lt;'Données projet'!$A$62,$AF$205^A28,IF(A28='Données projet'!$A$62,'Données projet'!$B$62,AI27+AH28-AQ27)))</f>
        <v>165.00000000000003</v>
      </c>
      <c r="AJ28" s="14">
        <f>AI28*VLOOKUP('Données projet'!$B$10,Paramètres!$A$1:$I$89,3,0)*VLOOKUP('Données projet'!$B$10,Paramètres!$A$1:$I$89,5,0)</f>
        <v>120.97800000000002</v>
      </c>
      <c r="AK28" s="14">
        <f t="shared" si="35"/>
        <v>31.902993864447531</v>
      </c>
      <c r="AL28" s="22">
        <f t="shared" si="4"/>
        <v>266.26773098057953</v>
      </c>
      <c r="AM28" s="62">
        <f t="shared" si="5"/>
        <v>553.48995320280176</v>
      </c>
      <c r="AN28" s="62">
        <f ca="1">AVERAGE(OFFSET($AM$3,0,0,'Données projet'!$E$10+1,1))-AVERAGE(OFFSET($H$3,0,0,'Données projet'!$E$10+1,1))</f>
        <v>380.01621935031324</v>
      </c>
      <c r="AO28" s="62">
        <f t="shared" si="36"/>
        <v>365.76175372075869</v>
      </c>
      <c r="AP28" s="16">
        <f>IF(ISNA(VLOOKUP(A28,'Données projet'!$A$61:$I$81,3,0)),0,VLOOKUP(A28,'Données projet'!$A$61:$I$81,3,0))</f>
        <v>4</v>
      </c>
      <c r="AQ28" s="16">
        <f>IF(ISNA(VLOOKUP(A28,'Données projet'!$A$61:$I$81,4,0)),0,VLOOKUP(A28,'Données projet'!$A$61:$I$81,4,0))</f>
        <v>42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0.215</v>
      </c>
      <c r="AT28" s="17">
        <f>IF(ISNA(VLOOKUP(A28,'Données projet'!$A$61:$I$81,7,0)),0%,VLOOKUP(A28,'Données projet'!$A$61:$I$81,7,0))</f>
        <v>0.5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16.787515498070729</v>
      </c>
      <c r="AW28" s="23">
        <f>EXP(-LN(2)/2)*AW27+(1-EXP(-LN(2)/2))/(LN(2)/2)*AQ28*AT28*VLOOKUP('Données projet'!$B$10,Paramètres!$A$1:$I$89,3,0)*0.475*44/12</f>
        <v>18.154245077544488</v>
      </c>
      <c r="AX28" s="23">
        <f t="shared" si="6"/>
        <v>34.94176057561522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182</v>
      </c>
      <c r="BB28" s="13">
        <f>VLOOKUP(A28,'Données projet'!$A$87:$I$107,9,0)</f>
        <v>15.6</v>
      </c>
      <c r="BC28" s="13">
        <f t="array" ref="BC28">INDEX(BB:BB,MIN(IF(ISNUMBER(BB28:BB224),ROW(BB28:BB224),"")))</f>
        <v>15.6</v>
      </c>
      <c r="BD28" s="13">
        <f>IF('Données projet'!$A$88&gt;35,BD27+BC28-BL27,IF(A28&lt;'Données projet'!$A$88,$BA$205^A28,IF(A28='Données projet'!$A$88,'Données projet'!$B$88,BD27+BC28-BL27)))</f>
        <v>181.99999999999997</v>
      </c>
      <c r="BE28" s="14">
        <f>BD28*VLOOKUP('Données projet'!$B$11,Paramètres!$A$1:$I$89,3,0)*VLOOKUP('Données projet'!$B$11,Paramètres!$A$1:$I$89,5,0)</f>
        <v>158.99519999999998</v>
      </c>
      <c r="BF28" s="14">
        <f t="shared" si="37"/>
        <v>40.615796933386044</v>
      </c>
      <c r="BG28" s="22">
        <f t="shared" si="7"/>
        <v>347.65581965898065</v>
      </c>
      <c r="BH28" s="62">
        <f t="shared" si="8"/>
        <v>634.87804188120288</v>
      </c>
      <c r="BI28" s="62">
        <f ca="1">AVERAGE(OFFSET($BH$3,0,0,'Données projet'!$E$11+1,1))-AVERAGE(OFFSET($H$3,0,0,'Données projet'!$E$11+1,1))</f>
        <v>303.33040062722074</v>
      </c>
      <c r="BJ28" s="62">
        <f t="shared" si="38"/>
        <v>425.30058672361548</v>
      </c>
      <c r="BK28" s="16">
        <f>IF(ISNA(VLOOKUP(A28,'Données projet'!$A$87:$I$107,3,0)),0,VLOOKUP(A28,'Données projet'!$A$87:$I$107,3,0))</f>
        <v>3</v>
      </c>
      <c r="BL28" s="16">
        <f>IF(ISNA(VLOOKUP(A28,'Données projet'!$A$87:$I$107,4,0)),0,VLOOKUP(A28,'Données projet'!$A$87:$I$107,4,0))</f>
        <v>52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0.17200000000000001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12.204441069359568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12.204441069359568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14.2</v>
      </c>
      <c r="N29" s="14">
        <f>IF('Données projet'!$A$36&gt;35,N28+M29-V28,IF(A29&lt;'Données projet'!$A$36,$K$205^A29,IF(A29='Données projet'!$A$36,'Données projet'!$B$36,N28+M29-V28)))</f>
        <v>119.19999999999996</v>
      </c>
      <c r="O29" s="14">
        <f>N29*VLOOKUP('Données projet'!$B$9,Paramètres!$A$1:$I$89,3,0)*VLOOKUP('Données projet'!$B$9,Paramètres!$A$1:$I$89,5,0)</f>
        <v>94.835519999999974</v>
      </c>
      <c r="P29" s="14">
        <f t="shared" si="33"/>
        <v>25.727860178949104</v>
      </c>
      <c r="Q29" s="22">
        <f t="shared" si="2"/>
        <v>209.98122047833627</v>
      </c>
      <c r="R29" s="62">
        <f t="shared" si="0"/>
        <v>498.4256649227807</v>
      </c>
      <c r="S29" s="62">
        <f ca="1">AVERAGE(OFFSET($R$3,0,0,'Données projet'!$E$9+1,1))-AVERAGE(OFFSET($H$3,0,0,'Données projet'!$E$9+1,1))</f>
        <v>354.56491118410622</v>
      </c>
      <c r="T29" s="62">
        <f t="shared" si="34"/>
        <v>343.77208530767069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17.788132935873545</v>
      </c>
      <c r="AB29" s="23">
        <f>EXP(-LN(2)/2)*AB28+(1-EXP(-LN(2)/2))/(LN(2)/2)*V29*Y29*VLOOKUP('Données projet'!$B$9,Paramètres!$A$1:$I$89,3,0)*0.475*44/12</f>
        <v>11.578058593060927</v>
      </c>
      <c r="AC29" s="24">
        <f t="shared" si="3"/>
        <v>29.366191528934472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16.399999999999999</v>
      </c>
      <c r="AI29" s="14">
        <f>IF('Données projet'!$A$62&gt;35,AI28+AH29-AQ28,IF(A29&lt;'Données projet'!$A$62,$AF$205^A29,IF(A29='Données projet'!$A$62,'Données projet'!$B$62,AI28+AH29-AQ28)))</f>
        <v>139.40000000000003</v>
      </c>
      <c r="AJ29" s="14">
        <f>AI29*VLOOKUP('Données projet'!$B$10,Paramètres!$A$1:$I$89,3,0)*VLOOKUP('Données projet'!$B$10,Paramètres!$A$1:$I$89,5,0)</f>
        <v>102.20808000000002</v>
      </c>
      <c r="AK29" s="14">
        <f t="shared" si="35"/>
        <v>27.487371629246301</v>
      </c>
      <c r="AL29" s="22">
        <f t="shared" si="4"/>
        <v>225.88624492093732</v>
      </c>
      <c r="AM29" s="62">
        <f t="shared" si="5"/>
        <v>514.33068936538177</v>
      </c>
      <c r="AN29" s="62">
        <f ca="1">AVERAGE(OFFSET($AM$3,0,0,'Données projet'!$E$10+1,1))-AVERAGE(OFFSET($H$3,0,0,'Données projet'!$E$10+1,1))</f>
        <v>380.01621935031324</v>
      </c>
      <c r="AO29" s="62">
        <f t="shared" si="36"/>
        <v>365.76175372075869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16.328460003958913</v>
      </c>
      <c r="AW29" s="23">
        <f>EXP(-LN(2)/2)*AW28+(1-EXP(-LN(2)/2))/(LN(2)/2)*AQ29*AT29*VLOOKUP('Données projet'!$B$10,Paramètres!$A$1:$I$89,3,0)*0.475*44/12</f>
        <v>12.836989801654209</v>
      </c>
      <c r="AX29" s="23">
        <f t="shared" si="6"/>
        <v>29.165449805613122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14.8</v>
      </c>
      <c r="BD29" s="13">
        <f>IF('Données projet'!$A$88&gt;35,BD28+BC29-BL28,IF(A29&lt;'Données projet'!$A$88,$BA$205^A29,IF(A29='Données projet'!$A$88,'Données projet'!$B$88,BD28+BC29-BL28)))</f>
        <v>144.79999999999998</v>
      </c>
      <c r="BE29" s="14">
        <f>BD29*VLOOKUP('Données projet'!$B$11,Paramètres!$A$1:$I$89,3,0)*VLOOKUP('Données projet'!$B$11,Paramètres!$A$1:$I$89,5,0)</f>
        <v>126.49727999999999</v>
      </c>
      <c r="BF29" s="14">
        <f t="shared" si="37"/>
        <v>33.185701456959592</v>
      </c>
      <c r="BG29" s="22">
        <f t="shared" si="7"/>
        <v>278.11452603753787</v>
      </c>
      <c r="BH29" s="62">
        <f t="shared" si="8"/>
        <v>566.55897048198233</v>
      </c>
      <c r="BI29" s="62">
        <f ca="1">AVERAGE(OFFSET($BH$3,0,0,'Données projet'!$E$11+1,1))-AVERAGE(OFFSET($H$3,0,0,'Données projet'!$E$11+1,1))</f>
        <v>303.33040062722074</v>
      </c>
      <c r="BJ29" s="62">
        <f t="shared" si="38"/>
        <v>425.30058672361548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11.870709986514269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11.870709986514269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14.2</v>
      </c>
      <c r="N30" s="14">
        <f>IF('Données projet'!$A$36&gt;35,N29+M30-V29,IF(A30&lt;'Données projet'!$A$36,$K$205^A30,IF(A30='Données projet'!$A$36,'Données projet'!$B$36,N29+M30-V29)))</f>
        <v>133.39999999999995</v>
      </c>
      <c r="O30" s="14">
        <f>N30*VLOOKUP('Données projet'!$B$9,Paramètres!$A$1:$I$89,3,0)*VLOOKUP('Données projet'!$B$9,Paramètres!$A$1:$I$89,5,0)</f>
        <v>106.13303999999997</v>
      </c>
      <c r="P30" s="14">
        <f t="shared" si="33"/>
        <v>28.418009728368016</v>
      </c>
      <c r="Q30" s="22">
        <f t="shared" si="2"/>
        <v>234.34307827690756</v>
      </c>
      <c r="R30" s="62">
        <f t="shared" si="0"/>
        <v>524.00974494357422</v>
      </c>
      <c r="S30" s="62">
        <f ca="1">AVERAGE(OFFSET($R$3,0,0,'Données projet'!$E$9+1,1))-AVERAGE(OFFSET($H$3,0,0,'Données projet'!$E$9+1,1))</f>
        <v>354.56491118410622</v>
      </c>
      <c r="T30" s="62">
        <f t="shared" si="34"/>
        <v>343.77208530767069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17.301715505304827</v>
      </c>
      <c r="AB30" s="23">
        <f>EXP(-LN(2)/2)*AB29+(1-EXP(-LN(2)/2))/(LN(2)/2)*V30*Y30*VLOOKUP('Données projet'!$B$9,Paramètres!$A$1:$I$89,3,0)*0.475*44/12</f>
        <v>8.1869237441285598</v>
      </c>
      <c r="AC30" s="24">
        <f t="shared" si="3"/>
        <v>25.488639249433387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16.399999999999999</v>
      </c>
      <c r="AI30" s="14">
        <f>IF('Données projet'!$A$62&gt;35,AI29+AH30-AQ29,IF(A30&lt;'Données projet'!$A$62,$AF$205^A30,IF(A30='Données projet'!$A$62,'Données projet'!$B$62,AI29+AH30-AQ29)))</f>
        <v>155.80000000000004</v>
      </c>
      <c r="AJ30" s="14">
        <f>AI30*VLOOKUP('Données projet'!$B$10,Paramètres!$A$1:$I$89,3,0)*VLOOKUP('Données projet'!$B$10,Paramètres!$A$1:$I$89,5,0)</f>
        <v>114.23256000000002</v>
      </c>
      <c r="AK30" s="14">
        <f t="shared" si="35"/>
        <v>30.326006869580301</v>
      </c>
      <c r="AL30" s="22">
        <f t="shared" si="4"/>
        <v>251.77283729785236</v>
      </c>
      <c r="AM30" s="62">
        <f t="shared" si="5"/>
        <v>541.43950396451908</v>
      </c>
      <c r="AN30" s="62">
        <f ca="1">AVERAGE(OFFSET($AM$3,0,0,'Données projet'!$E$10+1,1))-AVERAGE(OFFSET($H$3,0,0,'Données projet'!$E$10+1,1))</f>
        <v>380.01621935031324</v>
      </c>
      <c r="AO30" s="62">
        <f t="shared" si="36"/>
        <v>365.76175372075869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15.881957406474264</v>
      </c>
      <c r="AW30" s="23">
        <f>EXP(-LN(2)/2)*AW29+(1-EXP(-LN(2)/2))/(LN(2)/2)*AQ30*AT30*VLOOKUP('Données projet'!$B$10,Paramètres!$A$1:$I$89,3,0)*0.475*44/12</f>
        <v>9.0771225387722456</v>
      </c>
      <c r="AX30" s="23">
        <f t="shared" si="6"/>
        <v>24.959079945246508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14.8</v>
      </c>
      <c r="BD30" s="13">
        <f>IF('Données projet'!$A$88&gt;35,BD29+BC30-BL29,IF(A30&lt;'Données projet'!$A$88,$BA$205^A30,IF(A30='Données projet'!$A$88,'Données projet'!$B$88,BD29+BC30-BL29)))</f>
        <v>159.6</v>
      </c>
      <c r="BE30" s="14">
        <f>BD30*VLOOKUP('Données projet'!$B$11,Paramètres!$A$1:$I$89,3,0)*VLOOKUP('Données projet'!$B$11,Paramètres!$A$1:$I$89,5,0)</f>
        <v>139.42656000000002</v>
      </c>
      <c r="BF30" s="14">
        <f t="shared" si="37"/>
        <v>36.165607079455818</v>
      </c>
      <c r="BG30" s="22">
        <f t="shared" si="7"/>
        <v>305.82302433005219</v>
      </c>
      <c r="BH30" s="62">
        <f t="shared" si="8"/>
        <v>595.48969099671888</v>
      </c>
      <c r="BI30" s="62">
        <f ca="1">AVERAGE(OFFSET($BH$3,0,0,'Données projet'!$E$11+1,1))-AVERAGE(OFFSET($H$3,0,0,'Données projet'!$E$11+1,1))</f>
        <v>303.33040062722074</v>
      </c>
      <c r="BJ30" s="62">
        <f t="shared" si="38"/>
        <v>425.30058672361548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11.546104797679529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11.546104797679529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14.2</v>
      </c>
      <c r="N31" s="14">
        <f>IF('Données projet'!$A$36&gt;35,N30+M31-V30,IF(A31&lt;'Données projet'!$A$36,$K$205^A31,IF(A31='Données projet'!$A$36,'Données projet'!$B$36,N30+M31-V30)))</f>
        <v>147.59999999999994</v>
      </c>
      <c r="O31" s="14">
        <f>N31*VLOOKUP('Données projet'!$B$9,Paramètres!$A$1:$I$89,3,0)*VLOOKUP('Données projet'!$B$9,Paramètres!$A$1:$I$89,5,0)</f>
        <v>117.43055999999996</v>
      </c>
      <c r="P31" s="14">
        <f t="shared" si="33"/>
        <v>31.074966780724086</v>
      </c>
      <c r="Q31" s="22">
        <f t="shared" si="2"/>
        <v>258.64712580976101</v>
      </c>
      <c r="R31" s="62">
        <f t="shared" si="0"/>
        <v>549.53601469864986</v>
      </c>
      <c r="S31" s="62">
        <f ca="1">AVERAGE(OFFSET($R$3,0,0,'Données projet'!$E$9+1,1))-AVERAGE(OFFSET($H$3,0,0,'Données projet'!$E$9+1,1))</f>
        <v>354.56491118410622</v>
      </c>
      <c r="T31" s="62">
        <f t="shared" si="34"/>
        <v>343.77208530767069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16.828599184954591</v>
      </c>
      <c r="AB31" s="23">
        <f>EXP(-LN(2)/2)*AB30+(1-EXP(-LN(2)/2))/(LN(2)/2)*V31*Y31*VLOOKUP('Données projet'!$B$9,Paramètres!$A$1:$I$89,3,0)*0.475*44/12</f>
        <v>5.7890292965304644</v>
      </c>
      <c r="AC31" s="24">
        <f t="shared" si="3"/>
        <v>22.617628481485056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16.399999999999999</v>
      </c>
      <c r="AI31" s="14">
        <f>IF('Données projet'!$A$62&gt;35,AI30+AH31-AQ30,IF(A31&lt;'Données projet'!$A$62,$AF$205^A31,IF(A31='Données projet'!$A$62,'Données projet'!$B$62,AI30+AH31-AQ30)))</f>
        <v>172.20000000000005</v>
      </c>
      <c r="AJ31" s="14">
        <f>AI31*VLOOKUP('Données projet'!$B$10,Paramètres!$A$1:$I$89,3,0)*VLOOKUP('Données projet'!$B$10,Paramètres!$A$1:$I$89,5,0)</f>
        <v>126.25704000000002</v>
      </c>
      <c r="AK31" s="14">
        <f t="shared" si="35"/>
        <v>33.130006114881255</v>
      </c>
      <c r="AL31" s="22">
        <f t="shared" si="4"/>
        <v>277.59910531675155</v>
      </c>
      <c r="AM31" s="62">
        <f t="shared" si="5"/>
        <v>568.48799420564046</v>
      </c>
      <c r="AN31" s="62">
        <f ca="1">AVERAGE(OFFSET($AM$3,0,0,'Données projet'!$E$10+1,1))-AVERAGE(OFFSET($H$3,0,0,'Données projet'!$E$10+1,1))</f>
        <v>380.01621935031324</v>
      </c>
      <c r="AO31" s="62">
        <f t="shared" si="36"/>
        <v>365.76175372075869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15.447664445998385</v>
      </c>
      <c r="AW31" s="23">
        <f>EXP(-LN(2)/2)*AW30+(1-EXP(-LN(2)/2))/(LN(2)/2)*AQ31*AT31*VLOOKUP('Données projet'!$B$10,Paramètres!$A$1:$I$89,3,0)*0.475*44/12</f>
        <v>6.4184949008271053</v>
      </c>
      <c r="AX31" s="23">
        <f t="shared" si="6"/>
        <v>21.866159346825491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14.8</v>
      </c>
      <c r="BD31" s="13">
        <f>IF('Données projet'!$A$88&gt;35,BD30+BC31-BL30,IF(A31&lt;'Données projet'!$A$88,$BA$205^A31,IF(A31='Données projet'!$A$88,'Données projet'!$B$88,BD30+BC31-BL30)))</f>
        <v>174.4</v>
      </c>
      <c r="BE31" s="14">
        <f>BD31*VLOOKUP('Données projet'!$B$11,Paramètres!$A$1:$I$89,3,0)*VLOOKUP('Données projet'!$B$11,Paramètres!$A$1:$I$89,5,0)</f>
        <v>152.35584000000003</v>
      </c>
      <c r="BF31" s="14">
        <f t="shared" si="37"/>
        <v>39.11347218476763</v>
      </c>
      <c r="BG31" s="22">
        <f t="shared" si="7"/>
        <v>333.47571872180367</v>
      </c>
      <c r="BH31" s="62">
        <f t="shared" si="8"/>
        <v>624.36460761069247</v>
      </c>
      <c r="BI31" s="62">
        <f ca="1">AVERAGE(OFFSET($BH$3,0,0,'Données projet'!$E$11+1,1))-AVERAGE(OFFSET($H$3,0,0,'Données projet'!$E$11+1,1))</f>
        <v>303.33040062722074</v>
      </c>
      <c r="BJ31" s="62">
        <f t="shared" si="38"/>
        <v>425.30058672361548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11.230375954803721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11.230375954803721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14.2</v>
      </c>
      <c r="N32" s="14">
        <f>IF('Données projet'!$A$36&gt;35,N31+M32-V31,IF(A32&lt;'Données projet'!$A$36,$K$205^A32,IF(A32='Données projet'!$A$36,'Données projet'!$B$36,N31+M32-V31)))</f>
        <v>161.79999999999993</v>
      </c>
      <c r="O32" s="14">
        <f>N32*VLOOKUP('Données projet'!$B$9,Paramètres!$A$1:$I$89,3,0)*VLOOKUP('Données projet'!$B$9,Paramètres!$A$1:$I$89,5,0)</f>
        <v>128.72807999999995</v>
      </c>
      <c r="P32" s="14">
        <f t="shared" si="33"/>
        <v>33.702287995285367</v>
      </c>
      <c r="Q32" s="22">
        <f t="shared" si="2"/>
        <v>282.89955759178855</v>
      </c>
      <c r="R32" s="62">
        <f t="shared" si="0"/>
        <v>575.01066870289969</v>
      </c>
      <c r="S32" s="62">
        <f ca="1">AVERAGE(OFFSET($R$3,0,0,'Données projet'!$E$9+1,1))-AVERAGE(OFFSET($H$3,0,0,'Données projet'!$E$9+1,1))</f>
        <v>354.56491118410622</v>
      </c>
      <c r="T32" s="62">
        <f t="shared" si="34"/>
        <v>343.77208530767069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16.368420255264439</v>
      </c>
      <c r="AB32" s="23">
        <f>EXP(-LN(2)/2)*AB31+(1-EXP(-LN(2)/2))/(LN(2)/2)*V32*Y32*VLOOKUP('Données projet'!$B$9,Paramètres!$A$1:$I$89,3,0)*0.475*44/12</f>
        <v>4.0934618720642808</v>
      </c>
      <c r="AC32" s="24">
        <f t="shared" si="3"/>
        <v>20.461882127328721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16.399999999999999</v>
      </c>
      <c r="AI32" s="14">
        <f>IF('Données projet'!$A$62&gt;35,AI31+AH32-AQ31,IF(A32&lt;'Données projet'!$A$62,$AF$205^A32,IF(A32='Données projet'!$A$62,'Données projet'!$B$62,AI31+AH32-AQ31)))</f>
        <v>188.60000000000005</v>
      </c>
      <c r="AJ32" s="14">
        <f>AI32*VLOOKUP('Données projet'!$B$10,Paramètres!$A$1:$I$89,3,0)*VLOOKUP('Données projet'!$B$10,Paramètres!$A$1:$I$89,5,0)</f>
        <v>138.28152000000003</v>
      </c>
      <c r="AK32" s="14">
        <f t="shared" si="35"/>
        <v>35.903043322174675</v>
      </c>
      <c r="AL32" s="22">
        <f t="shared" si="4"/>
        <v>303.37144778612094</v>
      </c>
      <c r="AM32" s="62">
        <f t="shared" si="5"/>
        <v>595.48255889723214</v>
      </c>
      <c r="AN32" s="62">
        <f ca="1">AVERAGE(OFFSET($AM$3,0,0,'Données projet'!$E$10+1,1))-AVERAGE(OFFSET($H$3,0,0,'Données projet'!$E$10+1,1))</f>
        <v>380.01621935031324</v>
      </c>
      <c r="AO32" s="62">
        <f t="shared" si="36"/>
        <v>365.76175372075869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15.025247249365192</v>
      </c>
      <c r="AW32" s="23">
        <f>EXP(-LN(2)/2)*AW31+(1-EXP(-LN(2)/2))/(LN(2)/2)*AQ32*AT32*VLOOKUP('Données projet'!$B$10,Paramètres!$A$1:$I$89,3,0)*0.475*44/12</f>
        <v>4.5385612693861237</v>
      </c>
      <c r="AX32" s="23">
        <f t="shared" si="6"/>
        <v>19.563808518751316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14.8</v>
      </c>
      <c r="BD32" s="13">
        <f>IF('Données projet'!$A$88&gt;35,BD31+BC32-BL31,IF(A32&lt;'Données projet'!$A$88,$BA$205^A32,IF(A32='Données projet'!$A$88,'Données projet'!$B$88,BD31+BC32-BL31)))</f>
        <v>189.20000000000002</v>
      </c>
      <c r="BE32" s="14">
        <f>BD32*VLOOKUP('Données projet'!$B$11,Paramètres!$A$1:$I$89,3,0)*VLOOKUP('Données projet'!$B$11,Paramètres!$A$1:$I$89,5,0)</f>
        <v>165.28512000000003</v>
      </c>
      <c r="BF32" s="14">
        <f t="shared" si="37"/>
        <v>42.032324946671778</v>
      </c>
      <c r="BG32" s="22">
        <f t="shared" si="7"/>
        <v>361.07788328212001</v>
      </c>
      <c r="BH32" s="62">
        <f t="shared" si="8"/>
        <v>653.18899439323116</v>
      </c>
      <c r="BI32" s="62">
        <f ca="1">AVERAGE(OFFSET($BH$3,0,0,'Données projet'!$E$11+1,1))-AVERAGE(OFFSET($H$3,0,0,'Données projet'!$E$11+1,1))</f>
        <v>303.33040062722074</v>
      </c>
      <c r="BJ32" s="62">
        <f t="shared" si="38"/>
        <v>425.30058672361548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10.923280733739809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10.923280733739809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176</v>
      </c>
      <c r="L33" s="13">
        <f>VLOOKUP(A33,'Données projet'!$A$35:$I$55,9,0)</f>
        <v>14.2</v>
      </c>
      <c r="M33" s="13">
        <f t="array" ref="M33">INDEX(L:L,MIN(IF(ISNUMBER(L33:L229),ROW(L33:L229),"")))</f>
        <v>14.2</v>
      </c>
      <c r="N33" s="14">
        <f>IF('Données projet'!$A$36&gt;35,N32+M33-V32,IF(A33&lt;'Données projet'!$A$36,$K$205^A33,IF(A33='Données projet'!$A$36,'Données projet'!$B$36,N32+M33-V32)))</f>
        <v>175.99999999999991</v>
      </c>
      <c r="O33" s="14">
        <f>N33*VLOOKUP('Données projet'!$B$9,Paramètres!$A$1:$I$89,3,0)*VLOOKUP('Données projet'!$B$9,Paramètres!$A$1:$I$89,5,0)</f>
        <v>140.02559999999994</v>
      </c>
      <c r="P33" s="14">
        <f t="shared" si="33"/>
        <v>36.302870033112463</v>
      </c>
      <c r="Q33" s="22">
        <f t="shared" si="2"/>
        <v>307.10541864100406</v>
      </c>
      <c r="R33" s="62">
        <f t="shared" si="0"/>
        <v>600.43875197433738</v>
      </c>
      <c r="S33" s="62">
        <f ca="1">AVERAGE(OFFSET($R$3,0,0,'Données projet'!$E$9+1,1))-AVERAGE(OFFSET($H$3,0,0,'Données projet'!$E$9+1,1))</f>
        <v>354.56491118410622</v>
      </c>
      <c r="T33" s="62">
        <f t="shared" si="34"/>
        <v>343.77208530767069</v>
      </c>
      <c r="U33" s="16">
        <f>IF(ISNA(VLOOKUP(A33,'Données projet'!$A$35:$I$55,3,0)),0,VLOOKUP(A33,'Données projet'!$A$35:$I$55,3,0))</f>
        <v>5</v>
      </c>
      <c r="V33" s="16">
        <f>IF(ISNA(VLOOKUP(A33,'Données projet'!$A$35:$I$55,4,0)),0,VLOOKUP(A33,'Données projet'!$A$35:$I$55,4,0))</f>
        <v>35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0.318</v>
      </c>
      <c r="Y33" s="17">
        <f>IF(ISNA(VLOOKUP(A33,'Données projet'!$A$35:$I$55,7,0)),0%,VLOOKUP(A33,'Données projet'!$A$35:$I$55,7,0))</f>
        <v>0.4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25.67125319717848</v>
      </c>
      <c r="AB33" s="23">
        <f>EXP(-LN(2)/2)*AB32+(1-EXP(-LN(2)/2))/(LN(2)/2)*V33*Y33*VLOOKUP('Données projet'!$B$9,Paramètres!$A$1:$I$89,3,0)*0.475*44/12</f>
        <v>13.403894833905889</v>
      </c>
      <c r="AC33" s="24">
        <f t="shared" si="3"/>
        <v>39.075148031084368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205</v>
      </c>
      <c r="AG33" s="13">
        <f>VLOOKUP(A33,'Données projet'!$A$61:$I$81,9,0)</f>
        <v>16.399999999999999</v>
      </c>
      <c r="AH33" s="13">
        <f t="array" ref="AH33">INDEX(AG:AG,MIN(IF(ISNUMBER(AG33:AG229),ROW(AG33:AG229),"")))</f>
        <v>16.399999999999999</v>
      </c>
      <c r="AI33" s="14">
        <f>IF('Données projet'!$A$62&gt;35,AI32+AH33-AQ32,IF(A33&lt;'Données projet'!$A$62,$AF$205^A33,IF(A33='Données projet'!$A$62,'Données projet'!$B$62,AI32+AH33-AQ32)))</f>
        <v>205.00000000000006</v>
      </c>
      <c r="AJ33" s="14">
        <f>AI33*VLOOKUP('Données projet'!$B$10,Paramètres!$A$1:$I$89,3,0)*VLOOKUP('Données projet'!$B$10,Paramètres!$A$1:$I$89,5,0)</f>
        <v>150.30600000000004</v>
      </c>
      <c r="AK33" s="14">
        <f t="shared" si="35"/>
        <v>38.648116968856677</v>
      </c>
      <c r="AL33" s="22">
        <f t="shared" si="4"/>
        <v>329.09508705409212</v>
      </c>
      <c r="AM33" s="62">
        <f t="shared" si="5"/>
        <v>622.42842038742538</v>
      </c>
      <c r="AN33" s="62">
        <f ca="1">AVERAGE(OFFSET($AM$3,0,0,'Données projet'!$E$10+1,1))-AVERAGE(OFFSET($H$3,0,0,'Données projet'!$E$10+1,1))</f>
        <v>380.01621935031324</v>
      </c>
      <c r="AO33" s="62">
        <f t="shared" si="36"/>
        <v>365.76175372075869</v>
      </c>
      <c r="AP33" s="16">
        <f>IF(ISNA(VLOOKUP(A33,'Données projet'!$A$61:$I$81,3,0)),0,VLOOKUP(A33,'Données projet'!$A$61:$I$81,3,0))</f>
        <v>5</v>
      </c>
      <c r="AQ33" s="16">
        <f>IF(ISNA(VLOOKUP(A33,'Données projet'!$A$61:$I$81,4,0)),0,VLOOKUP(A33,'Données projet'!$A$61:$I$81,4,0))</f>
        <v>42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0.25800000000000001</v>
      </c>
      <c r="AT33" s="17">
        <f>IF(ISNA(VLOOKUP(A33,'Données projet'!$A$61:$I$81,7,0)),0%,VLOOKUP(A33,'Données projet'!$A$61:$I$81,7,0))</f>
        <v>0.4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23.362712039887167</v>
      </c>
      <c r="AW33" s="23">
        <f>EXP(-LN(2)/2)*AW32+(1-EXP(-LN(2)/2))/(LN(2)/2)*AQ33*AT33*VLOOKUP('Données projet'!$B$10,Paramètres!$A$1:$I$89,3,0)*0.475*44/12</f>
        <v>14.83138553806322</v>
      </c>
      <c r="AX33" s="23">
        <f t="shared" si="6"/>
        <v>38.194097577950387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204</v>
      </c>
      <c r="BB33" s="13">
        <f>VLOOKUP(A33,'Données projet'!$A$87:$I$107,9,0)</f>
        <v>14.8</v>
      </c>
      <c r="BC33" s="13">
        <f t="array" ref="BC33">INDEX(BB:BB,MIN(IF(ISNUMBER(BB33:BB229),ROW(BB33:BB229),"")))</f>
        <v>14.8</v>
      </c>
      <c r="BD33" s="13">
        <f>IF('Données projet'!$A$88&gt;35,BD32+BC33-BL32,IF(A33&lt;'Données projet'!$A$88,$BA$205^A33,IF(A33='Données projet'!$A$88,'Données projet'!$B$88,BD32+BC33-BL32)))</f>
        <v>204.00000000000003</v>
      </c>
      <c r="BE33" s="14">
        <f>BD33*VLOOKUP('Données projet'!$B$11,Paramètres!$A$1:$I$89,3,0)*VLOOKUP('Données projet'!$B$11,Paramètres!$A$1:$I$89,5,0)</f>
        <v>178.21440000000004</v>
      </c>
      <c r="BF33" s="14">
        <f t="shared" si="37"/>
        <v>44.924692855664368</v>
      </c>
      <c r="BG33" s="22">
        <f t="shared" si="7"/>
        <v>388.63392005694885</v>
      </c>
      <c r="BH33" s="62">
        <f t="shared" si="8"/>
        <v>681.96725339028217</v>
      </c>
      <c r="BI33" s="62">
        <f ca="1">AVERAGE(OFFSET($BH$3,0,0,'Données projet'!$E$11+1,1))-AVERAGE(OFFSET($H$3,0,0,'Données projet'!$E$11+1,1))</f>
        <v>303.33040062722074</v>
      </c>
      <c r="BJ33" s="62">
        <f t="shared" si="38"/>
        <v>425.30058672361548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51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0.17200000000000001</v>
      </c>
      <c r="BO33" s="17">
        <f>IF(ISNA(VLOOKUP(A33,'Données projet'!$A$87:$I$107,7,0)),0%,VLOOKUP(A33,'Données projet'!$A$87:$I$107,7,0))</f>
        <v>0.4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19.062689511979386</v>
      </c>
      <c r="BR33" s="23">
        <f>EXP(-LN(2)/2)*BR32+(1-EXP(-LN(2)/2))/(LN(2)/2)*BL33*BO33*VLOOKUP('Données projet'!$B$11,Paramètres!$A$1:$I$89,3,0)*0.475*44/12</f>
        <v>16.815008297025049</v>
      </c>
      <c r="BS33" s="24">
        <f t="shared" si="9"/>
        <v>35.877697809004431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13</v>
      </c>
      <c r="N34" s="14">
        <f>IF('Données projet'!$A$36&gt;35,N33+M34-V33,IF(A34&lt;'Données projet'!$A$36,$K$205^A34,IF(A34='Données projet'!$A$36,'Données projet'!$B$36,N33+M34-V33)))</f>
        <v>153.99999999999991</v>
      </c>
      <c r="O34" s="14">
        <f>N34*VLOOKUP('Données projet'!$B$9,Paramètres!$A$1:$I$89,3,0)*VLOOKUP('Données projet'!$B$9,Paramètres!$A$1:$I$89,5,0)</f>
        <v>122.52239999999995</v>
      </c>
      <c r="P34" s="14">
        <f t="shared" si="33"/>
        <v>32.26259352430629</v>
      </c>
      <c r="Q34" s="22">
        <f t="shared" si="2"/>
        <v>269.58386372149999</v>
      </c>
      <c r="R34" s="62">
        <f t="shared" si="0"/>
        <v>562.91719705483331</v>
      </c>
      <c r="S34" s="62">
        <f ca="1">AVERAGE(OFFSET($R$3,0,0,'Données projet'!$E$9+1,1))-AVERAGE(OFFSET($H$3,0,0,'Données projet'!$E$9+1,1))</f>
        <v>354.56491118410622</v>
      </c>
      <c r="T34" s="62">
        <f t="shared" si="34"/>
        <v>343.77208530767069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24.969271428509103</v>
      </c>
      <c r="AB34" s="23">
        <f>EXP(-LN(2)/2)*AB33+(1-EXP(-LN(2)/2))/(LN(2)/2)*V34*Y34*VLOOKUP('Données projet'!$B$9,Paramètres!$A$1:$I$89,3,0)*0.475*44/12</f>
        <v>9.477984931366187</v>
      </c>
      <c r="AC34" s="24">
        <f t="shared" si="3"/>
        <v>34.44725635987529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15.2</v>
      </c>
      <c r="AI34" s="14">
        <f>IF('Données projet'!$A$62&gt;35,AI33+AH34-AQ33,IF(A34&lt;'Données projet'!$A$62,$AF$205^A34,IF(A34='Données projet'!$A$62,'Données projet'!$B$62,AI33+AH34-AQ33)))</f>
        <v>178.20000000000005</v>
      </c>
      <c r="AJ34" s="14">
        <f>AI34*VLOOKUP('Données projet'!$B$10,Paramètres!$A$1:$I$89,3,0)*VLOOKUP('Données projet'!$B$10,Paramètres!$A$1:$I$89,5,0)</f>
        <v>130.65624000000003</v>
      </c>
      <c r="AK34" s="14">
        <f t="shared" si="35"/>
        <v>34.147952661921146</v>
      </c>
      <c r="AL34" s="22">
        <f t="shared" si="4"/>
        <v>287.03396888617937</v>
      </c>
      <c r="AM34" s="62">
        <f t="shared" si="5"/>
        <v>580.36730221951268</v>
      </c>
      <c r="AN34" s="62">
        <f ca="1">AVERAGE(OFFSET($AM$3,0,0,'Données projet'!$E$10+1,1))-AVERAGE(OFFSET($H$3,0,0,'Données projet'!$E$10+1,1))</f>
        <v>380.01621935031324</v>
      </c>
      <c r="AO34" s="62">
        <f t="shared" si="36"/>
        <v>365.76175372075869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22.723857450564822</v>
      </c>
      <c r="AW34" s="23">
        <f>EXP(-LN(2)/2)*AW33+(1-EXP(-LN(2)/2))/(LN(2)/2)*AQ34*AT34*VLOOKUP('Données projet'!$B$10,Paramètres!$A$1:$I$89,3,0)*0.475*44/12</f>
        <v>10.487373288356595</v>
      </c>
      <c r="AX34" s="23">
        <f t="shared" si="6"/>
        <v>33.211230738921415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13.6</v>
      </c>
      <c r="BD34" s="13">
        <f>IF('Données projet'!$A$88&gt;35,BD33+BC34-BL33,IF(A34&lt;'Données projet'!$A$88,$BA$205^A34,IF(A34='Données projet'!$A$88,'Données projet'!$B$88,BD33+BC34-BL33)))</f>
        <v>166.60000000000002</v>
      </c>
      <c r="BE34" s="14">
        <f>BD34*VLOOKUP('Données projet'!$B$11,Paramètres!$A$1:$I$89,3,0)*VLOOKUP('Données projet'!$B$11,Paramètres!$A$1:$I$89,5,0)</f>
        <v>145.54176000000004</v>
      </c>
      <c r="BF34" s="14">
        <f t="shared" si="37"/>
        <v>37.563662342876064</v>
      </c>
      <c r="BG34" s="22">
        <f t="shared" si="7"/>
        <v>318.90861058050916</v>
      </c>
      <c r="BH34" s="62">
        <f t="shared" si="8"/>
        <v>612.24194391384253</v>
      </c>
      <c r="BI34" s="62">
        <f ca="1">AVERAGE(OFFSET($BH$3,0,0,'Données projet'!$E$11+1,1))-AVERAGE(OFFSET($H$3,0,0,'Données projet'!$E$11+1,1))</f>
        <v>303.33040062722074</v>
      </c>
      <c r="BJ34" s="62">
        <f t="shared" si="38"/>
        <v>425.30058672361548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18.541419264811037</v>
      </c>
      <c r="BR34" s="23">
        <f>EXP(-LN(2)/2)*BR33+(1-EXP(-LN(2)/2))/(LN(2)/2)*BL34*BO34*VLOOKUP('Données projet'!$B$11,Paramètres!$A$1:$I$89,3,0)*0.475*44/12</f>
        <v>11.890006392534474</v>
      </c>
      <c r="BS34" s="24">
        <f t="shared" si="9"/>
        <v>30.43142565734551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13</v>
      </c>
      <c r="N35" s="14">
        <f>IF('Données projet'!$A$36&gt;35,N34+M35-V34,IF(A35&lt;'Données projet'!$A$36,$K$205^A35,IF(A35='Données projet'!$A$36,'Données projet'!$B$36,N34+M35-V34)))</f>
        <v>166.99999999999991</v>
      </c>
      <c r="O35" s="14">
        <f>N35*VLOOKUP('Données projet'!$B$9,Paramètres!$A$1:$I$89,3,0)*VLOOKUP('Données projet'!$B$9,Paramètres!$A$1:$I$89,5,0)</f>
        <v>132.86519999999993</v>
      </c>
      <c r="P35" s="14">
        <f t="shared" si="33"/>
        <v>34.657580565743032</v>
      </c>
      <c r="Q35" s="22">
        <f t="shared" ref="Q35:Q66" si="53">(O35+P35)*0.475*44/12</f>
        <v>291.76884281866893</v>
      </c>
      <c r="R35" s="62">
        <f t="shared" si="0"/>
        <v>585.10217615200224</v>
      </c>
      <c r="S35" s="62">
        <f ca="1">AVERAGE(OFFSET($R$3,0,0,'Données projet'!$E$9+1,1))-AVERAGE(OFFSET($H$3,0,0,'Données projet'!$E$9+1,1))</f>
        <v>354.56491118410622</v>
      </c>
      <c r="T35" s="62">
        <f t="shared" si="34"/>
        <v>343.77208530767069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24.286485388219607</v>
      </c>
      <c r="AB35" s="23">
        <f>EXP(-LN(2)/2)*AB34+(1-EXP(-LN(2)/2))/(LN(2)/2)*V35*Y35*VLOOKUP('Données projet'!$B$9,Paramètres!$A$1:$I$89,3,0)*0.475*44/12</f>
        <v>6.7019474169529456</v>
      </c>
      <c r="AC35" s="24">
        <f t="shared" si="3"/>
        <v>30.98843280517255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15.2</v>
      </c>
      <c r="AI35" s="14">
        <f>IF('Données projet'!$A$62&gt;35,AI34+AH35-AQ34,IF(A35&lt;'Données projet'!$A$62,$AF$205^A35,IF(A35='Données projet'!$A$62,'Données projet'!$B$62,AI34+AH35-AQ34)))</f>
        <v>193.40000000000003</v>
      </c>
      <c r="AJ35" s="14">
        <f>AI35*VLOOKUP('Données projet'!$B$10,Paramètres!$A$1:$I$89,3,0)*VLOOKUP('Données projet'!$B$10,Paramètres!$A$1:$I$89,5,0)</f>
        <v>141.80088000000003</v>
      </c>
      <c r="AK35" s="14">
        <f t="shared" si="35"/>
        <v>36.709254421801973</v>
      </c>
      <c r="AL35" s="22">
        <f t="shared" si="4"/>
        <v>310.90515078463847</v>
      </c>
      <c r="AM35" s="62">
        <f t="shared" si="5"/>
        <v>604.23848411797178</v>
      </c>
      <c r="AN35" s="62">
        <f ca="1">AVERAGE(OFFSET($AM$3,0,0,'Données projet'!$E$10+1,1))-AVERAGE(OFFSET($H$3,0,0,'Données projet'!$E$10+1,1))</f>
        <v>380.01621935031324</v>
      </c>
      <c r="AO35" s="62">
        <f t="shared" si="36"/>
        <v>365.76175372075869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22.102472373583399</v>
      </c>
      <c r="AW35" s="23">
        <f>EXP(-LN(2)/2)*AW34+(1-EXP(-LN(2)/2))/(LN(2)/2)*AQ35*AT35*VLOOKUP('Données projet'!$B$10,Paramètres!$A$1:$I$89,3,0)*0.475*44/12</f>
        <v>7.4156927690316108</v>
      </c>
      <c r="AX35" s="23">
        <f t="shared" si="6"/>
        <v>29.518165142615011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13.6</v>
      </c>
      <c r="BD35" s="13">
        <f>IF('Données projet'!$A$88&gt;35,BD34+BC35-BL34,IF(A35&lt;'Données projet'!$A$88,$BA$205^A35,IF(A35='Données projet'!$A$88,'Données projet'!$B$88,BD34+BC35-BL34)))</f>
        <v>180.20000000000002</v>
      </c>
      <c r="BE35" s="14">
        <f>BD35*VLOOKUP('Données projet'!$B$11,Paramètres!$A$1:$I$89,3,0)*VLOOKUP('Données projet'!$B$11,Paramètres!$A$1:$I$89,5,0)</f>
        <v>157.42272000000003</v>
      </c>
      <c r="BF35" s="14">
        <f t="shared" si="37"/>
        <v>40.260654441499831</v>
      </c>
      <c r="BG35" s="22">
        <f t="shared" si="7"/>
        <v>344.29854381894557</v>
      </c>
      <c r="BH35" s="62">
        <f t="shared" si="8"/>
        <v>637.63187715227889</v>
      </c>
      <c r="BI35" s="62">
        <f ca="1">AVERAGE(OFFSET($BH$3,0,0,'Données projet'!$E$11+1,1))-AVERAGE(OFFSET($H$3,0,0,'Données projet'!$E$11+1,1))</f>
        <v>303.33040062722074</v>
      </c>
      <c r="BJ35" s="62">
        <f t="shared" si="38"/>
        <v>425.30058672361548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18.034403179963917</v>
      </c>
      <c r="BR35" s="23">
        <f>EXP(-LN(2)/2)*BR34+(1-EXP(-LN(2)/2))/(LN(2)/2)*BL35*BO35*VLOOKUP('Données projet'!$B$11,Paramètres!$A$1:$I$89,3,0)*0.475*44/12</f>
        <v>8.4075041485125261</v>
      </c>
      <c r="BS35" s="24">
        <f t="shared" si="9"/>
        <v>26.441907328476443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13</v>
      </c>
      <c r="N36" s="14">
        <f>IF('Données projet'!$A$36&gt;35,N35+M36-V35,IF(A36&lt;'Données projet'!$A$36,$K$205^A36,IF(A36='Données projet'!$A$36,'Données projet'!$B$36,N35+M36-V35)))</f>
        <v>179.99999999999991</v>
      </c>
      <c r="O36" s="14">
        <f>N36*VLOOKUP('Données projet'!$B$9,Paramètres!$A$1:$I$89,3,0)*VLOOKUP('Données projet'!$B$9,Paramètres!$A$1:$I$89,5,0)</f>
        <v>143.20799999999994</v>
      </c>
      <c r="P36" s="14">
        <f t="shared" si="33"/>
        <v>37.030941422835802</v>
      </c>
      <c r="Q36" s="22">
        <f t="shared" si="53"/>
        <v>313.9161563114389</v>
      </c>
      <c r="R36" s="62">
        <f t="shared" si="0"/>
        <v>607.24948964477221</v>
      </c>
      <c r="S36" s="62">
        <f ca="1">AVERAGE(OFFSET($R$3,0,0,'Données projet'!$E$9+1,1))-AVERAGE(OFFSET($H$3,0,0,'Données projet'!$E$9+1,1))</f>
        <v>354.56491118410622</v>
      </c>
      <c r="T36" s="62">
        <f t="shared" si="34"/>
        <v>343.77208530767069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23.622370168107981</v>
      </c>
      <c r="AB36" s="23">
        <f>EXP(-LN(2)/2)*AB35+(1-EXP(-LN(2)/2))/(LN(2)/2)*V36*Y36*VLOOKUP('Données projet'!$B$9,Paramètres!$A$1:$I$89,3,0)*0.475*44/12</f>
        <v>4.7389924656830944</v>
      </c>
      <c r="AC36" s="24">
        <f t="shared" si="3"/>
        <v>28.361362633791074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15.2</v>
      </c>
      <c r="AI36" s="14">
        <f>IF('Données projet'!$A$62&gt;35,AI35+AH36-AQ35,IF(A36&lt;'Données projet'!$A$62,$AF$205^A36,IF(A36='Données projet'!$A$62,'Données projet'!$B$62,AI35+AH36-AQ35)))</f>
        <v>208.60000000000002</v>
      </c>
      <c r="AJ36" s="14">
        <f>AI36*VLOOKUP('Données projet'!$B$10,Paramètres!$A$1:$I$89,3,0)*VLOOKUP('Données projet'!$B$10,Paramètres!$A$1:$I$89,5,0)</f>
        <v>152.94552000000002</v>
      </c>
      <c r="AK36" s="14">
        <f t="shared" si="35"/>
        <v>39.247206134585156</v>
      </c>
      <c r="AL36" s="22">
        <f t="shared" si="4"/>
        <v>334.73566468440248</v>
      </c>
      <c r="AM36" s="62">
        <f t="shared" si="5"/>
        <v>628.06899801773579</v>
      </c>
      <c r="AN36" s="62">
        <f ca="1">AVERAGE(OFFSET($AM$3,0,0,'Données projet'!$E$10+1,1))-AVERAGE(OFFSET($H$3,0,0,'Données projet'!$E$10+1,1))</f>
        <v>380.01621935031324</v>
      </c>
      <c r="AO36" s="62">
        <f t="shared" si="36"/>
        <v>365.76175372075869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21.498079104209253</v>
      </c>
      <c r="AW36" s="23">
        <f>EXP(-LN(2)/2)*AW35+(1-EXP(-LN(2)/2))/(LN(2)/2)*AQ36*AT36*VLOOKUP('Données projet'!$B$10,Paramètres!$A$1:$I$89,3,0)*0.475*44/12</f>
        <v>5.2436866441782986</v>
      </c>
      <c r="AX36" s="23">
        <f t="shared" si="6"/>
        <v>26.74176574838755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13.6</v>
      </c>
      <c r="BD36" s="13">
        <f>IF('Données projet'!$A$88&gt;35,BD35+BC36-BL35,IF(A36&lt;'Données projet'!$A$88,$BA$205^A36,IF(A36='Données projet'!$A$88,'Données projet'!$B$88,BD35+BC36-BL35)))</f>
        <v>193.8</v>
      </c>
      <c r="BE36" s="14">
        <f>BD36*VLOOKUP('Données projet'!$B$11,Paramètres!$A$1:$I$89,3,0)*VLOOKUP('Données projet'!$B$11,Paramètres!$A$1:$I$89,5,0)</f>
        <v>169.30368000000004</v>
      </c>
      <c r="BF36" s="14">
        <f t="shared" si="37"/>
        <v>42.934033834973256</v>
      </c>
      <c r="BG36" s="22">
        <f t="shared" si="7"/>
        <v>369.64735159591186</v>
      </c>
      <c r="BH36" s="62">
        <f t="shared" si="8"/>
        <v>662.98068492924517</v>
      </c>
      <c r="BI36" s="62">
        <f ca="1">AVERAGE(OFFSET($BH$3,0,0,'Données projet'!$E$11+1,1))-AVERAGE(OFFSET($H$3,0,0,'Données projet'!$E$11+1,1))</f>
        <v>303.33040062722074</v>
      </c>
      <c r="BJ36" s="62">
        <f t="shared" si="38"/>
        <v>425.30058672361548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17.54125147661976</v>
      </c>
      <c r="BR36" s="23">
        <f>EXP(-LN(2)/2)*BR35+(1-EXP(-LN(2)/2))/(LN(2)/2)*BL36*BO36*VLOOKUP('Données projet'!$B$11,Paramètres!$A$1:$I$89,3,0)*0.475*44/12</f>
        <v>5.9450031962672378</v>
      </c>
      <c r="BS36" s="24">
        <f t="shared" si="9"/>
        <v>23.486254672886997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13</v>
      </c>
      <c r="N37" s="14">
        <f>IF('Données projet'!$A$36&gt;35,N36+M37-V36,IF(A37&lt;'Données projet'!$A$36,$K$205^A37,IF(A37='Données projet'!$A$36,'Données projet'!$B$36,N36+M37-V36)))</f>
        <v>192.99999999999991</v>
      </c>
      <c r="O37" s="14">
        <f>N37*VLOOKUP('Données projet'!$B$9,Paramètres!$A$1:$I$89,3,0)*VLOOKUP('Données projet'!$B$9,Paramètres!$A$1:$I$89,5,0)</f>
        <v>153.55079999999995</v>
      </c>
      <c r="P37" s="14">
        <f t="shared" si="33"/>
        <v>39.384415616157526</v>
      </c>
      <c r="Q37" s="22">
        <f t="shared" si="53"/>
        <v>336.02883386480761</v>
      </c>
      <c r="R37" s="62">
        <f t="shared" si="0"/>
        <v>629.36216719814092</v>
      </c>
      <c r="S37" s="62">
        <f ca="1">AVERAGE(OFFSET($R$3,0,0,'Données projet'!$E$9+1,1))-AVERAGE(OFFSET($H$3,0,0,'Données projet'!$E$9+1,1))</f>
        <v>354.56491118410622</v>
      </c>
      <c r="T37" s="62">
        <f t="shared" si="34"/>
        <v>343.77208530767069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22.976415213614612</v>
      </c>
      <c r="AB37" s="23">
        <f>EXP(-LN(2)/2)*AB36+(1-EXP(-LN(2)/2))/(LN(2)/2)*V37*Y37*VLOOKUP('Données projet'!$B$9,Paramètres!$A$1:$I$89,3,0)*0.475*44/12</f>
        <v>3.3509737084764732</v>
      </c>
      <c r="AC37" s="24">
        <f t="shared" si="3"/>
        <v>26.327388922091085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15.2</v>
      </c>
      <c r="AI37" s="14">
        <f>IF('Données projet'!$A$62&gt;35,AI36+AH37-AQ36,IF(A37&lt;'Données projet'!$A$62,$AF$205^A37,IF(A37='Données projet'!$A$62,'Données projet'!$B$62,AI36+AH37-AQ36)))</f>
        <v>223.8</v>
      </c>
      <c r="AJ37" s="14">
        <f>AI37*VLOOKUP('Données projet'!$B$10,Paramètres!$A$1:$I$89,3,0)*VLOOKUP('Données projet'!$B$10,Paramètres!$A$1:$I$89,5,0)</f>
        <v>164.09016</v>
      </c>
      <c r="AK37" s="14">
        <f t="shared" si="35"/>
        <v>41.763702733606458</v>
      </c>
      <c r="AL37" s="22">
        <f t="shared" si="4"/>
        <v>358.52881092769786</v>
      </c>
      <c r="AM37" s="62">
        <f t="shared" si="5"/>
        <v>651.86214426103118</v>
      </c>
      <c r="AN37" s="62">
        <f ca="1">AVERAGE(OFFSET($AM$3,0,0,'Données projet'!$E$10+1,1))-AVERAGE(OFFSET($H$3,0,0,'Données projet'!$E$10+1,1))</f>
        <v>380.01621935031324</v>
      </c>
      <c r="AO37" s="62">
        <f t="shared" si="36"/>
        <v>365.76175372075869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20.910213000569804</v>
      </c>
      <c r="AW37" s="23">
        <f>EXP(-LN(2)/2)*AW36+(1-EXP(-LN(2)/2))/(LN(2)/2)*AQ37*AT37*VLOOKUP('Données projet'!$B$10,Paramètres!$A$1:$I$89,3,0)*0.475*44/12</f>
        <v>3.7078463845158063</v>
      </c>
      <c r="AX37" s="23">
        <f t="shared" si="6"/>
        <v>24.618059385085612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13.6</v>
      </c>
      <c r="BD37" s="13">
        <f>IF('Données projet'!$A$88&gt;35,BD36+BC37-BL36,IF(A37&lt;'Données projet'!$A$88,$BA$205^A37,IF(A37='Données projet'!$A$88,'Données projet'!$B$88,BD36+BC37-BL36)))</f>
        <v>207.4</v>
      </c>
      <c r="BE37" s="14">
        <f>BD37*VLOOKUP('Données projet'!$B$11,Paramètres!$A$1:$I$89,3,0)*VLOOKUP('Données projet'!$B$11,Paramètres!$A$1:$I$89,5,0)</f>
        <v>181.18464000000003</v>
      </c>
      <c r="BF37" s="14">
        <f t="shared" si="37"/>
        <v>45.585646034700325</v>
      </c>
      <c r="BG37" s="22">
        <f t="shared" si="7"/>
        <v>394.95824817710309</v>
      </c>
      <c r="BH37" s="62">
        <f t="shared" si="8"/>
        <v>688.29158151043634</v>
      </c>
      <c r="BI37" s="62">
        <f ca="1">AVERAGE(OFFSET($BH$3,0,0,'Données projet'!$E$11+1,1))-AVERAGE(OFFSET($H$3,0,0,'Données projet'!$E$11+1,1))</f>
        <v>303.33040062722074</v>
      </c>
      <c r="BJ37" s="62">
        <f t="shared" si="38"/>
        <v>425.30058672361548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17.06158503253727</v>
      </c>
      <c r="BR37" s="23">
        <f>EXP(-LN(2)/2)*BR36+(1-EXP(-LN(2)/2))/(LN(2)/2)*BL37*BO37*VLOOKUP('Données projet'!$B$11,Paramètres!$A$1:$I$89,3,0)*0.475*44/12</f>
        <v>4.203752074256264</v>
      </c>
      <c r="BS37" s="24">
        <f t="shared" si="9"/>
        <v>21.265337106793535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206</v>
      </c>
      <c r="L38" s="13">
        <f>VLOOKUP(A38,'Données projet'!$A$35:$I$55,9,0)</f>
        <v>13</v>
      </c>
      <c r="M38" s="13">
        <f t="array" ref="M38">INDEX(L:L,MIN(IF(ISNUMBER(L38:L234),ROW(L38:L234),"")))</f>
        <v>13</v>
      </c>
      <c r="N38" s="14">
        <f>IF('Données projet'!$A$36&gt;35,N37+M38-V37,IF(A38&lt;'Données projet'!$A$36,$K$205^A38,IF(A38='Données projet'!$A$36,'Données projet'!$B$36,N37+M38-V37)))</f>
        <v>205.99999999999991</v>
      </c>
      <c r="O38" s="14">
        <f>N38*VLOOKUP('Données projet'!$B$9,Paramètres!$A$1:$I$89,3,0)*VLOOKUP('Données projet'!$B$9,Paramètres!$A$1:$I$89,5,0)</f>
        <v>163.89359999999994</v>
      </c>
      <c r="P38" s="14">
        <f t="shared" si="33"/>
        <v>41.71949506642347</v>
      </c>
      <c r="Q38" s="22">
        <f t="shared" si="53"/>
        <v>358.10947390735402</v>
      </c>
      <c r="R38" s="62">
        <f t="shared" si="0"/>
        <v>651.44280724068733</v>
      </c>
      <c r="S38" s="62">
        <f ca="1">AVERAGE(OFFSET($R$3,0,0,'Données projet'!$E$9+1,1))-AVERAGE(OFFSET($H$3,0,0,'Données projet'!$E$9+1,1))</f>
        <v>354.56491118410622</v>
      </c>
      <c r="T38" s="62">
        <f t="shared" si="34"/>
        <v>343.77208530767069</v>
      </c>
      <c r="U38" s="16">
        <f>IF(ISNA(VLOOKUP(A38,'Données projet'!$A$35:$I$55,3,0)),0,VLOOKUP(A38,'Données projet'!$A$35:$I$55,3,0))</f>
        <v>6</v>
      </c>
      <c r="V38" s="16">
        <f>IF(ISNA(VLOOKUP(A38,'Données projet'!$A$35:$I$55,4,0)),0,VLOOKUP(A38,'Données projet'!$A$35:$I$55,4,0))</f>
        <v>35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22.348123931321158</v>
      </c>
      <c r="AB38" s="23">
        <f>EXP(-LN(2)/2)*AB37+(1-EXP(-LN(2)/2))/(LN(2)/2)*V38*Y38*VLOOKUP('Données projet'!$B$9,Paramètres!$A$1:$I$89,3,0)*0.475*44/12</f>
        <v>2.3694962328415472</v>
      </c>
      <c r="AC38" s="24">
        <f t="shared" si="3"/>
        <v>24.717620164162707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239</v>
      </c>
      <c r="AG38" s="13">
        <f>VLOOKUP(A38,'Données projet'!$A$61:$I$81,9,0)</f>
        <v>15.2</v>
      </c>
      <c r="AH38" s="13">
        <f t="array" ref="AH38">INDEX(AG:AG,MIN(IF(ISNUMBER(AG38:AG234),ROW(AG38:AG234),"")))</f>
        <v>15.2</v>
      </c>
      <c r="AI38" s="14">
        <f>IF('Données projet'!$A$62&gt;35,AI37+AH38-AQ37,IF(A38&lt;'Données projet'!$A$62,$AF$205^A38,IF(A38='Données projet'!$A$62,'Données projet'!$B$62,AI37+AH38-AQ37)))</f>
        <v>239</v>
      </c>
      <c r="AJ38" s="14">
        <f>AI38*VLOOKUP('Données projet'!$B$10,Paramètres!$A$1:$I$89,3,0)*VLOOKUP('Données projet'!$B$10,Paramètres!$A$1:$I$89,5,0)</f>
        <v>175.23480000000001</v>
      </c>
      <c r="AK38" s="14">
        <f t="shared" si="35"/>
        <v>44.260367185241513</v>
      </c>
      <c r="AL38" s="22">
        <f t="shared" si="4"/>
        <v>382.28741618096228</v>
      </c>
      <c r="AM38" s="62">
        <f t="shared" si="5"/>
        <v>675.62074951429554</v>
      </c>
      <c r="AN38" s="62">
        <f ca="1">AVERAGE(OFFSET($AM$3,0,0,'Données projet'!$E$10+1,1))-AVERAGE(OFFSET($H$3,0,0,'Données projet'!$E$10+1,1))</f>
        <v>380.01621935031324</v>
      </c>
      <c r="AO38" s="62">
        <f t="shared" si="36"/>
        <v>365.76175372075869</v>
      </c>
      <c r="AP38" s="16">
        <f>IF(ISNA(VLOOKUP(A38,'Données projet'!$A$61:$I$81,3,0)),0,VLOOKUP(A38,'Données projet'!$A$61:$I$81,3,0))</f>
        <v>6</v>
      </c>
      <c r="AQ38" s="16">
        <f>IF(ISNA(VLOOKUP(A38,'Données projet'!$A$61:$I$81,4,0)),0,VLOOKUP(A38,'Données projet'!$A$61:$I$81,4,0))</f>
        <v>42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20.338422126448911</v>
      </c>
      <c r="AW38" s="23">
        <f>EXP(-LN(2)/2)*AW37+(1-EXP(-LN(2)/2))/(LN(2)/2)*AQ38*AT38*VLOOKUP('Données projet'!$B$10,Paramètres!$A$1:$I$89,3,0)*0.475*44/12</f>
        <v>2.6218433220891497</v>
      </c>
      <c r="AX38" s="23">
        <f t="shared" si="6"/>
        <v>22.96026544853806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221</v>
      </c>
      <c r="BB38" s="13">
        <f>VLOOKUP(A38,'Données projet'!$A$87:$I$107,9,0)</f>
        <v>13.6</v>
      </c>
      <c r="BC38" s="13">
        <f t="array" ref="BC38">INDEX(BB:BB,MIN(IF(ISNUMBER(BB38:BB234),ROW(BB38:BB234),"")))</f>
        <v>13.6</v>
      </c>
      <c r="BD38" s="13">
        <f>IF('Données projet'!$A$88&gt;35,BD37+BC38-BL37,IF(A38&lt;'Données projet'!$A$88,$BA$205^A38,IF(A38='Données projet'!$A$88,'Données projet'!$B$88,BD37+BC38-BL37)))</f>
        <v>221</v>
      </c>
      <c r="BE38" s="14">
        <f>BD38*VLOOKUP('Données projet'!$B$11,Paramètres!$A$1:$I$89,3,0)*VLOOKUP('Données projet'!$B$11,Paramètres!$A$1:$I$89,5,0)</f>
        <v>193.06560000000002</v>
      </c>
      <c r="BF38" s="14">
        <f t="shared" si="37"/>
        <v>48.217080828790458</v>
      </c>
      <c r="BG38" s="22">
        <f t="shared" si="7"/>
        <v>420.23400244347675</v>
      </c>
      <c r="BH38" s="62">
        <f t="shared" si="8"/>
        <v>713.56733577681007</v>
      </c>
      <c r="BI38" s="62">
        <f ca="1">AVERAGE(OFFSET($BH$3,0,0,'Données projet'!$E$11+1,1))-AVERAGE(OFFSET($H$3,0,0,'Données projet'!$E$11+1,1))</f>
        <v>303.33040062722074</v>
      </c>
      <c r="BJ38" s="62">
        <f t="shared" si="38"/>
        <v>425.30058672361548</v>
      </c>
      <c r="BK38" s="16">
        <f>IF(ISNA(VLOOKUP(A38,'Données projet'!$A$87:$I$107,3,0)),0,VLOOKUP(A38,'Données projet'!$A$87:$I$107,3,0))</f>
        <v>5</v>
      </c>
      <c r="BL38" s="16">
        <f>IF(ISNA(VLOOKUP(A38,'Données projet'!$A$87:$I$107,4,0)),0,VLOOKUP(A38,'Données projet'!$A$87:$I$107,4,0))</f>
        <v>49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16.595035092592777</v>
      </c>
      <c r="BR38" s="23">
        <f>EXP(-LN(2)/2)*BR37+(1-EXP(-LN(2)/2))/(LN(2)/2)*BL38*BO38*VLOOKUP('Données projet'!$B$11,Paramètres!$A$1:$I$89,3,0)*0.475*44/12</f>
        <v>2.9725015981336194</v>
      </c>
      <c r="BS38" s="24">
        <f t="shared" si="9"/>
        <v>19.567536690726396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11.4</v>
      </c>
      <c r="N39" s="14">
        <f>IF('Données projet'!$A$36&gt;35,N38+M39-V38,IF(A39&lt;'Données projet'!$A$36,$K$205^A39,IF(A39='Données projet'!$A$36,'Données projet'!$B$36,N38+M39-V38)))</f>
        <v>182.39999999999992</v>
      </c>
      <c r="O39" s="14">
        <f>N39*VLOOKUP('Données projet'!$B$9,Paramètres!$A$1:$I$89,3,0)*VLOOKUP('Données projet'!$B$9,Paramètres!$A$1:$I$89,5,0)</f>
        <v>145.11743999999993</v>
      </c>
      <c r="P39" s="14">
        <f t="shared" si="33"/>
        <v>37.466878406916173</v>
      </c>
      <c r="Q39" s="22">
        <f t="shared" si="53"/>
        <v>318.00102122537891</v>
      </c>
      <c r="R39" s="62">
        <f t="shared" si="0"/>
        <v>611.33435455871222</v>
      </c>
      <c r="S39" s="62">
        <f ca="1">AVERAGE(OFFSET($R$3,0,0,'Données projet'!$E$9+1,1))-AVERAGE(OFFSET($H$3,0,0,'Données projet'!$E$9+1,1))</f>
        <v>354.56491118410622</v>
      </c>
      <c r="T39" s="62">
        <f t="shared" si="34"/>
        <v>343.77208530767069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21.737013307182419</v>
      </c>
      <c r="AB39" s="23">
        <f>EXP(-LN(2)/2)*AB38+(1-EXP(-LN(2)/2))/(LN(2)/2)*V39*Y39*VLOOKUP('Données projet'!$B$9,Paramètres!$A$1:$I$89,3,0)*0.475*44/12</f>
        <v>1.6754868542382366</v>
      </c>
      <c r="AC39" s="24">
        <f t="shared" si="3"/>
        <v>23.412500161420656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13.2</v>
      </c>
      <c r="AI39" s="14">
        <f>IF('Données projet'!$A$62&gt;35,AI38+AH39-AQ38,IF(A39&lt;'Données projet'!$A$62,$AF$205^A39,IF(A39='Données projet'!$A$62,'Données projet'!$B$62,AI38+AH39-AQ38)))</f>
        <v>210.2</v>
      </c>
      <c r="AJ39" s="14">
        <f>AI39*VLOOKUP('Données projet'!$B$10,Paramètres!$A$1:$I$89,3,0)*VLOOKUP('Données projet'!$B$10,Paramètres!$A$1:$I$89,5,0)</f>
        <v>154.11863999999997</v>
      </c>
      <c r="AK39" s="14">
        <f t="shared" si="35"/>
        <v>39.513080685376593</v>
      </c>
      <c r="AL39" s="22">
        <f t="shared" si="4"/>
        <v>337.24191352703082</v>
      </c>
      <c r="AM39" s="62">
        <f t="shared" si="5"/>
        <v>630.57524686036413</v>
      </c>
      <c r="AN39" s="62">
        <f ca="1">AVERAGE(OFFSET($AM$3,0,0,'Données projet'!$E$10+1,1))-AVERAGE(OFFSET($H$3,0,0,'Données projet'!$E$10+1,1))</f>
        <v>380.01621935031324</v>
      </c>
      <c r="AO39" s="62">
        <f t="shared" si="36"/>
        <v>365.76175372075869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19.782266903850029</v>
      </c>
      <c r="AW39" s="23">
        <f>EXP(-LN(2)/2)*AW38+(1-EXP(-LN(2)/2))/(LN(2)/2)*AQ39*AT39*VLOOKUP('Données projet'!$B$10,Paramètres!$A$1:$I$89,3,0)*0.475*44/12</f>
        <v>1.8539231922579034</v>
      </c>
      <c r="AX39" s="23">
        <f t="shared" si="6"/>
        <v>21.636190096107931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12.2</v>
      </c>
      <c r="BD39" s="13">
        <f>IF('Données projet'!$A$88&gt;35,BD38+BC39-BL38,IF(A39&lt;'Données projet'!$A$88,$BA$205^A39,IF(A39='Données projet'!$A$88,'Données projet'!$B$88,BD38+BC39-BL38)))</f>
        <v>184.2</v>
      </c>
      <c r="BE39" s="14">
        <f>BD39*VLOOKUP('Données projet'!$B$11,Paramètres!$A$1:$I$89,3,0)*VLOOKUP('Données projet'!$B$11,Paramètres!$A$1:$I$89,5,0)</f>
        <v>160.91712000000001</v>
      </c>
      <c r="BF39" s="14">
        <f t="shared" si="37"/>
        <v>41.049305520788089</v>
      </c>
      <c r="BG39" s="22">
        <f t="shared" si="7"/>
        <v>351.75819111537254</v>
      </c>
      <c r="BH39" s="62">
        <f t="shared" si="8"/>
        <v>645.09152444870585</v>
      </c>
      <c r="BI39" s="62">
        <f ca="1">AVERAGE(OFFSET($BH$3,0,0,'Données projet'!$E$11+1,1))-AVERAGE(OFFSET($H$3,0,0,'Données projet'!$E$11+1,1))</f>
        <v>303.33040062722074</v>
      </c>
      <c r="BJ39" s="62">
        <f t="shared" si="38"/>
        <v>425.30058672361548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16.141242985290862</v>
      </c>
      <c r="BR39" s="23">
        <f>EXP(-LN(2)/2)*BR38+(1-EXP(-LN(2)/2))/(LN(2)/2)*BL39*BO39*VLOOKUP('Données projet'!$B$11,Paramètres!$A$1:$I$89,3,0)*0.475*44/12</f>
        <v>2.101876037128132</v>
      </c>
      <c r="BS39" s="24">
        <f t="shared" si="9"/>
        <v>18.243119022418995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11.4</v>
      </c>
      <c r="N40" s="14">
        <f>IF('Données projet'!$A$36&gt;35,N39+M40-V39,IF(A40&lt;'Données projet'!$A$36,$K$205^A40,IF(A40='Données projet'!$A$36,'Données projet'!$B$36,N39+M40-V39)))</f>
        <v>193.79999999999993</v>
      </c>
      <c r="O40" s="14">
        <f>N40*VLOOKUP('Données projet'!$B$9,Paramètres!$A$1:$I$89,3,0)*VLOOKUP('Données projet'!$B$9,Paramètres!$A$1:$I$89,5,0)</f>
        <v>154.18727999999996</v>
      </c>
      <c r="P40" s="14">
        <f t="shared" si="33"/>
        <v>39.528629863903078</v>
      </c>
      <c r="Q40" s="22">
        <f t="shared" si="53"/>
        <v>337.38854301296448</v>
      </c>
      <c r="R40" s="62">
        <f t="shared" si="0"/>
        <v>630.72187634629779</v>
      </c>
      <c r="S40" s="62">
        <f ca="1">AVERAGE(OFFSET($R$3,0,0,'Données projet'!$E$9+1,1))-AVERAGE(OFFSET($H$3,0,0,'Données projet'!$E$9+1,1))</f>
        <v>354.56491118410622</v>
      </c>
      <c r="T40" s="62">
        <f t="shared" si="34"/>
        <v>343.77208530767069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21.142613535197668</v>
      </c>
      <c r="AB40" s="23">
        <f>EXP(-LN(2)/2)*AB39+(1-EXP(-LN(2)/2))/(LN(2)/2)*V40*Y40*VLOOKUP('Données projet'!$B$9,Paramètres!$A$1:$I$89,3,0)*0.475*44/12</f>
        <v>1.1847481164207736</v>
      </c>
      <c r="AC40" s="24">
        <f t="shared" si="3"/>
        <v>22.327361651618443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13.2</v>
      </c>
      <c r="AI40" s="14">
        <f>IF('Données projet'!$A$62&gt;35,AI39+AH40-AQ39,IF(A40&lt;'Données projet'!$A$62,$AF$205^A40,IF(A40='Données projet'!$A$62,'Données projet'!$B$62,AI39+AH40-AQ39)))</f>
        <v>223.39999999999998</v>
      </c>
      <c r="AJ40" s="14">
        <f>AI40*VLOOKUP('Données projet'!$B$10,Paramètres!$A$1:$I$89,3,0)*VLOOKUP('Données projet'!$B$10,Paramètres!$A$1:$I$89,5,0)</f>
        <v>163.79687999999999</v>
      </c>
      <c r="AK40" s="14">
        <f t="shared" si="35"/>
        <v>41.697739822198329</v>
      </c>
      <c r="AL40" s="22">
        <f t="shared" si="4"/>
        <v>357.90312952366207</v>
      </c>
      <c r="AM40" s="62">
        <f t="shared" si="5"/>
        <v>651.23646285699533</v>
      </c>
      <c r="AN40" s="62">
        <f ca="1">AVERAGE(OFFSET($AM$3,0,0,'Données projet'!$E$10+1,1))-AVERAGE(OFFSET($H$3,0,0,'Données projet'!$E$10+1,1))</f>
        <v>380.01621935031324</v>
      </c>
      <c r="AO40" s="62">
        <f t="shared" si="36"/>
        <v>365.76175372075869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19.241319775060045</v>
      </c>
      <c r="AW40" s="23">
        <f>EXP(-LN(2)/2)*AW39+(1-EXP(-LN(2)/2))/(LN(2)/2)*AQ40*AT40*VLOOKUP('Données projet'!$B$10,Paramètres!$A$1:$I$89,3,0)*0.475*44/12</f>
        <v>1.3109216610445751</v>
      </c>
      <c r="AX40" s="23">
        <f t="shared" si="6"/>
        <v>20.55224143610462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12.2</v>
      </c>
      <c r="BD40" s="13">
        <f>IF('Données projet'!$A$88&gt;35,BD39+BC40-BL39,IF(A40&lt;'Données projet'!$A$88,$BA$205^A40,IF(A40='Données projet'!$A$88,'Données projet'!$B$88,BD39+BC40-BL39)))</f>
        <v>196.39999999999998</v>
      </c>
      <c r="BE40" s="14">
        <f>BD40*VLOOKUP('Données projet'!$B$11,Paramètres!$A$1:$I$89,3,0)*VLOOKUP('Données projet'!$B$11,Paramètres!$A$1:$I$89,5,0)</f>
        <v>171.57504</v>
      </c>
      <c r="BF40" s="14">
        <f t="shared" si="37"/>
        <v>43.44259058996105</v>
      </c>
      <c r="BG40" s="22">
        <f t="shared" si="7"/>
        <v>374.48903994418214</v>
      </c>
      <c r="BH40" s="62">
        <f t="shared" si="8"/>
        <v>667.82237327751545</v>
      </c>
      <c r="BI40" s="62">
        <f ca="1">AVERAGE(OFFSET($BH$3,0,0,'Données projet'!$E$11+1,1))-AVERAGE(OFFSET($H$3,0,0,'Données projet'!$E$11+1,1))</f>
        <v>303.33040062722074</v>
      </c>
      <c r="BJ40" s="62">
        <f t="shared" si="38"/>
        <v>425.30058672361548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15.699859847027007</v>
      </c>
      <c r="BR40" s="23">
        <f>EXP(-LN(2)/2)*BR39+(1-EXP(-LN(2)/2))/(LN(2)/2)*BL40*BO40*VLOOKUP('Données projet'!$B$11,Paramètres!$A$1:$I$89,3,0)*0.475*44/12</f>
        <v>1.4862507990668097</v>
      </c>
      <c r="BS40" s="24">
        <f t="shared" si="9"/>
        <v>17.186110646093816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11.4</v>
      </c>
      <c r="N41" s="14">
        <f>IF('Données projet'!$A$36&gt;35,N40+M41-V40,IF(A41&lt;'Données projet'!$A$36,$K$205^A41,IF(A41='Données projet'!$A$36,'Données projet'!$B$36,N40+M41-V40)))</f>
        <v>205.19999999999993</v>
      </c>
      <c r="O41" s="14">
        <f>N41*VLOOKUP('Données projet'!$B$9,Paramètres!$A$1:$I$89,3,0)*VLOOKUP('Données projet'!$B$9,Paramètres!$A$1:$I$89,5,0)</f>
        <v>163.25711999999996</v>
      </c>
      <c r="P41" s="14">
        <f t="shared" si="33"/>
        <v>41.576304038313033</v>
      </c>
      <c r="Q41" s="22">
        <f t="shared" si="53"/>
        <v>356.7515468667284</v>
      </c>
      <c r="R41" s="62">
        <f t="shared" si="0"/>
        <v>650.08488020006166</v>
      </c>
      <c r="S41" s="62">
        <f ca="1">AVERAGE(OFFSET($R$3,0,0,'Données projet'!$E$9+1,1))-AVERAGE(OFFSET($H$3,0,0,'Données projet'!$E$9+1,1))</f>
        <v>354.56491118410622</v>
      </c>
      <c r="T41" s="62">
        <f t="shared" si="34"/>
        <v>343.77208530767069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20.564467656235966</v>
      </c>
      <c r="AB41" s="23">
        <f>EXP(-LN(2)/2)*AB40+(1-EXP(-LN(2)/2))/(LN(2)/2)*V41*Y41*VLOOKUP('Données projet'!$B$9,Paramètres!$A$1:$I$89,3,0)*0.475*44/12</f>
        <v>0.83774342711911831</v>
      </c>
      <c r="AC41" s="24">
        <f t="shared" si="3"/>
        <v>21.402211083355084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13.2</v>
      </c>
      <c r="AI41" s="14">
        <f>IF('Données projet'!$A$62&gt;35,AI40+AH41-AQ40,IF(A41&lt;'Données projet'!$A$62,$AF$205^A41,IF(A41='Données projet'!$A$62,'Données projet'!$B$62,AI40+AH41-AQ40)))</f>
        <v>236.59999999999997</v>
      </c>
      <c r="AJ41" s="14">
        <f>AI41*VLOOKUP('Données projet'!$B$10,Paramètres!$A$1:$I$89,3,0)*VLOOKUP('Données projet'!$B$10,Paramètres!$A$1:$I$89,5,0)</f>
        <v>173.47511999999998</v>
      </c>
      <c r="AK41" s="14">
        <f t="shared" si="35"/>
        <v>43.867415861334891</v>
      </c>
      <c r="AL41" s="22">
        <f t="shared" si="4"/>
        <v>378.53824995849158</v>
      </c>
      <c r="AM41" s="62">
        <f t="shared" si="5"/>
        <v>671.87158329182489</v>
      </c>
      <c r="AN41" s="62">
        <f ca="1">AVERAGE(OFFSET($AM$3,0,0,'Données projet'!$E$10+1,1))-AVERAGE(OFFSET($H$3,0,0,'Données projet'!$E$10+1,1))</f>
        <v>380.01621935031324</v>
      </c>
      <c r="AO41" s="62">
        <f t="shared" si="36"/>
        <v>365.76175372075869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18.715164873953999</v>
      </c>
      <c r="AW41" s="23">
        <f>EXP(-LN(2)/2)*AW40+(1-EXP(-LN(2)/2))/(LN(2)/2)*AQ41*AT41*VLOOKUP('Données projet'!$B$10,Paramètres!$A$1:$I$89,3,0)*0.475*44/12</f>
        <v>0.92696159612895179</v>
      </c>
      <c r="AX41" s="23">
        <f t="shared" si="6"/>
        <v>19.64212647008295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12.2</v>
      </c>
      <c r="BD41" s="13">
        <f>IF('Données projet'!$A$88&gt;35,BD40+BC41-BL40,IF(A41&lt;'Données projet'!$A$88,$BA$205^A41,IF(A41='Données projet'!$A$88,'Données projet'!$B$88,BD40+BC41-BL40)))</f>
        <v>208.59999999999997</v>
      </c>
      <c r="BE41" s="14">
        <f>BD41*VLOOKUP('Données projet'!$B$11,Paramètres!$A$1:$I$89,3,0)*VLOOKUP('Données projet'!$B$11,Paramètres!$A$1:$I$89,5,0)</f>
        <v>182.23295999999999</v>
      </c>
      <c r="BF41" s="14">
        <f t="shared" si="37"/>
        <v>45.818621592366291</v>
      </c>
      <c r="BG41" s="22">
        <f t="shared" si="7"/>
        <v>397.18983794003793</v>
      </c>
      <c r="BH41" s="62">
        <f t="shared" si="8"/>
        <v>690.52317127337119</v>
      </c>
      <c r="BI41" s="62">
        <f ca="1">AVERAGE(OFFSET($BH$3,0,0,'Données projet'!$E$11+1,1))-AVERAGE(OFFSET($H$3,0,0,'Données projet'!$E$11+1,1))</f>
        <v>303.33040062722074</v>
      </c>
      <c r="BJ41" s="62">
        <f t="shared" si="38"/>
        <v>425.30058672361548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15.270546353890307</v>
      </c>
      <c r="BR41" s="23">
        <f>EXP(-LN(2)/2)*BR40+(1-EXP(-LN(2)/2))/(LN(2)/2)*BL41*BO41*VLOOKUP('Données projet'!$B$11,Paramètres!$A$1:$I$89,3,0)*0.475*44/12</f>
        <v>1.050938018564066</v>
      </c>
      <c r="BS41" s="24">
        <f t="shared" si="9"/>
        <v>16.321484372454371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11.4</v>
      </c>
      <c r="N42" s="14">
        <f>IF('Données projet'!$A$36&gt;35,N41+M42-V41,IF(A42&lt;'Données projet'!$A$36,$K$205^A42,IF(A42='Données projet'!$A$36,'Données projet'!$B$36,N41+M42-V41)))</f>
        <v>216.59999999999994</v>
      </c>
      <c r="O42" s="14">
        <f>N42*VLOOKUP('Données projet'!$B$9,Paramètres!$A$1:$I$89,3,0)*VLOOKUP('Données projet'!$B$9,Paramètres!$A$1:$I$89,5,0)</f>
        <v>172.32695999999996</v>
      </c>
      <c r="P42" s="14">
        <f t="shared" si="33"/>
        <v>43.610772138081288</v>
      </c>
      <c r="Q42" s="22">
        <f t="shared" si="53"/>
        <v>376.09155014049139</v>
      </c>
      <c r="R42" s="62">
        <f t="shared" si="0"/>
        <v>669.42488347382471</v>
      </c>
      <c r="S42" s="62">
        <f ca="1">AVERAGE(OFFSET($R$3,0,0,'Données projet'!$E$9+1,1))-AVERAGE(OFFSET($H$3,0,0,'Données projet'!$E$9+1,1))</f>
        <v>354.56491118410622</v>
      </c>
      <c r="T42" s="62">
        <f t="shared" si="34"/>
        <v>343.77208530767069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20.00213120673784</v>
      </c>
      <c r="AB42" s="23">
        <f>EXP(-LN(2)/2)*AB41+(1-EXP(-LN(2)/2))/(LN(2)/2)*V42*Y42*VLOOKUP('Données projet'!$B$9,Paramètres!$A$1:$I$89,3,0)*0.475*44/12</f>
        <v>0.5923740582103868</v>
      </c>
      <c r="AC42" s="24">
        <f t="shared" si="3"/>
        <v>20.594505264948225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13.2</v>
      </c>
      <c r="AI42" s="14">
        <f>IF('Données projet'!$A$62&gt;35,AI41+AH42-AQ41,IF(A42&lt;'Données projet'!$A$62,$AF$205^A42,IF(A42='Données projet'!$A$62,'Données projet'!$B$62,AI41+AH42-AQ41)))</f>
        <v>249.79999999999995</v>
      </c>
      <c r="AJ42" s="14">
        <f>AI42*VLOOKUP('Données projet'!$B$10,Paramètres!$A$1:$I$89,3,0)*VLOOKUP('Données projet'!$B$10,Paramètres!$A$1:$I$89,5,0)</f>
        <v>183.15335999999996</v>
      </c>
      <c r="AK42" s="14">
        <f t="shared" si="35"/>
        <v>46.023039984246878</v>
      </c>
      <c r="AL42" s="22">
        <f t="shared" si="4"/>
        <v>399.14889663922986</v>
      </c>
      <c r="AM42" s="62">
        <f t="shared" si="5"/>
        <v>692.48222997256312</v>
      </c>
      <c r="AN42" s="62">
        <f ca="1">AVERAGE(OFFSET($AM$3,0,0,'Données projet'!$E$10+1,1))-AVERAGE(OFFSET($H$3,0,0,'Données projet'!$E$10+1,1))</f>
        <v>380.01621935031324</v>
      </c>
      <c r="AO42" s="62">
        <f t="shared" si="36"/>
        <v>365.76175372075869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18.20339770628798</v>
      </c>
      <c r="AW42" s="23">
        <f>EXP(-LN(2)/2)*AW41+(1-EXP(-LN(2)/2))/(LN(2)/2)*AQ42*AT42*VLOOKUP('Données projet'!$B$10,Paramètres!$A$1:$I$89,3,0)*0.475*44/12</f>
        <v>0.65546083052228765</v>
      </c>
      <c r="AX42" s="23">
        <f t="shared" si="6"/>
        <v>18.858858536810267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12.2</v>
      </c>
      <c r="BD42" s="13">
        <f>IF('Données projet'!$A$88&gt;35,BD41+BC42-BL41,IF(A42&lt;'Données projet'!$A$88,$BA$205^A42,IF(A42='Données projet'!$A$88,'Données projet'!$B$88,BD41+BC42-BL41)))</f>
        <v>220.79999999999995</v>
      </c>
      <c r="BE42" s="14">
        <f>BD42*VLOOKUP('Données projet'!$B$11,Paramètres!$A$1:$I$89,3,0)*VLOOKUP('Données projet'!$B$11,Paramètres!$A$1:$I$89,5,0)</f>
        <v>192.89087999999998</v>
      </c>
      <c r="BF42" s="14">
        <f t="shared" si="37"/>
        <v>48.178522586846704</v>
      </c>
      <c r="BG42" s="22">
        <f t="shared" si="7"/>
        <v>419.86254283875792</v>
      </c>
      <c r="BH42" s="62">
        <f t="shared" si="8"/>
        <v>713.19587617209118</v>
      </c>
      <c r="BI42" s="62">
        <f ca="1">AVERAGE(OFFSET($BH$3,0,0,'Données projet'!$E$11+1,1))-AVERAGE(OFFSET($H$3,0,0,'Données projet'!$E$11+1,1))</f>
        <v>303.33040062722074</v>
      </c>
      <c r="BJ42" s="62">
        <f t="shared" si="38"/>
        <v>425.30058672361548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14.852972460800045</v>
      </c>
      <c r="BR42" s="23">
        <f>EXP(-LN(2)/2)*BR41+(1-EXP(-LN(2)/2))/(LN(2)/2)*BL42*BO42*VLOOKUP('Données projet'!$B$11,Paramètres!$A$1:$I$89,3,0)*0.475*44/12</f>
        <v>0.74312539953340484</v>
      </c>
      <c r="BS42" s="24">
        <f t="shared" si="9"/>
        <v>15.596097860333449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228</v>
      </c>
      <c r="L43" s="13">
        <f>VLOOKUP(A43,'Données projet'!$A$35:$I$55,9,0)</f>
        <v>11.4</v>
      </c>
      <c r="M43" s="13">
        <f t="array" ref="M43">INDEX(L:L,MIN(IF(ISNUMBER(L43:L239),ROW(L43:L239),"")))</f>
        <v>11.4</v>
      </c>
      <c r="N43" s="14">
        <f>IF('Données projet'!$A$36&gt;35,N42+M43-V42,IF(A43&lt;'Données projet'!$A$36,$K$205^A43,IF(A43='Données projet'!$A$36,'Données projet'!$B$36,N42+M43-V42)))</f>
        <v>227.99999999999994</v>
      </c>
      <c r="O43" s="14">
        <f>N43*VLOOKUP('Données projet'!$B$9,Paramètres!$A$1:$I$89,3,0)*VLOOKUP('Données projet'!$B$9,Paramètres!$A$1:$I$89,5,0)</f>
        <v>181.39679999999996</v>
      </c>
      <c r="P43" s="14">
        <f t="shared" si="33"/>
        <v>45.63280848550832</v>
      </c>
      <c r="Q43" s="22">
        <f t="shared" si="53"/>
        <v>395.40990144559356</v>
      </c>
      <c r="R43" s="62">
        <f t="shared" si="0"/>
        <v>688.74323477892688</v>
      </c>
      <c r="S43" s="62">
        <f ca="1">AVERAGE(OFFSET($R$3,0,0,'Données projet'!$E$9+1,1))-AVERAGE(OFFSET($H$3,0,0,'Données projet'!$E$9+1,1))</f>
        <v>354.56491118410622</v>
      </c>
      <c r="T43" s="62">
        <f t="shared" si="34"/>
        <v>343.77208530767069</v>
      </c>
      <c r="U43" s="16">
        <f>IF(ISNA(VLOOKUP(A43,'Données projet'!$A$35:$I$55,3,0)),0,VLOOKUP(A43,'Données projet'!$A$35:$I$55,3,0))</f>
        <v>7</v>
      </c>
      <c r="V43" s="16">
        <f>IF(ISNA(VLOOKUP(A43,'Données projet'!$A$35:$I$55,4,0)),0,VLOOKUP(A43,'Données projet'!$A$35:$I$55,4,0))</f>
        <v>35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19.455171877023229</v>
      </c>
      <c r="AB43" s="23">
        <f>EXP(-LN(2)/2)*AB42+(1-EXP(-LN(2)/2))/(LN(2)/2)*V43*Y43*VLOOKUP('Données projet'!$B$9,Paramètres!$A$1:$I$89,3,0)*0.475*44/12</f>
        <v>0.41887171355955916</v>
      </c>
      <c r="AC43" s="24">
        <f t="shared" si="3"/>
        <v>19.874043590582787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263</v>
      </c>
      <c r="AG43" s="13">
        <f>VLOOKUP(A43,'Données projet'!$A$61:$I$81,9,0)</f>
        <v>13.2</v>
      </c>
      <c r="AH43" s="13">
        <f t="array" ref="AH43">INDEX(AG:AG,MIN(IF(ISNUMBER(AG43:AG239),ROW(AG43:AG239),"")))</f>
        <v>13.2</v>
      </c>
      <c r="AI43" s="14">
        <f>IF('Données projet'!$A$62&gt;35,AI42+AH43-AQ42,IF(A43&lt;'Données projet'!$A$62,$AF$205^A43,IF(A43='Données projet'!$A$62,'Données projet'!$B$62,AI42+AH43-AQ42)))</f>
        <v>262.99999999999994</v>
      </c>
      <c r="AJ43" s="14">
        <f>AI43*VLOOKUP('Données projet'!$B$10,Paramètres!$A$1:$I$89,3,0)*VLOOKUP('Données projet'!$B$10,Paramètres!$A$1:$I$89,5,0)</f>
        <v>192.83159999999995</v>
      </c>
      <c r="AK43" s="14">
        <f t="shared" si="35"/>
        <v>48.165439402688818</v>
      </c>
      <c r="AL43" s="22">
        <f t="shared" si="4"/>
        <v>419.73651029301618</v>
      </c>
      <c r="AM43" s="62">
        <f t="shared" si="5"/>
        <v>713.06984362634944</v>
      </c>
      <c r="AN43" s="62">
        <f ca="1">AVERAGE(OFFSET($AM$3,0,0,'Données projet'!$E$10+1,1))-AVERAGE(OFFSET($H$3,0,0,'Données projet'!$E$10+1,1))</f>
        <v>380.01621935031324</v>
      </c>
      <c r="AO43" s="62">
        <f t="shared" si="36"/>
        <v>365.76175372075869</v>
      </c>
      <c r="AP43" s="16">
        <f>IF(ISNA(VLOOKUP(A43,'Données projet'!$A$61:$I$81,3,0)),0,VLOOKUP(A43,'Données projet'!$A$61:$I$81,3,0))</f>
        <v>7</v>
      </c>
      <c r="AQ43" s="16">
        <f>IF(ISNA(VLOOKUP(A43,'Données projet'!$A$61:$I$81,4,0)),0,VLOOKUP(A43,'Données projet'!$A$61:$I$81,4,0))</f>
        <v>40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17.705624838734455</v>
      </c>
      <c r="AW43" s="23">
        <f>EXP(-LN(2)/2)*AW42+(1-EXP(-LN(2)/2))/(LN(2)/2)*AQ43*AT43*VLOOKUP('Données projet'!$B$10,Paramètres!$A$1:$I$89,3,0)*0.475*44/12</f>
        <v>0.46348079806447601</v>
      </c>
      <c r="AX43" s="23">
        <f t="shared" si="6"/>
        <v>18.169105636798932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233</v>
      </c>
      <c r="BB43" s="13">
        <f>VLOOKUP(A43,'Données projet'!$A$87:$I$107,9,0)</f>
        <v>12.2</v>
      </c>
      <c r="BC43" s="13">
        <f t="array" ref="BC43">INDEX(BB:BB,MIN(IF(ISNUMBER(BB43:BB239),ROW(BB43:BB239),"")))</f>
        <v>12.2</v>
      </c>
      <c r="BD43" s="13">
        <f>IF('Données projet'!$A$88&gt;35,BD42+BC43-BL42,IF(A43&lt;'Données projet'!$A$88,$BA$205^A43,IF(A43='Données projet'!$A$88,'Données projet'!$B$88,BD42+BC43-BL42)))</f>
        <v>232.99999999999994</v>
      </c>
      <c r="BE43" s="14">
        <f>BD43*VLOOKUP('Données projet'!$B$11,Paramètres!$A$1:$I$89,3,0)*VLOOKUP('Données projet'!$B$11,Paramètres!$A$1:$I$89,5,0)</f>
        <v>203.5488</v>
      </c>
      <c r="BF43" s="14">
        <f t="shared" si="37"/>
        <v>50.523286400023487</v>
      </c>
      <c r="BG43" s="22">
        <f t="shared" si="7"/>
        <v>442.50888381337427</v>
      </c>
      <c r="BH43" s="62">
        <f t="shared" si="8"/>
        <v>735.84221714670753</v>
      </c>
      <c r="BI43" s="62">
        <f ca="1">AVERAGE(OFFSET($BH$3,0,0,'Données projet'!$E$11+1,1))-AVERAGE(OFFSET($H$3,0,0,'Données projet'!$E$11+1,1))</f>
        <v>303.33040062722074</v>
      </c>
      <c r="BJ43" s="62">
        <f t="shared" si="38"/>
        <v>425.30058672361548</v>
      </c>
      <c r="BK43" s="16">
        <f>IF(ISNA(VLOOKUP(A43,'Données projet'!$A$87:$I$107,3,0)),0,VLOOKUP(A43,'Données projet'!$A$87:$I$107,3,0))</f>
        <v>6</v>
      </c>
      <c r="BL43" s="16">
        <f>IF(ISNA(VLOOKUP(A43,'Données projet'!$A$87:$I$107,4,0)),0,VLOOKUP(A43,'Données projet'!$A$87:$I$107,4,0))</f>
        <v>45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14.446817147775592</v>
      </c>
      <c r="BR43" s="23">
        <f>EXP(-LN(2)/2)*BR42+(1-EXP(-LN(2)/2))/(LN(2)/2)*BL43*BO43*VLOOKUP('Données projet'!$B$11,Paramètres!$A$1:$I$89,3,0)*0.475*44/12</f>
        <v>0.52546900928203299</v>
      </c>
      <c r="BS43" s="24">
        <f t="shared" si="9"/>
        <v>14.972286157057624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9.8000000000000007</v>
      </c>
      <c r="N44" s="14">
        <f>IF('Données projet'!$A$36&gt;35,N43+M44-V43,IF(A44&lt;'Données projet'!$A$36,$K$205^A44,IF(A44='Données projet'!$A$36,'Données projet'!$B$36,N43+M44-V43)))</f>
        <v>202.79999999999995</v>
      </c>
      <c r="O44" s="14">
        <f>N44*VLOOKUP('Données projet'!$B$9,Paramètres!$A$1:$I$89,3,0)*VLOOKUP('Données projet'!$B$9,Paramètres!$A$1:$I$89,5,0)</f>
        <v>161.34767999999997</v>
      </c>
      <c r="P44" s="14">
        <f t="shared" si="33"/>
        <v>41.146339844316657</v>
      </c>
      <c r="Q44" s="22">
        <f t="shared" si="53"/>
        <v>352.67708456218475</v>
      </c>
      <c r="R44" s="62">
        <f t="shared" si="0"/>
        <v>646.010417895518</v>
      </c>
      <c r="S44" s="62">
        <f ca="1">AVERAGE(OFFSET($R$3,0,0,'Données projet'!$E$9+1,1))-AVERAGE(OFFSET($H$3,0,0,'Données projet'!$E$9+1,1))</f>
        <v>354.56491118410622</v>
      </c>
      <c r="T44" s="62">
        <f t="shared" si="34"/>
        <v>343.77208530767069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18.923169178943006</v>
      </c>
      <c r="AB44" s="23">
        <f>EXP(-LN(2)/2)*AB43+(1-EXP(-LN(2)/2))/(LN(2)/2)*V44*Y44*VLOOKUP('Données projet'!$B$9,Paramètres!$A$1:$I$89,3,0)*0.475*44/12</f>
        <v>0.2961870291051934</v>
      </c>
      <c r="AC44" s="24">
        <f t="shared" si="3"/>
        <v>19.2193562080482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11.4</v>
      </c>
      <c r="AI44" s="14">
        <f>IF('Données projet'!$A$62&gt;35,AI43+AH44-AQ43,IF(A44&lt;'Données projet'!$A$62,$AF$205^A44,IF(A44='Données projet'!$A$62,'Données projet'!$B$62,AI43+AH44-AQ43)))</f>
        <v>234.39999999999992</v>
      </c>
      <c r="AJ44" s="14">
        <f>AI44*VLOOKUP('Données projet'!$B$10,Paramètres!$A$1:$I$89,3,0)*VLOOKUP('Données projet'!$B$10,Paramètres!$A$1:$I$89,5,0)</f>
        <v>171.86207999999993</v>
      </c>
      <c r="AK44" s="14">
        <f t="shared" si="35"/>
        <v>43.506802778694762</v>
      </c>
      <c r="AL44" s="22">
        <f t="shared" si="4"/>
        <v>375.10080417289322</v>
      </c>
      <c r="AM44" s="62">
        <f t="shared" si="5"/>
        <v>668.43413750622653</v>
      </c>
      <c r="AN44" s="62">
        <f ca="1">AVERAGE(OFFSET($AM$3,0,0,'Données projet'!$E$10+1,1))-AVERAGE(OFFSET($H$3,0,0,'Données projet'!$E$10+1,1))</f>
        <v>380.01621935031324</v>
      </c>
      <c r="AO44" s="62">
        <f t="shared" si="36"/>
        <v>365.76175372075869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17.221463596420918</v>
      </c>
      <c r="AW44" s="23">
        <f>EXP(-LN(2)/2)*AW43+(1-EXP(-LN(2)/2))/(LN(2)/2)*AQ44*AT44*VLOOKUP('Données projet'!$B$10,Paramètres!$A$1:$I$89,3,0)*0.475*44/12</f>
        <v>0.32773041526114388</v>
      </c>
      <c r="AX44" s="23">
        <f t="shared" si="6"/>
        <v>17.549194011682062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11.2</v>
      </c>
      <c r="BD44" s="13">
        <f>IF('Données projet'!$A$88&gt;35,BD43+BC44-BL43,IF(A44&lt;'Données projet'!$A$88,$BA$205^A44,IF(A44='Données projet'!$A$88,'Données projet'!$B$88,BD43+BC44-BL43)))</f>
        <v>199.19999999999993</v>
      </c>
      <c r="BE44" s="14">
        <f>BD44*VLOOKUP('Données projet'!$B$11,Paramètres!$A$1:$I$89,3,0)*VLOOKUP('Données projet'!$B$11,Paramètres!$A$1:$I$89,5,0)</f>
        <v>174.02111999999997</v>
      </c>
      <c r="BF44" s="14">
        <f t="shared" si="37"/>
        <v>43.989391678613877</v>
      </c>
      <c r="BG44" s="22">
        <f t="shared" si="7"/>
        <v>379.70164117358576</v>
      </c>
      <c r="BH44" s="62">
        <f t="shared" si="8"/>
        <v>673.03497450691907</v>
      </c>
      <c r="BI44" s="62">
        <f ca="1">AVERAGE(OFFSET($BH$3,0,0,'Données projet'!$E$11+1,1))-AVERAGE(OFFSET($H$3,0,0,'Données projet'!$E$11+1,1))</f>
        <v>303.33040062722074</v>
      </c>
      <c r="BJ44" s="62">
        <f t="shared" si="38"/>
        <v>425.30058672361548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14.051768173144573</v>
      </c>
      <c r="BR44" s="23">
        <f>EXP(-LN(2)/2)*BR43+(1-EXP(-LN(2)/2))/(LN(2)/2)*BL44*BO44*VLOOKUP('Données projet'!$B$11,Paramètres!$A$1:$I$89,3,0)*0.475*44/12</f>
        <v>0.37156269976670242</v>
      </c>
      <c r="BS44" s="24">
        <f t="shared" si="9"/>
        <v>14.423330872911276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9.8000000000000007</v>
      </c>
      <c r="N45" s="14">
        <f>IF('Données projet'!$A$36&gt;35,N44+M45-V44,IF(A45&lt;'Données projet'!$A$36,$K$205^A45,IF(A45='Données projet'!$A$36,'Données projet'!$B$36,N44+M45-V44)))</f>
        <v>212.59999999999997</v>
      </c>
      <c r="O45" s="14">
        <f>N45*VLOOKUP('Données projet'!$B$9,Paramètres!$A$1:$I$89,3,0)*VLOOKUP('Données projet'!$B$9,Paramètres!$A$1:$I$89,5,0)</f>
        <v>169.14455999999998</v>
      </c>
      <c r="P45" s="14">
        <f t="shared" si="33"/>
        <v>42.898377267189964</v>
      </c>
      <c r="Q45" s="22">
        <f t="shared" si="53"/>
        <v>369.30811574035579</v>
      </c>
      <c r="R45" s="62">
        <f t="shared" si="0"/>
        <v>662.64144907368905</v>
      </c>
      <c r="S45" s="62">
        <f ca="1">AVERAGE(OFFSET($R$3,0,0,'Données projet'!$E$9+1,1))-AVERAGE(OFFSET($H$3,0,0,'Données projet'!$E$9+1,1))</f>
        <v>354.56491118410622</v>
      </c>
      <c r="T45" s="62">
        <f t="shared" si="34"/>
        <v>343.77208530767069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18.405714122618591</v>
      </c>
      <c r="AB45" s="23">
        <f>EXP(-LN(2)/2)*AB44+(1-EXP(-LN(2)/2))/(LN(2)/2)*V45*Y45*VLOOKUP('Données projet'!$B$9,Paramètres!$A$1:$I$89,3,0)*0.475*44/12</f>
        <v>0.20943585677977958</v>
      </c>
      <c r="AC45" s="24">
        <f t="shared" si="3"/>
        <v>18.615149979398371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11.4</v>
      </c>
      <c r="AI45" s="14">
        <f>IF('Données projet'!$A$62&gt;35,AI44+AH45-AQ44,IF(A45&lt;'Données projet'!$A$62,$AF$205^A45,IF(A45='Données projet'!$A$62,'Données projet'!$B$62,AI44+AH45-AQ44)))</f>
        <v>245.79999999999993</v>
      </c>
      <c r="AJ45" s="14">
        <f>AI45*VLOOKUP('Données projet'!$B$10,Paramètres!$A$1:$I$89,3,0)*VLOOKUP('Données projet'!$B$10,Paramètres!$A$1:$I$89,5,0)</f>
        <v>180.22055999999992</v>
      </c>
      <c r="AK45" s="14">
        <f t="shared" si="35"/>
        <v>45.371253205145926</v>
      </c>
      <c r="AL45" s="22">
        <f t="shared" si="4"/>
        <v>392.90574133229569</v>
      </c>
      <c r="AM45" s="62">
        <f t="shared" si="5"/>
        <v>686.239074665629</v>
      </c>
      <c r="AN45" s="62">
        <f ca="1">AVERAGE(OFFSET($AM$3,0,0,'Données projet'!$E$10+1,1))-AVERAGE(OFFSET($H$3,0,0,'Données projet'!$E$10+1,1))</f>
        <v>380.01621935031324</v>
      </c>
      <c r="AO45" s="62">
        <f t="shared" si="36"/>
        <v>365.76175372075869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16.750541768739378</v>
      </c>
      <c r="AW45" s="23">
        <f>EXP(-LN(2)/2)*AW44+(1-EXP(-LN(2)/2))/(LN(2)/2)*AQ45*AT45*VLOOKUP('Données projet'!$B$10,Paramètres!$A$1:$I$89,3,0)*0.475*44/12</f>
        <v>0.23174039903223803</v>
      </c>
      <c r="AX45" s="23">
        <f t="shared" si="6"/>
        <v>16.982282167771615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11.2</v>
      </c>
      <c r="BD45" s="13">
        <f>IF('Données projet'!$A$88&gt;35,BD44+BC45-BL44,IF(A45&lt;'Données projet'!$A$88,$BA$205^A45,IF(A45='Données projet'!$A$88,'Données projet'!$B$88,BD44+BC45-BL44)))</f>
        <v>210.39999999999992</v>
      </c>
      <c r="BE45" s="14">
        <f>BD45*VLOOKUP('Données projet'!$B$11,Paramètres!$A$1:$I$89,3,0)*VLOOKUP('Données projet'!$B$11,Paramètres!$A$1:$I$89,5,0)</f>
        <v>183.80543999999995</v>
      </c>
      <c r="BF45" s="14">
        <f t="shared" si="37"/>
        <v>46.167792832806036</v>
      </c>
      <c r="BG45" s="22">
        <f t="shared" si="7"/>
        <v>400.53671385047045</v>
      </c>
      <c r="BH45" s="62">
        <f t="shared" si="8"/>
        <v>693.87004718380376</v>
      </c>
      <c r="BI45" s="62">
        <f ca="1">AVERAGE(OFFSET($BH$3,0,0,'Données projet'!$E$11+1,1))-AVERAGE(OFFSET($H$3,0,0,'Données projet'!$E$11+1,1))</f>
        <v>303.33040062722074</v>
      </c>
      <c r="BJ45" s="62">
        <f t="shared" si="38"/>
        <v>425.30058672361548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13.667521833499563</v>
      </c>
      <c r="BR45" s="23">
        <f>EXP(-LN(2)/2)*BR44+(1-EXP(-LN(2)/2))/(LN(2)/2)*BL45*BO45*VLOOKUP('Données projet'!$B$11,Paramètres!$A$1:$I$89,3,0)*0.475*44/12</f>
        <v>0.2627345046410165</v>
      </c>
      <c r="BS45" s="24">
        <f t="shared" si="9"/>
        <v>13.93025633814058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9.8000000000000007</v>
      </c>
      <c r="N46" s="14">
        <f>IF('Données projet'!$A$36&gt;35,N45+M46-V45,IF(A46&lt;'Données projet'!$A$36,$K$205^A46,IF(A46='Données projet'!$A$36,'Données projet'!$B$36,N45+M46-V45)))</f>
        <v>222.39999999999998</v>
      </c>
      <c r="O46" s="14">
        <f>N46*VLOOKUP('Données projet'!$B$9,Paramètres!$A$1:$I$89,3,0)*VLOOKUP('Données projet'!$B$9,Paramètres!$A$1:$I$89,5,0)</f>
        <v>176.94144</v>
      </c>
      <c r="P46" s="14">
        <f t="shared" si="33"/>
        <v>44.641035679901449</v>
      </c>
      <c r="Q46" s="22">
        <f t="shared" si="53"/>
        <v>385.92281180916166</v>
      </c>
      <c r="R46" s="62">
        <f t="shared" si="0"/>
        <v>679.25614514249492</v>
      </c>
      <c r="S46" s="62">
        <f ca="1">AVERAGE(OFFSET($R$3,0,0,'Données projet'!$E$9+1,1))-AVERAGE(OFFSET($H$3,0,0,'Données projet'!$E$9+1,1))</f>
        <v>354.56491118410622</v>
      </c>
      <c r="T46" s="62">
        <f t="shared" si="34"/>
        <v>343.77208530767069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17.902408902021147</v>
      </c>
      <c r="AB46" s="23">
        <f>EXP(-LN(2)/2)*AB45+(1-EXP(-LN(2)/2))/(LN(2)/2)*V46*Y46*VLOOKUP('Données projet'!$B$9,Paramètres!$A$1:$I$89,3,0)*0.475*44/12</f>
        <v>0.1480935145525967</v>
      </c>
      <c r="AC46" s="24">
        <f t="shared" si="3"/>
        <v>18.050502416573742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11.4</v>
      </c>
      <c r="AI46" s="14">
        <f>IF('Données projet'!$A$62&gt;35,AI45+AH46-AQ45,IF(A46&lt;'Données projet'!$A$62,$AF$205^A46,IF(A46='Données projet'!$A$62,'Données projet'!$B$62,AI45+AH46-AQ45)))</f>
        <v>257.19999999999993</v>
      </c>
      <c r="AJ46" s="14">
        <f>AI46*VLOOKUP('Données projet'!$B$10,Paramètres!$A$1:$I$89,3,0)*VLOOKUP('Données projet'!$B$10,Paramètres!$A$1:$I$89,5,0)</f>
        <v>188.57903999999994</v>
      </c>
      <c r="AK46" s="14">
        <f t="shared" si="35"/>
        <v>47.22566164876563</v>
      </c>
      <c r="AL46" s="22">
        <f t="shared" si="4"/>
        <v>410.69318870493333</v>
      </c>
      <c r="AM46" s="62">
        <f t="shared" si="5"/>
        <v>704.02652203826665</v>
      </c>
      <c r="AN46" s="62">
        <f ca="1">AVERAGE(OFFSET($AM$3,0,0,'Données projet'!$E$10+1,1))-AVERAGE(OFFSET($H$3,0,0,'Données projet'!$E$10+1,1))</f>
        <v>380.01621935031324</v>
      </c>
      <c r="AO46" s="62">
        <f t="shared" si="36"/>
        <v>365.76175372075869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16.292497323200493</v>
      </c>
      <c r="AW46" s="23">
        <f>EXP(-LN(2)/2)*AW45+(1-EXP(-LN(2)/2))/(LN(2)/2)*AQ46*AT46*VLOOKUP('Données projet'!$B$10,Paramètres!$A$1:$I$89,3,0)*0.475*44/12</f>
        <v>0.16386520763057197</v>
      </c>
      <c r="AX46" s="23">
        <f t="shared" si="6"/>
        <v>16.456362530831065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11.2</v>
      </c>
      <c r="BD46" s="13">
        <f>IF('Données projet'!$A$88&gt;35,BD45+BC46-BL45,IF(A46&lt;'Données projet'!$A$88,$BA$205^A46,IF(A46='Données projet'!$A$88,'Données projet'!$B$88,BD45+BC46-BL45)))</f>
        <v>221.59999999999991</v>
      </c>
      <c r="BE46" s="14">
        <f>BD46*VLOOKUP('Données projet'!$B$11,Paramètres!$A$1:$I$89,3,0)*VLOOKUP('Données projet'!$B$11,Paramètres!$A$1:$I$89,5,0)</f>
        <v>193.58975999999996</v>
      </c>
      <c r="BF46" s="14">
        <f t="shared" si="37"/>
        <v>48.332731202087039</v>
      </c>
      <c r="BG46" s="22">
        <f t="shared" si="7"/>
        <v>421.34833884363485</v>
      </c>
      <c r="BH46" s="62">
        <f t="shared" si="8"/>
        <v>714.68167217696816</v>
      </c>
      <c r="BI46" s="62">
        <f ca="1">AVERAGE(OFFSET($BH$3,0,0,'Données projet'!$E$11+1,1))-AVERAGE(OFFSET($H$3,0,0,'Données projet'!$E$11+1,1))</f>
        <v>303.33040062722074</v>
      </c>
      <c r="BJ46" s="62">
        <f t="shared" si="38"/>
        <v>425.30058672361548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13.293782730218782</v>
      </c>
      <c r="BR46" s="23">
        <f>EXP(-LN(2)/2)*BR45+(1-EXP(-LN(2)/2))/(LN(2)/2)*BL46*BO46*VLOOKUP('Données projet'!$B$11,Paramètres!$A$1:$I$89,3,0)*0.475*44/12</f>
        <v>0.18578134988335121</v>
      </c>
      <c r="BS46" s="24">
        <f t="shared" si="9"/>
        <v>13.479564080102133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9.8000000000000007</v>
      </c>
      <c r="N47" s="14">
        <f>IF('Données projet'!$A$36&gt;35,N46+M47-V46,IF(A47&lt;'Données projet'!$A$36,$K$205^A47,IF(A47='Données projet'!$A$36,'Données projet'!$B$36,N46+M47-V46)))</f>
        <v>232.2</v>
      </c>
      <c r="O47" s="14">
        <f>N47*VLOOKUP('Données projet'!$B$9,Paramètres!$A$1:$I$89,3,0)*VLOOKUP('Données projet'!$B$9,Paramètres!$A$1:$I$89,5,0)</f>
        <v>184.73832000000002</v>
      </c>
      <c r="P47" s="14">
        <f t="shared" si="33"/>
        <v>46.374775595471988</v>
      </c>
      <c r="Q47" s="22">
        <f t="shared" si="53"/>
        <v>402.5219748287804</v>
      </c>
      <c r="R47" s="62">
        <f t="shared" si="0"/>
        <v>695.85530816211372</v>
      </c>
      <c r="S47" s="62">
        <f ca="1">AVERAGE(OFFSET($R$3,0,0,'Données projet'!$E$9+1,1))-AVERAGE(OFFSET($H$3,0,0,'Données projet'!$E$9+1,1))</f>
        <v>354.56491118410622</v>
      </c>
      <c r="T47" s="62">
        <f t="shared" si="34"/>
        <v>343.77208530767069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17.41286658914861</v>
      </c>
      <c r="AB47" s="23">
        <f>EXP(-LN(2)/2)*AB46+(1-EXP(-LN(2)/2))/(LN(2)/2)*V47*Y47*VLOOKUP('Données projet'!$B$9,Paramètres!$A$1:$I$89,3,0)*0.475*44/12</f>
        <v>0.10471792838988979</v>
      </c>
      <c r="AC47" s="24">
        <f t="shared" si="3"/>
        <v>17.517584517538499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11.4</v>
      </c>
      <c r="AI47" s="14">
        <f>IF('Données projet'!$A$62&gt;35,AI46+AH47-AQ46,IF(A47&lt;'Données projet'!$A$62,$AF$205^A47,IF(A47='Données projet'!$A$62,'Données projet'!$B$62,AI46+AH47-AQ46)))</f>
        <v>268.59999999999991</v>
      </c>
      <c r="AJ47" s="14">
        <f>AI47*VLOOKUP('Données projet'!$B$10,Paramètres!$A$1:$I$89,3,0)*VLOOKUP('Données projet'!$B$10,Paramètres!$A$1:$I$89,5,0)</f>
        <v>196.93751999999992</v>
      </c>
      <c r="AK47" s="14">
        <f t="shared" si="35"/>
        <v>49.070524066369494</v>
      </c>
      <c r="AL47" s="22">
        <f t="shared" si="4"/>
        <v>428.46401008226007</v>
      </c>
      <c r="AM47" s="62">
        <f t="shared" si="5"/>
        <v>721.79734341559333</v>
      </c>
      <c r="AN47" s="62">
        <f ca="1">AVERAGE(OFFSET($AM$3,0,0,'Données projet'!$E$10+1,1))-AVERAGE(OFFSET($H$3,0,0,'Données projet'!$E$10+1,1))</f>
        <v>380.01621935031324</v>
      </c>
      <c r="AO47" s="62">
        <f t="shared" si="36"/>
        <v>365.76175372075869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15.846978127112378</v>
      </c>
      <c r="AW47" s="23">
        <f>EXP(-LN(2)/2)*AW46+(1-EXP(-LN(2)/2))/(LN(2)/2)*AQ47*AT47*VLOOKUP('Données projet'!$B$10,Paramètres!$A$1:$I$89,3,0)*0.475*44/12</f>
        <v>0.11587019951611904</v>
      </c>
      <c r="AX47" s="23">
        <f t="shared" si="6"/>
        <v>15.962848326628496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11.2</v>
      </c>
      <c r="BD47" s="13">
        <f>IF('Données projet'!$A$88&gt;35,BD46+BC47-BL46,IF(A47&lt;'Données projet'!$A$88,$BA$205^A47,IF(A47='Données projet'!$A$88,'Données projet'!$B$88,BD46+BC47-BL46)))</f>
        <v>232.7999999999999</v>
      </c>
      <c r="BE47" s="14">
        <f>BD47*VLOOKUP('Données projet'!$B$11,Paramètres!$A$1:$I$89,3,0)*VLOOKUP('Données projet'!$B$11,Paramètres!$A$1:$I$89,5,0)</f>
        <v>203.37407999999996</v>
      </c>
      <c r="BF47" s="14">
        <f t="shared" si="37"/>
        <v>50.484964849140574</v>
      </c>
      <c r="BG47" s="22">
        <f t="shared" si="7"/>
        <v>442.1378364455864</v>
      </c>
      <c r="BH47" s="62">
        <f t="shared" si="8"/>
        <v>735.47116977891972</v>
      </c>
      <c r="BI47" s="62">
        <f ca="1">AVERAGE(OFFSET($BH$3,0,0,'Données projet'!$E$11+1,1))-AVERAGE(OFFSET($H$3,0,0,'Données projet'!$E$11+1,1))</f>
        <v>303.33040062722074</v>
      </c>
      <c r="BJ47" s="62">
        <f t="shared" si="38"/>
        <v>425.30058672361548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12.930263542371298</v>
      </c>
      <c r="BR47" s="23">
        <f>EXP(-LN(2)/2)*BR46+(1-EXP(-LN(2)/2))/(LN(2)/2)*BL47*BO47*VLOOKUP('Données projet'!$B$11,Paramètres!$A$1:$I$89,3,0)*0.475*44/12</f>
        <v>0.13136725232050825</v>
      </c>
      <c r="BS47" s="24">
        <f t="shared" si="9"/>
        <v>13.061630794691807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242</v>
      </c>
      <c r="L48" s="13">
        <f>VLOOKUP(A48,'Données projet'!$A$35:$I$55,9,0)</f>
        <v>9.8000000000000007</v>
      </c>
      <c r="M48" s="13">
        <f t="array" ref="M48">INDEX(L:L,MIN(IF(ISNUMBER(L48:L244),ROW(L48:L244),"")))</f>
        <v>9.8000000000000007</v>
      </c>
      <c r="N48" s="14">
        <f>IF('Données projet'!$A$36&gt;35,N47+M48-V47,IF(A48&lt;'Données projet'!$A$36,$K$205^A48,IF(A48='Données projet'!$A$36,'Données projet'!$B$36,N47+M48-V47)))</f>
        <v>242</v>
      </c>
      <c r="O48" s="14">
        <f>N48*VLOOKUP('Données projet'!$B$9,Paramètres!$A$1:$I$89,3,0)*VLOOKUP('Données projet'!$B$9,Paramètres!$A$1:$I$89,5,0)</f>
        <v>192.5352</v>
      </c>
      <c r="P48" s="14">
        <f t="shared" si="33"/>
        <v>48.100016456123079</v>
      </c>
      <c r="Q48" s="22">
        <f t="shared" si="53"/>
        <v>419.10633532774767</v>
      </c>
      <c r="R48" s="62">
        <f t="shared" si="0"/>
        <v>712.43966866108099</v>
      </c>
      <c r="S48" s="62">
        <f ca="1">AVERAGE(OFFSET($R$3,0,0,'Données projet'!$E$9+1,1))-AVERAGE(OFFSET($H$3,0,0,'Données projet'!$E$9+1,1))</f>
        <v>354.56491118410622</v>
      </c>
      <c r="T48" s="62">
        <f t="shared" si="34"/>
        <v>343.77208530767069</v>
      </c>
      <c r="U48" s="16">
        <f>IF(ISNA(VLOOKUP(A48,'Données projet'!$A$35:$I$55,3,0)),0,VLOOKUP(A48,'Données projet'!$A$35:$I$55,3,0))</f>
        <v>8</v>
      </c>
      <c r="V48" s="16">
        <f>IF(ISNA(VLOOKUP(A48,'Données projet'!$A$35:$I$55,4,0)),0,VLOOKUP(A48,'Données projet'!$A$35:$I$55,4,0))</f>
        <v>24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16.936710836565485</v>
      </c>
      <c r="AB48" s="23">
        <f>EXP(-LN(2)/2)*AB47+(1-EXP(-LN(2)/2))/(LN(2)/2)*V48*Y48*VLOOKUP('Données projet'!$B$9,Paramètres!$A$1:$I$89,3,0)*0.475*44/12</f>
        <v>7.404675727629835E-2</v>
      </c>
      <c r="AC48" s="24">
        <f t="shared" si="3"/>
        <v>17.010757593841785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280</v>
      </c>
      <c r="AG48" s="13">
        <f>VLOOKUP(A48,'Données projet'!$A$61:$I$81,9,0)</f>
        <v>11.4</v>
      </c>
      <c r="AH48" s="13">
        <f t="array" ref="AH48">INDEX(AG:AG,MIN(IF(ISNUMBER(AG48:AG244),ROW(AG48:AG244),"")))</f>
        <v>11.4</v>
      </c>
      <c r="AI48" s="14">
        <f>IF('Données projet'!$A$62&gt;35,AI47+AH48-AQ47,IF(A48&lt;'Données projet'!$A$62,$AF$205^A48,IF(A48='Données projet'!$A$62,'Données projet'!$B$62,AI47+AH48-AQ47)))</f>
        <v>279.99999999999989</v>
      </c>
      <c r="AJ48" s="14">
        <f>AI48*VLOOKUP('Données projet'!$B$10,Paramètres!$A$1:$I$89,3,0)*VLOOKUP('Données projet'!$B$10,Paramètres!$A$1:$I$89,5,0)</f>
        <v>205.29599999999991</v>
      </c>
      <c r="AK48" s="14">
        <f t="shared" si="35"/>
        <v>50.906291934375353</v>
      </c>
      <c r="AL48" s="22">
        <f t="shared" si="4"/>
        <v>446.21899178570357</v>
      </c>
      <c r="AM48" s="62">
        <f t="shared" si="5"/>
        <v>739.55232511903682</v>
      </c>
      <c r="AN48" s="62">
        <f ca="1">AVERAGE(OFFSET($AM$3,0,0,'Données projet'!$E$10+1,1))-AVERAGE(OFFSET($H$3,0,0,'Données projet'!$E$10+1,1))</f>
        <v>380.01621935031324</v>
      </c>
      <c r="AO48" s="62">
        <f t="shared" si="36"/>
        <v>365.76175372075869</v>
      </c>
      <c r="AP48" s="16">
        <f>IF(ISNA(VLOOKUP(A48,'Données projet'!$A$61:$I$81,3,0)),0,VLOOKUP(A48,'Données projet'!$A$61:$I$81,3,0))</f>
        <v>8</v>
      </c>
      <c r="AQ48" s="16">
        <f>IF(ISNA(VLOOKUP(A48,'Données projet'!$A$61:$I$81,4,0)),0,VLOOKUP(A48,'Données projet'!$A$61:$I$81,4,0))</f>
        <v>26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15.413641676870128</v>
      </c>
      <c r="AW48" s="23">
        <f>EXP(-LN(2)/2)*AW47+(1-EXP(-LN(2)/2))/(LN(2)/2)*AQ48*AT48*VLOOKUP('Données projet'!$B$10,Paramètres!$A$1:$I$89,3,0)*0.475*44/12</f>
        <v>8.1932603815285998E-2</v>
      </c>
      <c r="AX48" s="23">
        <f t="shared" si="6"/>
        <v>15.495574280685414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244</v>
      </c>
      <c r="BB48" s="13">
        <f>VLOOKUP(A48,'Données projet'!$A$87:$I$107,9,0)</f>
        <v>11.2</v>
      </c>
      <c r="BC48" s="13">
        <f t="array" ref="BC48">INDEX(BB:BB,MIN(IF(ISNUMBER(BB48:BB244),ROW(BB48:BB244),"")))</f>
        <v>11.2</v>
      </c>
      <c r="BD48" s="13">
        <f>IF('Données projet'!$A$88&gt;35,BD47+BC48-BL47,IF(A48&lt;'Données projet'!$A$88,$BA$205^A48,IF(A48='Données projet'!$A$88,'Données projet'!$B$88,BD47+BC48-BL47)))</f>
        <v>243.99999999999989</v>
      </c>
      <c r="BE48" s="14">
        <f>BD48*VLOOKUP('Données projet'!$B$11,Paramètres!$A$1:$I$89,3,0)*VLOOKUP('Données projet'!$B$11,Paramètres!$A$1:$I$89,5,0)</f>
        <v>213.15839999999994</v>
      </c>
      <c r="BF48" s="14">
        <f t="shared" si="37"/>
        <v>52.62517477463237</v>
      </c>
      <c r="BG48" s="22">
        <f t="shared" si="7"/>
        <v>462.90639273248456</v>
      </c>
      <c r="BH48" s="62">
        <f t="shared" si="8"/>
        <v>756.23972606581788</v>
      </c>
      <c r="BI48" s="62">
        <f ca="1">AVERAGE(OFFSET($BH$3,0,0,'Données projet'!$E$11+1,1))-AVERAGE(OFFSET($H$3,0,0,'Données projet'!$E$11+1,1))</f>
        <v>303.33040062722074</v>
      </c>
      <c r="BJ48" s="62">
        <f t="shared" si="38"/>
        <v>425.30058672361548</v>
      </c>
      <c r="BK48" s="16">
        <f>IF(ISNA(VLOOKUP(A48,'Données projet'!$A$87:$I$107,3,0)),0,VLOOKUP(A48,'Données projet'!$A$87:$I$107,3,0))</f>
        <v>7</v>
      </c>
      <c r="BL48" s="16">
        <f>IF(ISNA(VLOOKUP(A48,'Données projet'!$A$87:$I$107,4,0)),0,VLOOKUP(A48,'Données projet'!$A$87:$I$107,4,0))</f>
        <v>41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12.576684805832148</v>
      </c>
      <c r="BR48" s="23">
        <f>EXP(-LN(2)/2)*BR47+(1-EXP(-LN(2)/2))/(LN(2)/2)*BL48*BO48*VLOOKUP('Données projet'!$B$11,Paramètres!$A$1:$I$89,3,0)*0.475*44/12</f>
        <v>9.2890674941675605E-2</v>
      </c>
      <c r="BS48" s="24">
        <f t="shared" si="9"/>
        <v>12.669575480773824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8.4</v>
      </c>
      <c r="N49" s="14">
        <f>IF('Données projet'!$A$36&gt;35,N48+M49-V48,IF(A49&lt;'Données projet'!$A$36,$K$205^A49,IF(A49='Données projet'!$A$36,'Données projet'!$B$36,N48+M49-V48)))</f>
        <v>226.4</v>
      </c>
      <c r="O49" s="14">
        <f>N49*VLOOKUP('Données projet'!$B$9,Paramètres!$A$1:$I$89,3,0)*VLOOKUP('Données projet'!$B$9,Paramètres!$A$1:$I$89,5,0)</f>
        <v>180.12384</v>
      </c>
      <c r="P49" s="14">
        <f t="shared" si="33"/>
        <v>45.349737181998847</v>
      </c>
      <c r="Q49" s="22">
        <f t="shared" si="53"/>
        <v>392.69981359198135</v>
      </c>
      <c r="R49" s="62">
        <f t="shared" si="0"/>
        <v>686.03314692531467</v>
      </c>
      <c r="S49" s="62">
        <f ca="1">AVERAGE(OFFSET($R$3,0,0,'Données projet'!$E$9+1,1))-AVERAGE(OFFSET($H$3,0,0,'Données projet'!$E$9+1,1))</f>
        <v>354.56491118410622</v>
      </c>
      <c r="T49" s="62">
        <f t="shared" si="34"/>
        <v>343.77208530767069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16.473575588076688</v>
      </c>
      <c r="AB49" s="23">
        <f>EXP(-LN(2)/2)*AB48+(1-EXP(-LN(2)/2))/(LN(2)/2)*V49*Y49*VLOOKUP('Données projet'!$B$9,Paramètres!$A$1:$I$89,3,0)*0.475*44/12</f>
        <v>5.2358964194944894E-2</v>
      </c>
      <c r="AC49" s="24">
        <f t="shared" si="3"/>
        <v>16.525934552271632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9.8000000000000007</v>
      </c>
      <c r="AI49" s="14">
        <f>IF('Données projet'!$A$62&gt;35,AI48+AH49-AQ48,IF(A49&lt;'Données projet'!$A$62,$AF$205^A49,IF(A49='Données projet'!$A$62,'Données projet'!$B$62,AI48+AH49-AQ48)))</f>
        <v>263.7999999999999</v>
      </c>
      <c r="AJ49" s="14">
        <f>AI49*VLOOKUP('Données projet'!$B$10,Paramètres!$A$1:$I$89,3,0)*VLOOKUP('Données projet'!$B$10,Paramètres!$A$1:$I$89,5,0)</f>
        <v>193.41815999999992</v>
      </c>
      <c r="AK49" s="14">
        <f t="shared" si="35"/>
        <v>48.294873490521283</v>
      </c>
      <c r="AL49" s="22">
        <f t="shared" si="4"/>
        <v>420.98353332932442</v>
      </c>
      <c r="AM49" s="62">
        <f t="shared" si="5"/>
        <v>714.31686666265773</v>
      </c>
      <c r="AN49" s="62">
        <f ca="1">AVERAGE(OFFSET($AM$3,0,0,'Données projet'!$E$10+1,1))-AVERAGE(OFFSET($H$3,0,0,'Données projet'!$E$10+1,1))</f>
        <v>380.01621935031324</v>
      </c>
      <c r="AO49" s="62">
        <f t="shared" si="36"/>
        <v>365.76175372075869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14.992154834647927</v>
      </c>
      <c r="AW49" s="23">
        <f>EXP(-LN(2)/2)*AW48+(1-EXP(-LN(2)/2))/(LN(2)/2)*AQ49*AT49*VLOOKUP('Données projet'!$B$10,Paramètres!$A$1:$I$89,3,0)*0.475*44/12</f>
        <v>5.7935099758059529E-2</v>
      </c>
      <c r="AX49" s="23">
        <f t="shared" si="6"/>
        <v>15.050089934405987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9.8000000000000007</v>
      </c>
      <c r="BD49" s="13">
        <f>IF('Données projet'!$A$88&gt;35,BD48+BC49-BL48,IF(A49&lt;'Données projet'!$A$88,$BA$205^A49,IF(A49='Données projet'!$A$88,'Données projet'!$B$88,BD48+BC49-BL48)))</f>
        <v>212.7999999999999</v>
      </c>
      <c r="BE49" s="14">
        <f>BD49*VLOOKUP('Données projet'!$B$11,Paramètres!$A$1:$I$89,3,0)*VLOOKUP('Données projet'!$B$11,Paramètres!$A$1:$I$89,5,0)</f>
        <v>185.90207999999993</v>
      </c>
      <c r="BF49" s="14">
        <f t="shared" si="37"/>
        <v>46.632814435744606</v>
      </c>
      <c r="BG49" s="22">
        <f t="shared" si="7"/>
        <v>404.9982744755884</v>
      </c>
      <c r="BH49" s="62">
        <f t="shared" si="8"/>
        <v>698.33160780892172</v>
      </c>
      <c r="BI49" s="62">
        <f ca="1">AVERAGE(OFFSET($BH$3,0,0,'Données projet'!$E$11+1,1))-AVERAGE(OFFSET($H$3,0,0,'Données projet'!$E$11+1,1))</f>
        <v>303.33040062722074</v>
      </c>
      <c r="BJ49" s="62">
        <f t="shared" si="38"/>
        <v>425.30058672361548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12.232774698437558</v>
      </c>
      <c r="BR49" s="23">
        <f>EXP(-LN(2)/2)*BR48+(1-EXP(-LN(2)/2))/(LN(2)/2)*BL49*BO49*VLOOKUP('Données projet'!$B$11,Paramètres!$A$1:$I$89,3,0)*0.475*44/12</f>
        <v>6.5683626160254124E-2</v>
      </c>
      <c r="BS49" s="24">
        <f t="shared" si="9"/>
        <v>12.298458324597812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8.4</v>
      </c>
      <c r="N50" s="14">
        <f>IF('Données projet'!$A$36&gt;35,N49+M50-V49,IF(A50&lt;'Données projet'!$A$36,$K$205^A50,IF(A50='Données projet'!$A$36,'Données projet'!$B$36,N49+M50-V49)))</f>
        <v>234.8</v>
      </c>
      <c r="O50" s="14">
        <f>N50*VLOOKUP('Données projet'!$B$9,Paramètres!$A$1:$I$89,3,0)*VLOOKUP('Données projet'!$B$9,Paramètres!$A$1:$I$89,5,0)</f>
        <v>186.80688000000001</v>
      </c>
      <c r="P50" s="14">
        <f t="shared" si="33"/>
        <v>46.833304503358612</v>
      </c>
      <c r="Q50" s="22">
        <f t="shared" si="53"/>
        <v>406.92332134334953</v>
      </c>
      <c r="R50" s="62">
        <f t="shared" si="0"/>
        <v>700.25665467668284</v>
      </c>
      <c r="S50" s="62">
        <f ca="1">AVERAGE(OFFSET($R$3,0,0,'Données projet'!$E$9+1,1))-AVERAGE(OFFSET($H$3,0,0,'Données projet'!$E$9+1,1))</f>
        <v>354.56491118410622</v>
      </c>
      <c r="T50" s="62">
        <f t="shared" si="34"/>
        <v>343.77208530767069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16.023104797313042</v>
      </c>
      <c r="AB50" s="23">
        <f>EXP(-LN(2)/2)*AB49+(1-EXP(-LN(2)/2))/(LN(2)/2)*V50*Y50*VLOOKUP('Données projet'!$B$9,Paramètres!$A$1:$I$89,3,0)*0.475*44/12</f>
        <v>3.7023378638149175E-2</v>
      </c>
      <c r="AC50" s="24">
        <f t="shared" si="3"/>
        <v>16.060128175951192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9.8000000000000007</v>
      </c>
      <c r="AI50" s="14">
        <f>IF('Données projet'!$A$62&gt;35,AI49+AH50-AQ49,IF(A50&lt;'Données projet'!$A$62,$AF$205^A50,IF(A50='Données projet'!$A$62,'Données projet'!$B$62,AI49+AH50-AQ49)))</f>
        <v>273.59999999999991</v>
      </c>
      <c r="AJ50" s="14">
        <f>AI50*VLOOKUP('Données projet'!$B$10,Paramètres!$A$1:$I$89,3,0)*VLOOKUP('Données projet'!$B$10,Paramètres!$A$1:$I$89,5,0)</f>
        <v>200.60351999999995</v>
      </c>
      <c r="AK50" s="14">
        <f t="shared" si="35"/>
        <v>49.87677988675906</v>
      </c>
      <c r="AL50" s="22">
        <f t="shared" si="4"/>
        <v>436.25318896943855</v>
      </c>
      <c r="AM50" s="62">
        <f t="shared" si="5"/>
        <v>729.58652230277187</v>
      </c>
      <c r="AN50" s="62">
        <f ca="1">AVERAGE(OFFSET($AM$3,0,0,'Données projet'!$E$10+1,1))-AVERAGE(OFFSET($H$3,0,0,'Données projet'!$E$10+1,1))</f>
        <v>380.01621935031324</v>
      </c>
      <c r="AO50" s="62">
        <f t="shared" si="36"/>
        <v>365.76175372075869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14.582193572291322</v>
      </c>
      <c r="AW50" s="23">
        <f>EXP(-LN(2)/2)*AW49+(1-EXP(-LN(2)/2))/(LN(2)/2)*AQ50*AT50*VLOOKUP('Données projet'!$B$10,Paramètres!$A$1:$I$89,3,0)*0.475*44/12</f>
        <v>4.0966301907643006E-2</v>
      </c>
      <c r="AX50" s="23">
        <f t="shared" si="6"/>
        <v>14.623159874198965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9.8000000000000007</v>
      </c>
      <c r="BD50" s="13">
        <f>IF('Données projet'!$A$88&gt;35,BD49+BC50-BL49,IF(A50&lt;'Données projet'!$A$88,$BA$205^A50,IF(A50='Données projet'!$A$88,'Données projet'!$B$88,BD49+BC50-BL49)))</f>
        <v>222.59999999999991</v>
      </c>
      <c r="BE50" s="14">
        <f>BD50*VLOOKUP('Données projet'!$B$11,Paramètres!$A$1:$I$89,3,0)*VLOOKUP('Données projet'!$B$11,Paramètres!$A$1:$I$89,5,0)</f>
        <v>194.46335999999994</v>
      </c>
      <c r="BF50" s="14">
        <f t="shared" si="37"/>
        <v>48.525400894162644</v>
      </c>
      <c r="BG50" s="22">
        <f t="shared" si="7"/>
        <v>423.20542522399978</v>
      </c>
      <c r="BH50" s="62">
        <f t="shared" si="8"/>
        <v>716.53875855733304</v>
      </c>
      <c r="BI50" s="62">
        <f ca="1">AVERAGE(OFFSET($BH$3,0,0,'Données projet'!$E$11+1,1))-AVERAGE(OFFSET($H$3,0,0,'Données projet'!$E$11+1,1))</f>
        <v>303.33040062722074</v>
      </c>
      <c r="BJ50" s="62">
        <f t="shared" si="38"/>
        <v>425.30058672361548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11.89826883101512</v>
      </c>
      <c r="BR50" s="23">
        <f>EXP(-LN(2)/2)*BR49+(1-EXP(-LN(2)/2))/(LN(2)/2)*BL50*BO50*VLOOKUP('Données projet'!$B$11,Paramètres!$A$1:$I$89,3,0)*0.475*44/12</f>
        <v>4.6445337470837803E-2</v>
      </c>
      <c r="BS50" s="24">
        <f t="shared" si="9"/>
        <v>11.944714168485957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8.4</v>
      </c>
      <c r="N51" s="14">
        <f>IF('Données projet'!$A$36&gt;35,N50+M51-V50,IF(A51&lt;'Données projet'!$A$36,$K$205^A51,IF(A51='Données projet'!$A$36,'Données projet'!$B$36,N50+M51-V50)))</f>
        <v>243.20000000000002</v>
      </c>
      <c r="O51" s="14">
        <f>N51*VLOOKUP('Données projet'!$B$9,Paramètres!$A$1:$I$89,3,0)*VLOOKUP('Données projet'!$B$9,Paramètres!$A$1:$I$89,5,0)</f>
        <v>193.48992000000001</v>
      </c>
      <c r="P51" s="14">
        <f t="shared" si="33"/>
        <v>48.310705372586774</v>
      </c>
      <c r="Q51" s="22">
        <f t="shared" si="53"/>
        <v>421.13608919058862</v>
      </c>
      <c r="R51" s="62">
        <f t="shared" si="0"/>
        <v>714.46942252392193</v>
      </c>
      <c r="S51" s="62">
        <f ca="1">AVERAGE(OFFSET($R$3,0,0,'Données projet'!$E$9+1,1))-AVERAGE(OFFSET($H$3,0,0,'Données projet'!$E$9+1,1))</f>
        <v>354.56491118410622</v>
      </c>
      <c r="T51" s="62">
        <f t="shared" si="34"/>
        <v>343.77208530767069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15.584952154012058</v>
      </c>
      <c r="AB51" s="23">
        <f>EXP(-LN(2)/2)*AB50+(1-EXP(-LN(2)/2))/(LN(2)/2)*V51*Y51*VLOOKUP('Données projet'!$B$9,Paramètres!$A$1:$I$89,3,0)*0.475*44/12</f>
        <v>2.6179482097472447E-2</v>
      </c>
      <c r="AC51" s="24">
        <f t="shared" si="3"/>
        <v>15.61113163610953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9.8000000000000007</v>
      </c>
      <c r="AI51" s="14">
        <f>IF('Données projet'!$A$62&gt;35,AI50+AH51-AQ50,IF(A51&lt;'Données projet'!$A$62,$AF$205^A51,IF(A51='Données projet'!$A$62,'Données projet'!$B$62,AI50+AH51-AQ50)))</f>
        <v>283.39999999999992</v>
      </c>
      <c r="AJ51" s="14">
        <f>AI51*VLOOKUP('Données projet'!$B$10,Paramètres!$A$1:$I$89,3,0)*VLOOKUP('Données projet'!$B$10,Paramètres!$A$1:$I$89,5,0)</f>
        <v>207.78887999999992</v>
      </c>
      <c r="AK51" s="14">
        <f t="shared" si="35"/>
        <v>51.452103086551489</v>
      </c>
      <c r="AL51" s="22">
        <f t="shared" si="4"/>
        <v>451.51137887574367</v>
      </c>
      <c r="AM51" s="62">
        <f t="shared" si="5"/>
        <v>744.84471220907699</v>
      </c>
      <c r="AN51" s="62">
        <f ca="1">AVERAGE(OFFSET($AM$3,0,0,'Données projet'!$E$10+1,1))-AVERAGE(OFFSET($H$3,0,0,'Données projet'!$E$10+1,1))</f>
        <v>380.01621935031324</v>
      </c>
      <c r="AO51" s="62">
        <f t="shared" si="36"/>
        <v>365.76175372075869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14.183442722212783</v>
      </c>
      <c r="AW51" s="23">
        <f>EXP(-LN(2)/2)*AW50+(1-EXP(-LN(2)/2))/(LN(2)/2)*AQ51*AT51*VLOOKUP('Données projet'!$B$10,Paramètres!$A$1:$I$89,3,0)*0.475*44/12</f>
        <v>2.8967549879029768E-2</v>
      </c>
      <c r="AX51" s="23">
        <f t="shared" si="6"/>
        <v>14.212410272091812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9.8000000000000007</v>
      </c>
      <c r="BD51" s="13">
        <f>IF('Données projet'!$A$88&gt;35,BD50+BC51-BL50,IF(A51&lt;'Données projet'!$A$88,$BA$205^A51,IF(A51='Données projet'!$A$88,'Données projet'!$B$88,BD50+BC51-BL50)))</f>
        <v>232.39999999999992</v>
      </c>
      <c r="BE51" s="14">
        <f>BD51*VLOOKUP('Données projet'!$B$11,Paramètres!$A$1:$I$89,3,0)*VLOOKUP('Données projet'!$B$11,Paramètres!$A$1:$I$89,5,0)</f>
        <v>203.02463999999998</v>
      </c>
      <c r="BF51" s="14">
        <f t="shared" si="37"/>
        <v>50.408310246654189</v>
      </c>
      <c r="BG51" s="22">
        <f t="shared" si="7"/>
        <v>441.39572167958931</v>
      </c>
      <c r="BH51" s="62">
        <f t="shared" si="8"/>
        <v>734.72905501292257</v>
      </c>
      <c r="BI51" s="62">
        <f ca="1">AVERAGE(OFFSET($BH$3,0,0,'Données projet'!$E$11+1,1))-AVERAGE(OFFSET($H$3,0,0,'Données projet'!$E$11+1,1))</f>
        <v>303.33040062722074</v>
      </c>
      <c r="BJ51" s="62">
        <f t="shared" si="38"/>
        <v>425.30058672361548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11.572910044128248</v>
      </c>
      <c r="BR51" s="23">
        <f>EXP(-LN(2)/2)*BR50+(1-EXP(-LN(2)/2))/(LN(2)/2)*BL51*BO51*VLOOKUP('Données projet'!$B$11,Paramètres!$A$1:$I$89,3,0)*0.475*44/12</f>
        <v>3.2841813080127062E-2</v>
      </c>
      <c r="BS51" s="24">
        <f t="shared" si="9"/>
        <v>11.605751857208375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8.4</v>
      </c>
      <c r="N52" s="14">
        <f>IF('Données projet'!$A$36&gt;35,N51+M52-V51,IF(A52&lt;'Données projet'!$A$36,$K$205^A52,IF(A52='Données projet'!$A$36,'Données projet'!$B$36,N51+M52-V51)))</f>
        <v>251.60000000000002</v>
      </c>
      <c r="O52" s="14">
        <f>N52*VLOOKUP('Données projet'!$B$9,Paramètres!$A$1:$I$89,3,0)*VLOOKUP('Données projet'!$B$9,Paramètres!$A$1:$I$89,5,0)</f>
        <v>200.17296000000002</v>
      </c>
      <c r="P52" s="14">
        <f t="shared" si="33"/>
        <v>49.782177185856028</v>
      </c>
      <c r="Q52" s="22">
        <f t="shared" si="53"/>
        <v>435.33853059869926</v>
      </c>
      <c r="R52" s="62">
        <f t="shared" si="0"/>
        <v>728.67186393203258</v>
      </c>
      <c r="S52" s="62">
        <f ca="1">AVERAGE(OFFSET($R$3,0,0,'Données projet'!$E$9+1,1))-AVERAGE(OFFSET($H$3,0,0,'Données projet'!$E$9+1,1))</f>
        <v>354.56491118410622</v>
      </c>
      <c r="T52" s="62">
        <f t="shared" si="34"/>
        <v>343.77208530767069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15.158780817783583</v>
      </c>
      <c r="AB52" s="23">
        <f>EXP(-LN(2)/2)*AB51+(1-EXP(-LN(2)/2))/(LN(2)/2)*V52*Y52*VLOOKUP('Données projet'!$B$9,Paramètres!$A$1:$I$89,3,0)*0.475*44/12</f>
        <v>1.8511689319074588E-2</v>
      </c>
      <c r="AC52" s="24">
        <f t="shared" si="3"/>
        <v>15.177292507102658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9.8000000000000007</v>
      </c>
      <c r="AI52" s="14">
        <f>IF('Données projet'!$A$62&gt;35,AI51+AH52-AQ51,IF(A52&lt;'Données projet'!$A$62,$AF$205^A52,IF(A52='Données projet'!$A$62,'Données projet'!$B$62,AI51+AH52-AQ51)))</f>
        <v>293.19999999999993</v>
      </c>
      <c r="AJ52" s="14">
        <f>AI52*VLOOKUP('Données projet'!$B$10,Paramètres!$A$1:$I$89,3,0)*VLOOKUP('Données projet'!$B$10,Paramètres!$A$1:$I$89,5,0)</f>
        <v>214.97423999999995</v>
      </c>
      <c r="AK52" s="14">
        <f t="shared" si="35"/>
        <v>53.021096827639134</v>
      </c>
      <c r="AL52" s="22">
        <f t="shared" si="4"/>
        <v>466.75854497480481</v>
      </c>
      <c r="AM52" s="62">
        <f t="shared" si="5"/>
        <v>760.09187830813812</v>
      </c>
      <c r="AN52" s="62">
        <f ca="1">AVERAGE(OFFSET($AM$3,0,0,'Données projet'!$E$10+1,1))-AVERAGE(OFFSET($H$3,0,0,'Données projet'!$E$10+1,1))</f>
        <v>380.01621935031324</v>
      </c>
      <c r="AO52" s="62">
        <f t="shared" si="36"/>
        <v>365.76175372075869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13.795595735099038</v>
      </c>
      <c r="AW52" s="23">
        <f>EXP(-LN(2)/2)*AW51+(1-EXP(-LN(2)/2))/(LN(2)/2)*AQ52*AT52*VLOOKUP('Données projet'!$B$10,Paramètres!$A$1:$I$89,3,0)*0.475*44/12</f>
        <v>2.0483150953821503E-2</v>
      </c>
      <c r="AX52" s="23">
        <f t="shared" si="6"/>
        <v>13.81607888605286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9.8000000000000007</v>
      </c>
      <c r="BD52" s="13">
        <f>IF('Données projet'!$A$88&gt;35,BD51+BC52-BL51,IF(A52&lt;'Données projet'!$A$88,$BA$205^A52,IF(A52='Données projet'!$A$88,'Données projet'!$B$88,BD51+BC52-BL51)))</f>
        <v>242.19999999999993</v>
      </c>
      <c r="BE52" s="14">
        <f>BD52*VLOOKUP('Données projet'!$B$11,Paramètres!$A$1:$I$89,3,0)*VLOOKUP('Données projet'!$B$11,Paramètres!$A$1:$I$89,5,0)</f>
        <v>211.58591999999996</v>
      </c>
      <c r="BF52" s="14">
        <f t="shared" si="37"/>
        <v>52.281997222074629</v>
      </c>
      <c r="BG52" s="22">
        <f t="shared" si="7"/>
        <v>459.56995582844655</v>
      </c>
      <c r="BH52" s="62">
        <f t="shared" si="8"/>
        <v>752.90328916177987</v>
      </c>
      <c r="BI52" s="62">
        <f ca="1">AVERAGE(OFFSET($BH$3,0,0,'Données projet'!$E$11+1,1))-AVERAGE(OFFSET($H$3,0,0,'Données projet'!$E$11+1,1))</f>
        <v>303.33040062722074</v>
      </c>
      <c r="BJ52" s="62">
        <f t="shared" si="38"/>
        <v>425.30058672361548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11.256448210378672</v>
      </c>
      <c r="BR52" s="23">
        <f>EXP(-LN(2)/2)*BR51+(1-EXP(-LN(2)/2))/(LN(2)/2)*BL52*BO52*VLOOKUP('Données projet'!$B$11,Paramètres!$A$1:$I$89,3,0)*0.475*44/12</f>
        <v>2.3222668735418901E-2</v>
      </c>
      <c r="BS52" s="24">
        <f t="shared" si="9"/>
        <v>11.279670879114091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260</v>
      </c>
      <c r="L53" s="13">
        <f>VLOOKUP(A53,'Données projet'!$A$35:$I$55,9,0)</f>
        <v>8.4</v>
      </c>
      <c r="M53" s="13">
        <f t="array" ref="M53">INDEX(L:L,MIN(IF(ISNUMBER(L53:L249),ROW(L53:L249),"")))</f>
        <v>8.4</v>
      </c>
      <c r="N53" s="14">
        <f>IF('Données projet'!$A$36&gt;35,N52+M53-V52,IF(A53&lt;'Données projet'!$A$36,$K$205^A53,IF(A53='Données projet'!$A$36,'Données projet'!$B$36,N52+M53-V52)))</f>
        <v>260</v>
      </c>
      <c r="O53" s="14">
        <f>N53*VLOOKUP('Données projet'!$B$9,Paramètres!$A$1:$I$89,3,0)*VLOOKUP('Données projet'!$B$9,Paramètres!$A$1:$I$89,5,0)</f>
        <v>206.85599999999999</v>
      </c>
      <c r="P53" s="14">
        <f t="shared" si="33"/>
        <v>51.247940588293027</v>
      </c>
      <c r="Q53" s="22">
        <f t="shared" si="53"/>
        <v>449.53102985794368</v>
      </c>
      <c r="R53" s="62">
        <f t="shared" si="0"/>
        <v>742.86436319127699</v>
      </c>
      <c r="S53" s="62">
        <f ca="1">AVERAGE(OFFSET($R$3,0,0,'Données projet'!$E$9+1,1))-AVERAGE(OFFSET($H$3,0,0,'Données projet'!$E$9+1,1))</f>
        <v>354.56491118410622</v>
      </c>
      <c r="T53" s="62">
        <f t="shared" si="34"/>
        <v>343.77208530767069</v>
      </c>
      <c r="U53" s="16">
        <f>IF(ISNA(VLOOKUP(A53,'Données projet'!$A$35:$I$55,3,0)),0,VLOOKUP(A53,'Données projet'!$A$35:$I$55,3,0))</f>
        <v>9</v>
      </c>
      <c r="V53" s="16">
        <f>IF(ISNA(VLOOKUP(A53,'Données projet'!$A$35:$I$55,4,0)),0,VLOOKUP(A53,'Données projet'!$A$35:$I$55,4,0))</f>
        <v>19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14.744263159155654</v>
      </c>
      <c r="AB53" s="23">
        <f>EXP(-LN(2)/2)*AB52+(1-EXP(-LN(2)/2))/(LN(2)/2)*V53*Y53*VLOOKUP('Données projet'!$B$9,Paramètres!$A$1:$I$89,3,0)*0.475*44/12</f>
        <v>1.3089741048736224E-2</v>
      </c>
      <c r="AC53" s="24">
        <f t="shared" si="3"/>
        <v>14.75735290020439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303</v>
      </c>
      <c r="AG53" s="13">
        <f>VLOOKUP(A53,'Données projet'!$A$61:$I$81,9,0)</f>
        <v>9.8000000000000007</v>
      </c>
      <c r="AH53" s="13">
        <f t="array" ref="AH53">INDEX(AG:AG,MIN(IF(ISNUMBER(AG53:AG249),ROW(AG53:AG249),"")))</f>
        <v>9.8000000000000007</v>
      </c>
      <c r="AI53" s="14">
        <f>IF('Données projet'!$A$62&gt;35,AI52+AH53-AQ52,IF(A53&lt;'Données projet'!$A$62,$AF$205^A53,IF(A53='Données projet'!$A$62,'Données projet'!$B$62,AI52+AH53-AQ52)))</f>
        <v>302.99999999999994</v>
      </c>
      <c r="AJ53" s="14">
        <f>AI53*VLOOKUP('Données projet'!$B$10,Paramètres!$A$1:$I$89,3,0)*VLOOKUP('Données projet'!$B$10,Paramètres!$A$1:$I$89,5,0)</f>
        <v>222.15959999999995</v>
      </c>
      <c r="AK53" s="14">
        <f t="shared" si="35"/>
        <v>54.583996923291004</v>
      </c>
      <c r="AL53" s="22">
        <f t="shared" si="4"/>
        <v>481.99509797473166</v>
      </c>
      <c r="AM53" s="62">
        <f t="shared" si="5"/>
        <v>775.32843130806498</v>
      </c>
      <c r="AN53" s="62">
        <f ca="1">AVERAGE(OFFSET($AM$3,0,0,'Données projet'!$E$10+1,1))-AVERAGE(OFFSET($H$3,0,0,'Données projet'!$E$10+1,1))</f>
        <v>380.01621935031324</v>
      </c>
      <c r="AO53" s="62">
        <f t="shared" si="36"/>
        <v>365.76175372075869</v>
      </c>
      <c r="AP53" s="16">
        <f>IF(ISNA(VLOOKUP(A53,'Données projet'!$A$61:$I$81,3,0)),0,VLOOKUP(A53,'Données projet'!$A$61:$I$81,3,0))</f>
        <v>9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13.418354444243905</v>
      </c>
      <c r="AW53" s="23">
        <f>EXP(-LN(2)/2)*AW52+(1-EXP(-LN(2)/2))/(LN(2)/2)*AQ53*AT53*VLOOKUP('Données projet'!$B$10,Paramètres!$A$1:$I$89,3,0)*0.475*44/12</f>
        <v>1.4483774939514884E-2</v>
      </c>
      <c r="AX53" s="23">
        <f t="shared" si="6"/>
        <v>13.43283821918342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252</v>
      </c>
      <c r="BB53" s="13">
        <f>VLOOKUP(A53,'Données projet'!$A$87:$I$107,9,0)</f>
        <v>9.8000000000000007</v>
      </c>
      <c r="BC53" s="13">
        <f t="array" ref="BC53">INDEX(BB:BB,MIN(IF(ISNUMBER(BB53:BB249),ROW(BB53:BB249),"")))</f>
        <v>9.8000000000000007</v>
      </c>
      <c r="BD53" s="13">
        <f>IF('Données projet'!$A$88&gt;35,BD52+BC53-BL52,IF(A53&lt;'Données projet'!$A$88,$BA$205^A53,IF(A53='Données projet'!$A$88,'Données projet'!$B$88,BD52+BC53-BL52)))</f>
        <v>251.99999999999994</v>
      </c>
      <c r="BE53" s="14">
        <f>BD53*VLOOKUP('Données projet'!$B$11,Paramètres!$A$1:$I$89,3,0)*VLOOKUP('Données projet'!$B$11,Paramètres!$A$1:$I$89,5,0)</f>
        <v>220.14719999999997</v>
      </c>
      <c r="BF53" s="14">
        <f t="shared" si="37"/>
        <v>54.146877667769637</v>
      </c>
      <c r="BG53" s="22">
        <f t="shared" si="7"/>
        <v>477.72885193803205</v>
      </c>
      <c r="BH53" s="62">
        <f t="shared" si="8"/>
        <v>771.06218527136537</v>
      </c>
      <c r="BI53" s="62">
        <f ca="1">AVERAGE(OFFSET($BH$3,0,0,'Données projet'!$E$11+1,1))-AVERAGE(OFFSET($H$3,0,0,'Données projet'!$E$11+1,1))</f>
        <v>303.33040062722074</v>
      </c>
      <c r="BJ53" s="62">
        <f t="shared" si="38"/>
        <v>425.30058672361548</v>
      </c>
      <c r="BK53" s="16">
        <f>IF(ISNA(VLOOKUP(A53,'Données projet'!$A$87:$I$107,3,0)),0,VLOOKUP(A53,'Données projet'!$A$87:$I$107,3,0))</f>
        <v>8</v>
      </c>
      <c r="BL53" s="16">
        <f>IF(ISNA(VLOOKUP(A53,'Données projet'!$A$87:$I$107,4,0)),0,VLOOKUP(A53,'Données projet'!$A$87:$I$107,4,0))</f>
        <v>37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10.948640042114983</v>
      </c>
      <c r="BR53" s="23">
        <f>EXP(-LN(2)/2)*BR52+(1-EXP(-LN(2)/2))/(LN(2)/2)*BL53*BO53*VLOOKUP('Données projet'!$B$11,Paramètres!$A$1:$I$89,3,0)*0.475*44/12</f>
        <v>1.6420906540063531E-2</v>
      </c>
      <c r="BS53" s="24">
        <f t="shared" si="9"/>
        <v>10.965060948655045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7.4</v>
      </c>
      <c r="N54" s="14">
        <f>IF('Données projet'!$A$36&gt;35,N53+M54-V53,IF(A54&lt;'Données projet'!$A$36,$K$205^A54,IF(A54='Données projet'!$A$36,'Données projet'!$B$36,N53+M54-V53)))</f>
        <v>248.39999999999998</v>
      </c>
      <c r="O54" s="14">
        <f>N54*VLOOKUP('Données projet'!$B$9,Paramètres!$A$1:$I$89,3,0)*VLOOKUP('Données projet'!$B$9,Paramètres!$A$1:$I$89,5,0)</f>
        <v>197.62703999999999</v>
      </c>
      <c r="P54" s="14">
        <f t="shared" si="33"/>
        <v>49.222301224260015</v>
      </c>
      <c r="Q54" s="22">
        <f t="shared" si="53"/>
        <v>429.92926929891951</v>
      </c>
      <c r="R54" s="62">
        <f t="shared" si="0"/>
        <v>723.26260263225277</v>
      </c>
      <c r="S54" s="62">
        <f ca="1">AVERAGE(OFFSET($R$3,0,0,'Données projet'!$E$9+1,1))-AVERAGE(OFFSET($H$3,0,0,'Données projet'!$E$9+1,1))</f>
        <v>354.56491118410622</v>
      </c>
      <c r="T54" s="62">
        <f t="shared" si="34"/>
        <v>343.77208530767069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14.341080507701442</v>
      </c>
      <c r="AB54" s="23">
        <f>EXP(-LN(2)/2)*AB53+(1-EXP(-LN(2)/2))/(LN(2)/2)*V54*Y54*VLOOKUP('Données projet'!$B$9,Paramètres!$A$1:$I$89,3,0)*0.475*44/12</f>
        <v>9.2558446595372938E-3</v>
      </c>
      <c r="AC54" s="24">
        <f t="shared" si="3"/>
        <v>14.350336352360978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8.4</v>
      </c>
      <c r="AI54" s="14">
        <f>IF('Données projet'!$A$62&gt;35,AI53+AH54-AQ53,IF(A54&lt;'Données projet'!$A$62,$AF$205^A54,IF(A54='Données projet'!$A$62,'Données projet'!$B$62,AI53+AH54-AQ53)))</f>
        <v>290.39999999999992</v>
      </c>
      <c r="AJ54" s="14">
        <f>AI54*VLOOKUP('Données projet'!$B$10,Paramètres!$A$1:$I$89,3,0)*VLOOKUP('Données projet'!$B$10,Paramètres!$A$1:$I$89,5,0)</f>
        <v>212.92127999999991</v>
      </c>
      <c r="AK54" s="14">
        <f t="shared" si="35"/>
        <v>52.57344469809297</v>
      </c>
      <c r="AL54" s="22">
        <f t="shared" si="4"/>
        <v>462.4033121825118</v>
      </c>
      <c r="AM54" s="62">
        <f t="shared" si="5"/>
        <v>755.73664551584511</v>
      </c>
      <c r="AN54" s="62">
        <f ca="1">AVERAGE(OFFSET($AM$3,0,0,'Données projet'!$E$10+1,1))-AVERAGE(OFFSET($H$3,0,0,'Données projet'!$E$10+1,1))</f>
        <v>380.01621935031324</v>
      </c>
      <c r="AO54" s="62">
        <f t="shared" si="36"/>
        <v>365.76175372075869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13.051428836325464</v>
      </c>
      <c r="AW54" s="23">
        <f>EXP(-LN(2)/2)*AW53+(1-EXP(-LN(2)/2))/(LN(2)/2)*AQ54*AT54*VLOOKUP('Données projet'!$B$10,Paramètres!$A$1:$I$89,3,0)*0.475*44/12</f>
        <v>1.0241575476910751E-2</v>
      </c>
      <c r="AX54" s="23">
        <f t="shared" si="6"/>
        <v>13.061670411802375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8.6</v>
      </c>
      <c r="BD54" s="13">
        <f>IF('Données projet'!$A$88&gt;35,BD53+BC54-BL53,IF(A54&lt;'Données projet'!$A$88,$BA$205^A54,IF(A54='Données projet'!$A$88,'Données projet'!$B$88,BD53+BC54-BL53)))</f>
        <v>223.59999999999997</v>
      </c>
      <c r="BE54" s="14">
        <f>BD54*VLOOKUP('Données projet'!$B$11,Paramètres!$A$1:$I$89,3,0)*VLOOKUP('Données projet'!$B$11,Paramètres!$A$1:$I$89,5,0)</f>
        <v>195.33696</v>
      </c>
      <c r="BF54" s="14">
        <f t="shared" si="37"/>
        <v>48.717969863105488</v>
      </c>
      <c r="BG54" s="22">
        <f t="shared" si="7"/>
        <v>425.06233617824205</v>
      </c>
      <c r="BH54" s="62">
        <f t="shared" si="8"/>
        <v>718.39566951157531</v>
      </c>
      <c r="BI54" s="62">
        <f ca="1">AVERAGE(OFFSET($BH$3,0,0,'Données projet'!$E$11+1,1))-AVERAGE(OFFSET($H$3,0,0,'Données projet'!$E$11+1,1))</f>
        <v>303.33040062722074</v>
      </c>
      <c r="BJ54" s="62">
        <f t="shared" si="38"/>
        <v>425.30058672361548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10.649248904399393</v>
      </c>
      <c r="BR54" s="23">
        <f>EXP(-LN(2)/2)*BR53+(1-EXP(-LN(2)/2))/(LN(2)/2)*BL54*BO54*VLOOKUP('Données projet'!$B$11,Paramètres!$A$1:$I$89,3,0)*0.475*44/12</f>
        <v>1.1611334367709451E-2</v>
      </c>
      <c r="BS54" s="24">
        <f t="shared" si="9"/>
        <v>10.660860238767102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7.4</v>
      </c>
      <c r="N55" s="14">
        <f>IF('Données projet'!$A$36&gt;35,N54+M55-V54,IF(A55&lt;'Données projet'!$A$36,$K$205^A55,IF(A55='Données projet'!$A$36,'Données projet'!$B$36,N54+M55-V54)))</f>
        <v>255.79999999999998</v>
      </c>
      <c r="O55" s="14">
        <f>N55*VLOOKUP('Données projet'!$B$9,Paramètres!$A$1:$I$89,3,0)*VLOOKUP('Données projet'!$B$9,Paramètres!$A$1:$I$89,5,0)</f>
        <v>203.51447999999999</v>
      </c>
      <c r="P55" s="14">
        <f t="shared" si="33"/>
        <v>50.515759254811513</v>
      </c>
      <c r="Q55" s="22">
        <f t="shared" si="53"/>
        <v>442.43600003546334</v>
      </c>
      <c r="R55" s="62">
        <f t="shared" si="0"/>
        <v>735.76933336879665</v>
      </c>
      <c r="S55" s="62">
        <f ca="1">AVERAGE(OFFSET($R$3,0,0,'Données projet'!$E$9+1,1))-AVERAGE(OFFSET($H$3,0,0,'Données projet'!$E$9+1,1))</f>
        <v>354.56491118410622</v>
      </c>
      <c r="T55" s="62">
        <f t="shared" si="34"/>
        <v>343.77208530767069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13.948922907053699</v>
      </c>
      <c r="AB55" s="23">
        <f>EXP(-LN(2)/2)*AB54+(1-EXP(-LN(2)/2))/(LN(2)/2)*V55*Y55*VLOOKUP('Données projet'!$B$9,Paramètres!$A$1:$I$89,3,0)*0.475*44/12</f>
        <v>6.5448705243681118E-3</v>
      </c>
      <c r="AC55" s="24">
        <f t="shared" si="3"/>
        <v>13.955467777578068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8.4</v>
      </c>
      <c r="AI55" s="14">
        <f>IF('Données projet'!$A$62&gt;35,AI54+AH55-AQ54,IF(A55&lt;'Données projet'!$A$62,$AF$205^A55,IF(A55='Données projet'!$A$62,'Données projet'!$B$62,AI54+AH55-AQ54)))</f>
        <v>298.7999999999999</v>
      </c>
      <c r="AJ55" s="14">
        <f>AI55*VLOOKUP('Données projet'!$B$10,Paramètres!$A$1:$I$89,3,0)*VLOOKUP('Données projet'!$B$10,Paramètres!$A$1:$I$89,5,0)</f>
        <v>219.08015999999992</v>
      </c>
      <c r="AK55" s="14">
        <f t="shared" si="35"/>
        <v>53.914914316401685</v>
      </c>
      <c r="AL55" s="22">
        <f t="shared" si="4"/>
        <v>475.46642110106609</v>
      </c>
      <c r="AM55" s="62">
        <f t="shared" si="5"/>
        <v>768.79975443439935</v>
      </c>
      <c r="AN55" s="62">
        <f ca="1">AVERAGE(OFFSET($AM$3,0,0,'Données projet'!$E$10+1,1))-AVERAGE(OFFSET($H$3,0,0,'Données projet'!$E$10+1,1))</f>
        <v>380.01621935031324</v>
      </c>
      <c r="AO55" s="62">
        <f t="shared" si="36"/>
        <v>365.76175372075869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12.69453682845133</v>
      </c>
      <c r="AW55" s="23">
        <f>EXP(-LN(2)/2)*AW54+(1-EXP(-LN(2)/2))/(LN(2)/2)*AQ55*AT55*VLOOKUP('Données projet'!$B$10,Paramètres!$A$1:$I$89,3,0)*0.475*44/12</f>
        <v>7.241887469757442E-3</v>
      </c>
      <c r="AX55" s="23">
        <f t="shared" si="6"/>
        <v>12.701778715921087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8.6</v>
      </c>
      <c r="BD55" s="13">
        <f>IF('Données projet'!$A$88&gt;35,BD54+BC55-BL54,IF(A55&lt;'Données projet'!$A$88,$BA$205^A55,IF(A55='Données projet'!$A$88,'Données projet'!$B$88,BD54+BC55-BL54)))</f>
        <v>232.19999999999996</v>
      </c>
      <c r="BE55" s="14">
        <f>BD55*VLOOKUP('Données projet'!$B$11,Paramètres!$A$1:$I$89,3,0)*VLOOKUP('Données projet'!$B$11,Paramètres!$A$1:$I$89,5,0)</f>
        <v>202.84991999999997</v>
      </c>
      <c r="BF55" s="14">
        <f t="shared" si="37"/>
        <v>50.369977187686075</v>
      </c>
      <c r="BG55" s="22">
        <f t="shared" si="7"/>
        <v>441.02465426855321</v>
      </c>
      <c r="BH55" s="62">
        <f t="shared" si="8"/>
        <v>734.35798760188652</v>
      </c>
      <c r="BI55" s="62">
        <f ca="1">AVERAGE(OFFSET($BH$3,0,0,'Données projet'!$E$11+1,1))-AVERAGE(OFFSET($H$3,0,0,'Données projet'!$E$11+1,1))</f>
        <v>303.33040062722074</v>
      </c>
      <c r="BJ55" s="62">
        <f t="shared" si="38"/>
        <v>425.30058672361548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10.35804463308893</v>
      </c>
      <c r="BR55" s="23">
        <f>EXP(-LN(2)/2)*BR54+(1-EXP(-LN(2)/2))/(LN(2)/2)*BL55*BO55*VLOOKUP('Données projet'!$B$11,Paramètres!$A$1:$I$89,3,0)*0.475*44/12</f>
        <v>8.2104532700317655E-3</v>
      </c>
      <c r="BS55" s="24">
        <f t="shared" si="9"/>
        <v>10.366255086358962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7.4</v>
      </c>
      <c r="N56" s="14">
        <f>IF('Données projet'!$A$36&gt;35,N55+M56-V55,IF(A56&lt;'Données projet'!$A$36,$K$205^A56,IF(A56='Données projet'!$A$36,'Données projet'!$B$36,N55+M56-V55)))</f>
        <v>263.2</v>
      </c>
      <c r="O56" s="14">
        <f>N56*VLOOKUP('Données projet'!$B$9,Paramètres!$A$1:$I$89,3,0)*VLOOKUP('Données projet'!$B$9,Paramètres!$A$1:$I$89,5,0)</f>
        <v>209.40192000000002</v>
      </c>
      <c r="P56" s="14">
        <f t="shared" si="33"/>
        <v>51.804868484579089</v>
      </c>
      <c r="Q56" s="22">
        <f t="shared" si="53"/>
        <v>454.93515661064185</v>
      </c>
      <c r="R56" s="62">
        <f t="shared" si="0"/>
        <v>748.26848994397517</v>
      </c>
      <c r="S56" s="62">
        <f ca="1">AVERAGE(OFFSET($R$3,0,0,'Données projet'!$E$9+1,1))-AVERAGE(OFFSET($H$3,0,0,'Données projet'!$E$9+1,1))</f>
        <v>354.56491118410622</v>
      </c>
      <c r="T56" s="62">
        <f t="shared" si="34"/>
        <v>343.77208530767069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13.567488876618341</v>
      </c>
      <c r="AB56" s="23">
        <f>EXP(-LN(2)/2)*AB55+(1-EXP(-LN(2)/2))/(LN(2)/2)*V56*Y56*VLOOKUP('Données projet'!$B$9,Paramètres!$A$1:$I$89,3,0)*0.475*44/12</f>
        <v>4.6279223297686469E-3</v>
      </c>
      <c r="AC56" s="24">
        <f t="shared" si="3"/>
        <v>13.572116798948111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8.4</v>
      </c>
      <c r="AI56" s="14">
        <f>IF('Données projet'!$A$62&gt;35,AI55+AH56-AQ55,IF(A56&lt;'Données projet'!$A$62,$AF$205^A56,IF(A56='Données projet'!$A$62,'Données projet'!$B$62,AI55+AH56-AQ55)))</f>
        <v>307.19999999999987</v>
      </c>
      <c r="AJ56" s="14">
        <f>AI56*VLOOKUP('Données projet'!$B$10,Paramètres!$A$1:$I$89,3,0)*VLOOKUP('Données projet'!$B$10,Paramètres!$A$1:$I$89,5,0)</f>
        <v>225.2390399999999</v>
      </c>
      <c r="AK56" s="14">
        <f t="shared" si="35"/>
        <v>55.252000822487368</v>
      </c>
      <c r="AL56" s="22">
        <f t="shared" si="4"/>
        <v>488.5218960991653</v>
      </c>
      <c r="AM56" s="62">
        <f t="shared" si="5"/>
        <v>781.85522943249862</v>
      </c>
      <c r="AN56" s="62">
        <f ca="1">AVERAGE(OFFSET($AM$3,0,0,'Données projet'!$E$10+1,1))-AVERAGE(OFFSET($H$3,0,0,'Données projet'!$E$10+1,1))</f>
        <v>380.01621935031324</v>
      </c>
      <c r="AO56" s="62">
        <f t="shared" si="36"/>
        <v>365.76175372075869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12.34740405130065</v>
      </c>
      <c r="AW56" s="23">
        <f>EXP(-LN(2)/2)*AW55+(1-EXP(-LN(2)/2))/(LN(2)/2)*AQ56*AT56*VLOOKUP('Données projet'!$B$10,Paramètres!$A$1:$I$89,3,0)*0.475*44/12</f>
        <v>5.1207877384553757E-3</v>
      </c>
      <c r="AX56" s="23">
        <f t="shared" si="6"/>
        <v>12.352524839039106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8.6</v>
      </c>
      <c r="BD56" s="13">
        <f>IF('Données projet'!$A$88&gt;35,BD55+BC56-BL55,IF(A56&lt;'Données projet'!$A$88,$BA$205^A56,IF(A56='Données projet'!$A$88,'Données projet'!$B$88,BD55+BC56-BL55)))</f>
        <v>240.79999999999995</v>
      </c>
      <c r="BE56" s="14">
        <f>BD56*VLOOKUP('Données projet'!$B$11,Paramètres!$A$1:$I$89,3,0)*VLOOKUP('Données projet'!$B$11,Paramètres!$A$1:$I$89,5,0)</f>
        <v>210.36287999999999</v>
      </c>
      <c r="BF56" s="14">
        <f t="shared" si="37"/>
        <v>52.014876138342963</v>
      </c>
      <c r="BG56" s="22">
        <f t="shared" si="7"/>
        <v>456.97459194094722</v>
      </c>
      <c r="BH56" s="62">
        <f t="shared" si="8"/>
        <v>750.30792527428048</v>
      </c>
      <c r="BI56" s="62">
        <f ca="1">AVERAGE(OFFSET($BH$3,0,0,'Données projet'!$E$11+1,1))-AVERAGE(OFFSET($H$3,0,0,'Données projet'!$E$11+1,1))</f>
        <v>303.33040062722074</v>
      </c>
      <c r="BJ56" s="62">
        <f t="shared" si="38"/>
        <v>425.30058672361548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10.07480335789122</v>
      </c>
      <c r="BR56" s="23">
        <f>EXP(-LN(2)/2)*BR55+(1-EXP(-LN(2)/2))/(LN(2)/2)*BL56*BO56*VLOOKUP('Données projet'!$B$11,Paramètres!$A$1:$I$89,3,0)*0.475*44/12</f>
        <v>5.8056671838547253E-3</v>
      </c>
      <c r="BS56" s="24">
        <f t="shared" si="9"/>
        <v>10.080609025075075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7.4</v>
      </c>
      <c r="N57" s="14">
        <f>IF('Données projet'!$A$36&gt;35,N56+M57-V56,IF(A57&lt;'Données projet'!$A$36,$K$205^A57,IF(A57='Données projet'!$A$36,'Données projet'!$B$36,N56+M57-V56)))</f>
        <v>270.59999999999997</v>
      </c>
      <c r="O57" s="14">
        <f>N57*VLOOKUP('Données projet'!$B$9,Paramètres!$A$1:$I$89,3,0)*VLOOKUP('Données projet'!$B$9,Paramètres!$A$1:$I$89,5,0)</f>
        <v>215.28935999999996</v>
      </c>
      <c r="P57" s="14">
        <f t="shared" si="33"/>
        <v>53.089765227625676</v>
      </c>
      <c r="Q57" s="22">
        <f t="shared" si="53"/>
        <v>467.42697643811471</v>
      </c>
      <c r="R57" s="62">
        <f t="shared" si="0"/>
        <v>760.76030977144796</v>
      </c>
      <c r="S57" s="62">
        <f ca="1">AVERAGE(OFFSET($R$3,0,0,'Données projet'!$E$9+1,1))-AVERAGE(OFFSET($H$3,0,0,'Données projet'!$E$9+1,1))</f>
        <v>354.56491118410622</v>
      </c>
      <c r="T57" s="62">
        <f t="shared" si="34"/>
        <v>343.77208530767069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13.196485179803982</v>
      </c>
      <c r="AB57" s="23">
        <f>EXP(-LN(2)/2)*AB56+(1-EXP(-LN(2)/2))/(LN(2)/2)*V57*Y57*VLOOKUP('Données projet'!$B$9,Paramètres!$A$1:$I$89,3,0)*0.475*44/12</f>
        <v>3.2724352621840559E-3</v>
      </c>
      <c r="AC57" s="24">
        <f t="shared" si="3"/>
        <v>13.199757615066167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8.4</v>
      </c>
      <c r="AI57" s="14">
        <f>IF('Données projet'!$A$62&gt;35,AI56+AH57-AQ56,IF(A57&lt;'Données projet'!$A$62,$AF$205^A57,IF(A57='Données projet'!$A$62,'Données projet'!$B$62,AI56+AH57-AQ56)))</f>
        <v>315.59999999999985</v>
      </c>
      <c r="AJ57" s="14">
        <f>AI57*VLOOKUP('Données projet'!$B$10,Paramètres!$A$1:$I$89,3,0)*VLOOKUP('Données projet'!$B$10,Paramètres!$A$1:$I$89,5,0)</f>
        <v>231.39791999999986</v>
      </c>
      <c r="AK57" s="14">
        <f t="shared" si="35"/>
        <v>56.584837838715806</v>
      </c>
      <c r="AL57" s="22">
        <f t="shared" si="4"/>
        <v>501.5699699024297</v>
      </c>
      <c r="AM57" s="62">
        <f t="shared" si="5"/>
        <v>794.90330323576302</v>
      </c>
      <c r="AN57" s="62">
        <f ca="1">AVERAGE(OFFSET($AM$3,0,0,'Données projet'!$E$10+1,1))-AVERAGE(OFFSET($H$3,0,0,'Données projet'!$E$10+1,1))</f>
        <v>380.01621935031324</v>
      </c>
      <c r="AO57" s="62">
        <f t="shared" si="36"/>
        <v>365.76175372075869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12.009763638196075</v>
      </c>
      <c r="AW57" s="23">
        <f>EXP(-LN(2)/2)*AW56+(1-EXP(-LN(2)/2))/(LN(2)/2)*AQ57*AT57*VLOOKUP('Données projet'!$B$10,Paramètres!$A$1:$I$89,3,0)*0.475*44/12</f>
        <v>3.620943734878721E-3</v>
      </c>
      <c r="AX57" s="23">
        <f t="shared" si="6"/>
        <v>12.013384581930953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8.6</v>
      </c>
      <c r="BD57" s="13">
        <f>IF('Données projet'!$A$88&gt;35,BD56+BC57-BL56,IF(A57&lt;'Données projet'!$A$88,$BA$205^A57,IF(A57='Données projet'!$A$88,'Données projet'!$B$88,BD56+BC57-BL56)))</f>
        <v>249.39999999999995</v>
      </c>
      <c r="BE57" s="14">
        <f>BD57*VLOOKUP('Données projet'!$B$11,Paramètres!$A$1:$I$89,3,0)*VLOOKUP('Données projet'!$B$11,Paramètres!$A$1:$I$89,5,0)</f>
        <v>217.87583999999998</v>
      </c>
      <c r="BF57" s="14">
        <f t="shared" si="37"/>
        <v>53.652949670124926</v>
      </c>
      <c r="BG57" s="22">
        <f t="shared" si="7"/>
        <v>472.9126420088009</v>
      </c>
      <c r="BH57" s="62">
        <f t="shared" si="8"/>
        <v>766.24597534213422</v>
      </c>
      <c r="BI57" s="62">
        <f ca="1">AVERAGE(OFFSET($BH$3,0,0,'Données projet'!$E$11+1,1))-AVERAGE(OFFSET($H$3,0,0,'Données projet'!$E$11+1,1))</f>
        <v>303.33040062722074</v>
      </c>
      <c r="BJ57" s="62">
        <f t="shared" si="38"/>
        <v>425.30058672361548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9.7993073302588023</v>
      </c>
      <c r="BR57" s="23">
        <f>EXP(-LN(2)/2)*BR56+(1-EXP(-LN(2)/2))/(LN(2)/2)*BL57*BO57*VLOOKUP('Données projet'!$B$11,Paramètres!$A$1:$I$89,3,0)*0.475*44/12</f>
        <v>4.1052266350158828E-3</v>
      </c>
      <c r="BS57" s="24">
        <f t="shared" si="9"/>
        <v>9.803412556893818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278</v>
      </c>
      <c r="L58" s="13">
        <f>VLOOKUP(A58,'Données projet'!$A$35:$I$55,9,0)</f>
        <v>7.4</v>
      </c>
      <c r="M58" s="13">
        <f t="array" ref="M58">INDEX(L:L,MIN(IF(ISNUMBER(L58:L254),ROW(L58:L254),"")))</f>
        <v>7.4</v>
      </c>
      <c r="N58" s="14">
        <f>IF('Données projet'!$A$36&gt;35,N57+M58-V57,IF(A58&lt;'Données projet'!$A$36,$K$205^A58,IF(A58='Données projet'!$A$36,'Données projet'!$B$36,N57+M58-V57)))</f>
        <v>277.99999999999994</v>
      </c>
      <c r="O58" s="14">
        <f>N58*VLOOKUP('Données projet'!$B$9,Paramètres!$A$1:$I$89,3,0)*VLOOKUP('Données projet'!$B$9,Paramètres!$A$1:$I$89,5,0)</f>
        <v>221.17679999999996</v>
      </c>
      <c r="P58" s="14">
        <f t="shared" si="33"/>
        <v>54.370577918219368</v>
      </c>
      <c r="Q58" s="22">
        <f t="shared" si="53"/>
        <v>479.91168320756537</v>
      </c>
      <c r="R58" s="62">
        <f t="shared" si="0"/>
        <v>773.24501654089863</v>
      </c>
      <c r="S58" s="62">
        <f ca="1">AVERAGE(OFFSET($R$3,0,0,'Données projet'!$E$9+1,1))-AVERAGE(OFFSET($H$3,0,0,'Données projet'!$E$9+1,1))</f>
        <v>354.56491118410622</v>
      </c>
      <c r="T58" s="62">
        <f t="shared" si="34"/>
        <v>343.77208530767069</v>
      </c>
      <c r="U58" s="16">
        <f>IF(ISNA(VLOOKUP(A58,'Données projet'!$A$35:$I$55,3,0)),0,VLOOKUP(A58,'Données projet'!$A$35:$I$55,3,0))</f>
        <v>10</v>
      </c>
      <c r="V58" s="16">
        <f>IF(ISNA(VLOOKUP(A58,'Données projet'!$A$35:$I$55,4,0)),0,VLOOKUP(A58,'Données projet'!$A$35:$I$55,4,0))</f>
        <v>16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12.835626598589247</v>
      </c>
      <c r="AB58" s="23">
        <f>EXP(-LN(2)/2)*AB57+(1-EXP(-LN(2)/2))/(LN(2)/2)*V58*Y58*VLOOKUP('Données projet'!$B$9,Paramètres!$A$1:$I$89,3,0)*0.475*44/12</f>
        <v>2.3139611648843234E-3</v>
      </c>
      <c r="AC58" s="24">
        <f t="shared" si="3"/>
        <v>12.837940559754131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324</v>
      </c>
      <c r="AG58" s="13">
        <f>VLOOKUP(A58,'Données projet'!$A$61:$I$81,9,0)</f>
        <v>8.4</v>
      </c>
      <c r="AH58" s="13">
        <f t="array" ref="AH58">INDEX(AG:AG,MIN(IF(ISNUMBER(AG58:AG254),ROW(AG58:AG254),"")))</f>
        <v>8.4</v>
      </c>
      <c r="AI58" s="14">
        <f>IF('Données projet'!$A$62&gt;35,AI57+AH58-AQ57,IF(A58&lt;'Données projet'!$A$62,$AF$205^A58,IF(A58='Données projet'!$A$62,'Données projet'!$B$62,AI57+AH58-AQ57)))</f>
        <v>323.99999999999983</v>
      </c>
      <c r="AJ58" s="14">
        <f>AI58*VLOOKUP('Données projet'!$B$10,Paramètres!$A$1:$I$89,3,0)*VLOOKUP('Données projet'!$B$10,Paramètres!$A$1:$I$89,5,0)</f>
        <v>237.55679999999987</v>
      </c>
      <c r="AK58" s="14">
        <f t="shared" si="35"/>
        <v>57.913551469467308</v>
      </c>
      <c r="AL58" s="22">
        <f t="shared" si="4"/>
        <v>514.61086214265526</v>
      </c>
      <c r="AM58" s="62">
        <f t="shared" si="5"/>
        <v>807.94419547598864</v>
      </c>
      <c r="AN58" s="62">
        <f ca="1">AVERAGE(OFFSET($AM$3,0,0,'Données projet'!$E$10+1,1))-AVERAGE(OFFSET($H$3,0,0,'Données projet'!$E$10+1,1))</f>
        <v>380.01621935031324</v>
      </c>
      <c r="AO58" s="62">
        <f t="shared" si="36"/>
        <v>365.76175372075869</v>
      </c>
      <c r="AP58" s="16">
        <f>IF(ISNA(VLOOKUP(A58,'Données projet'!$A$61:$I$81,3,0)),0,VLOOKUP(A58,'Données projet'!$A$61:$I$81,3,0))</f>
        <v>10</v>
      </c>
      <c r="AQ58" s="16">
        <f>IF(ISNA(VLOOKUP(A58,'Données projet'!$A$61:$I$81,4,0)),0,VLOOKUP(A58,'Données projet'!$A$61:$I$81,4,0))</f>
        <v>18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11.681356019943582</v>
      </c>
      <c r="AW58" s="23">
        <f>EXP(-LN(2)/2)*AW57+(1-EXP(-LN(2)/2))/(LN(2)/2)*AQ58*AT58*VLOOKUP('Données projet'!$B$10,Paramètres!$A$1:$I$89,3,0)*0.475*44/12</f>
        <v>2.5603938692276879E-3</v>
      </c>
      <c r="AX58" s="23">
        <f t="shared" si="6"/>
        <v>11.68391641381281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258</v>
      </c>
      <c r="BB58" s="13">
        <f>VLOOKUP(A58,'Données projet'!$A$87:$I$107,9,0)</f>
        <v>8.6</v>
      </c>
      <c r="BC58" s="13">
        <f t="array" ref="BC58">INDEX(BB:BB,MIN(IF(ISNUMBER(BB58:BB254),ROW(BB58:BB254),"")))</f>
        <v>8.6</v>
      </c>
      <c r="BD58" s="13">
        <f>IF('Données projet'!$A$88&gt;35,BD57+BC58-BL57,IF(A58&lt;'Données projet'!$A$88,$BA$205^A58,IF(A58='Données projet'!$A$88,'Données projet'!$B$88,BD57+BC58-BL57)))</f>
        <v>257.99999999999994</v>
      </c>
      <c r="BE58" s="14">
        <f>BD58*VLOOKUP('Données projet'!$B$11,Paramètres!$A$1:$I$89,3,0)*VLOOKUP('Données projet'!$B$11,Paramètres!$A$1:$I$89,5,0)</f>
        <v>225.3888</v>
      </c>
      <c r="BF58" s="14">
        <f t="shared" si="37"/>
        <v>55.284460117161593</v>
      </c>
      <c r="BG58" s="22">
        <f t="shared" si="7"/>
        <v>488.83926137072308</v>
      </c>
      <c r="BH58" s="62">
        <f t="shared" si="8"/>
        <v>782.17259470405634</v>
      </c>
      <c r="BI58" s="62">
        <f ca="1">AVERAGE(OFFSET($BH$3,0,0,'Données projet'!$E$11+1,1))-AVERAGE(OFFSET($H$3,0,0,'Données projet'!$E$11+1,1))</f>
        <v>303.33040062722074</v>
      </c>
      <c r="BJ58" s="62">
        <f t="shared" si="38"/>
        <v>425.30058672361548</v>
      </c>
      <c r="BK58" s="16">
        <f>IF(ISNA(VLOOKUP(A58,'Données projet'!$A$87:$I$107,3,0)),0,VLOOKUP(A58,'Données projet'!$A$87:$I$107,3,0))</f>
        <v>9</v>
      </c>
      <c r="BL58" s="16">
        <f>IF(ISNA(VLOOKUP(A58,'Données projet'!$A$87:$I$107,4,0)),0,VLOOKUP(A58,'Données projet'!$A$87:$I$107,4,0))</f>
        <v>258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9.5313447559897</v>
      </c>
      <c r="BR58" s="23">
        <f>EXP(-LN(2)/2)*BR57+(1-EXP(-LN(2)/2))/(LN(2)/2)*BL58*BO58*VLOOKUP('Données projet'!$B$11,Paramètres!$A$1:$I$89,3,0)*0.475*44/12</f>
        <v>2.9028335919273627E-3</v>
      </c>
      <c r="BS58" s="24">
        <f t="shared" si="9"/>
        <v>9.5342475895816268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6.4</v>
      </c>
      <c r="N59" s="14">
        <f>IF('Données projet'!$A$36&gt;35,N58+M59-V58,IF(A59&lt;'Données projet'!$A$36,$K$205^A59,IF(A59='Données projet'!$A$36,'Données projet'!$B$36,N58+M59-V58)))</f>
        <v>268.39999999999992</v>
      </c>
      <c r="O59" s="14">
        <f>N59*VLOOKUP('Données projet'!$B$9,Paramètres!$A$1:$I$89,3,0)*VLOOKUP('Données projet'!$B$9,Paramètres!$A$1:$I$89,5,0)</f>
        <v>213.53903999999994</v>
      </c>
      <c r="P59" s="14">
        <f t="shared" si="33"/>
        <v>52.708201158564101</v>
      </c>
      <c r="Q59" s="22">
        <f t="shared" si="53"/>
        <v>463.71394501783237</v>
      </c>
      <c r="R59" s="62">
        <f t="shared" si="0"/>
        <v>757.04727835116569</v>
      </c>
      <c r="S59" s="62">
        <f ca="1">AVERAGE(OFFSET($R$3,0,0,'Données projet'!$E$9+1,1))-AVERAGE(OFFSET($H$3,0,0,'Données projet'!$E$9+1,1))</f>
        <v>354.56491118410622</v>
      </c>
      <c r="T59" s="62">
        <f t="shared" si="34"/>
        <v>343.77208530767069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12.484635714254557</v>
      </c>
      <c r="AB59" s="23">
        <f>EXP(-LN(2)/2)*AB58+(1-EXP(-LN(2)/2))/(LN(2)/2)*V59*Y59*VLOOKUP('Données projet'!$B$9,Paramètres!$A$1:$I$89,3,0)*0.475*44/12</f>
        <v>1.636217631092028E-3</v>
      </c>
      <c r="AC59" s="24">
        <f t="shared" si="3"/>
        <v>12.486271931885648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7.4</v>
      </c>
      <c r="AI59" s="14">
        <f>IF('Données projet'!$A$62&gt;35,AI58+AH59-AQ58,IF(A59&lt;'Données projet'!$A$62,$AF$205^A59,IF(A59='Données projet'!$A$62,'Données projet'!$B$62,AI58+AH59-AQ58)))</f>
        <v>313.39999999999981</v>
      </c>
      <c r="AJ59" s="14">
        <f>AI59*VLOOKUP('Données projet'!$B$10,Paramètres!$A$1:$I$89,3,0)*VLOOKUP('Données projet'!$B$10,Paramètres!$A$1:$I$89,5,0)</f>
        <v>229.78487999999984</v>
      </c>
      <c r="AK59" s="14">
        <f t="shared" si="35"/>
        <v>56.236165024777975</v>
      </c>
      <c r="AL59" s="22">
        <f t="shared" si="4"/>
        <v>498.15332008482136</v>
      </c>
      <c r="AM59" s="62">
        <f t="shared" si="5"/>
        <v>791.48665341815467</v>
      </c>
      <c r="AN59" s="62">
        <f ca="1">AVERAGE(OFFSET($AM$3,0,0,'Données projet'!$E$10+1,1))-AVERAGE(OFFSET($H$3,0,0,'Données projet'!$E$10+1,1))</f>
        <v>380.01621935031324</v>
      </c>
      <c r="AO59" s="62">
        <f t="shared" si="36"/>
        <v>365.76175372075869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11.361928725282409</v>
      </c>
      <c r="AW59" s="23">
        <f>EXP(-LN(2)/2)*AW58+(1-EXP(-LN(2)/2))/(LN(2)/2)*AQ59*AT59*VLOOKUP('Données projet'!$B$10,Paramètres!$A$1:$I$89,3,0)*0.475*44/12</f>
        <v>1.8104718674393605E-3</v>
      </c>
      <c r="AX59" s="23">
        <f t="shared" si="6"/>
        <v>11.363739197149849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-5.6843418860808015E-14</v>
      </c>
      <c r="BE59" s="14">
        <f>BD59*VLOOKUP('Données projet'!$B$11,Paramètres!$A$1:$I$89,3,0)*VLOOKUP('Données projet'!$B$11,Paramètres!$A$1:$I$89,5,0)</f>
        <v>-4.9658410716801891E-14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303.33040062722074</v>
      </c>
      <c r="BJ59" s="62">
        <f t="shared" si="38"/>
        <v>425.30058672361548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9.2707096324055254</v>
      </c>
      <c r="BR59" s="23">
        <f>EXP(-LN(2)/2)*BR58+(1-EXP(-LN(2)/2))/(LN(2)/2)*BL59*BO59*VLOOKUP('Données projet'!$B$11,Paramètres!$A$1:$I$89,3,0)*0.475*44/12</f>
        <v>2.0526133175079414E-3</v>
      </c>
      <c r="BS59" s="24">
        <f t="shared" si="9"/>
        <v>9.2727622457230332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6.4</v>
      </c>
      <c r="N60" s="14">
        <f>IF('Données projet'!$A$36&gt;35,N59+M60-V59,IF(A60&lt;'Données projet'!$A$36,$K$205^A60,IF(A60='Données projet'!$A$36,'Données projet'!$B$36,N59+M60-V59)))</f>
        <v>274.7999999999999</v>
      </c>
      <c r="O60" s="14">
        <f>N60*VLOOKUP('Données projet'!$B$9,Paramètres!$A$1:$I$89,3,0)*VLOOKUP('Données projet'!$B$9,Paramètres!$A$1:$I$89,5,0)</f>
        <v>218.63087999999991</v>
      </c>
      <c r="P60" s="14">
        <f t="shared" si="33"/>
        <v>53.817206223982794</v>
      </c>
      <c r="Q60" s="22">
        <f t="shared" si="53"/>
        <v>474.51375017343656</v>
      </c>
      <c r="R60" s="62">
        <f t="shared" si="0"/>
        <v>767.84708350676988</v>
      </c>
      <c r="S60" s="62">
        <f ca="1">AVERAGE(OFFSET($R$3,0,0,'Données projet'!$E$9+1,1))-AVERAGE(OFFSET($H$3,0,0,'Données projet'!$E$9+1,1))</f>
        <v>354.56491118410622</v>
      </c>
      <c r="T60" s="62">
        <f t="shared" si="34"/>
        <v>343.77208530767069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12.143242694109807</v>
      </c>
      <c r="AB60" s="23">
        <f>EXP(-LN(2)/2)*AB59+(1-EXP(-LN(2)/2))/(LN(2)/2)*V60*Y60*VLOOKUP('Données projet'!$B$9,Paramètres!$A$1:$I$89,3,0)*0.475*44/12</f>
        <v>1.1569805824421617E-3</v>
      </c>
      <c r="AC60" s="24">
        <f t="shared" si="3"/>
        <v>12.144399674692249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7.4</v>
      </c>
      <c r="AI60" s="14">
        <f>IF('Données projet'!$A$62&gt;35,AI59+AH60-AQ59,IF(A60&lt;'Données projet'!$A$62,$AF$205^A60,IF(A60='Données projet'!$A$62,'Données projet'!$B$62,AI59+AH60-AQ59)))</f>
        <v>320.79999999999978</v>
      </c>
      <c r="AJ60" s="14">
        <f>AI60*VLOOKUP('Données projet'!$B$10,Paramètres!$A$1:$I$89,3,0)*VLOOKUP('Données projet'!$B$10,Paramètres!$A$1:$I$89,5,0)</f>
        <v>235.21055999999984</v>
      </c>
      <c r="AK60" s="14">
        <f t="shared" si="35"/>
        <v>57.407853322119394</v>
      </c>
      <c r="AL60" s="22">
        <f t="shared" si="4"/>
        <v>509.64373653602433</v>
      </c>
      <c r="AM60" s="62">
        <f t="shared" si="5"/>
        <v>802.97706986935759</v>
      </c>
      <c r="AN60" s="62">
        <f ca="1">AVERAGE(OFFSET($AM$3,0,0,'Données projet'!$E$10+1,1))-AVERAGE(OFFSET($H$3,0,0,'Données projet'!$E$10+1,1))</f>
        <v>380.01621935031324</v>
      </c>
      <c r="AO60" s="62">
        <f t="shared" si="36"/>
        <v>365.76175372075869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11.051236186791698</v>
      </c>
      <c r="AW60" s="23">
        <f>EXP(-LN(2)/2)*AW59+(1-EXP(-LN(2)/2))/(LN(2)/2)*AQ60*AT60*VLOOKUP('Données projet'!$B$10,Paramètres!$A$1:$I$89,3,0)*0.475*44/12</f>
        <v>1.2801969346138439E-3</v>
      </c>
      <c r="AX60" s="23">
        <f t="shared" si="6"/>
        <v>11.052516383726312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-5.6843418860808015E-14</v>
      </c>
      <c r="BE60" s="14">
        <f>BD60*VLOOKUP('Données projet'!$B$11,Paramètres!$A$1:$I$89,3,0)*VLOOKUP('Données projet'!$B$11,Paramètres!$A$1:$I$89,5,0)</f>
        <v>-4.9658410716801891E-14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303.33040062722074</v>
      </c>
      <c r="BJ60" s="62">
        <f t="shared" si="38"/>
        <v>425.30058672361548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9.0172015899819655</v>
      </c>
      <c r="BR60" s="23">
        <f>EXP(-LN(2)/2)*BR59+(1-EXP(-LN(2)/2))/(LN(2)/2)*BL60*BO60*VLOOKUP('Données projet'!$B$11,Paramètres!$A$1:$I$89,3,0)*0.475*44/12</f>
        <v>1.4514167959636813E-3</v>
      </c>
      <c r="BS60" s="24">
        <f t="shared" si="9"/>
        <v>9.0186530067779298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6.4</v>
      </c>
      <c r="N61" s="14">
        <f>IF('Données projet'!$A$36&gt;35,N60+M61-V60,IF(A61&lt;'Données projet'!$A$36,$K$205^A61,IF(A61='Données projet'!$A$36,'Données projet'!$B$36,N60+M61-V60)))</f>
        <v>281.19999999999987</v>
      </c>
      <c r="O61" s="14">
        <f>N61*VLOOKUP('Données projet'!$B$9,Paramètres!$A$1:$I$89,3,0)*VLOOKUP('Données projet'!$B$9,Paramètres!$A$1:$I$89,5,0)</f>
        <v>223.72271999999992</v>
      </c>
      <c r="P61" s="14">
        <f t="shared" si="33"/>
        <v>54.923208653192283</v>
      </c>
      <c r="Q61" s="22">
        <f t="shared" si="53"/>
        <v>485.30832573764309</v>
      </c>
      <c r="R61" s="62">
        <f t="shared" si="0"/>
        <v>778.6416590709764</v>
      </c>
      <c r="S61" s="62">
        <f ca="1">AVERAGE(OFFSET($R$3,0,0,'Données projet'!$E$9+1,1))-AVERAGE(OFFSET($H$3,0,0,'Données projet'!$E$9+1,1))</f>
        <v>354.56491118410622</v>
      </c>
      <c r="T61" s="62">
        <f t="shared" si="34"/>
        <v>343.77208530767069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11.811185084053994</v>
      </c>
      <c r="AB61" s="23">
        <f>EXP(-LN(2)/2)*AB60+(1-EXP(-LN(2)/2))/(LN(2)/2)*V61*Y61*VLOOKUP('Données projet'!$B$9,Paramètres!$A$1:$I$89,3,0)*0.475*44/12</f>
        <v>8.1810881554601398E-4</v>
      </c>
      <c r="AC61" s="24">
        <f t="shared" si="3"/>
        <v>11.81200319286954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7.4</v>
      </c>
      <c r="AI61" s="14">
        <f>IF('Données projet'!$A$62&gt;35,AI60+AH61-AQ60,IF(A61&lt;'Données projet'!$A$62,$AF$205^A61,IF(A61='Données projet'!$A$62,'Données projet'!$B$62,AI60+AH61-AQ60)))</f>
        <v>328.19999999999976</v>
      </c>
      <c r="AJ61" s="14">
        <f>AI61*VLOOKUP('Données projet'!$B$10,Paramètres!$A$1:$I$89,3,0)*VLOOKUP('Données projet'!$B$10,Paramètres!$A$1:$I$89,5,0)</f>
        <v>240.63623999999982</v>
      </c>
      <c r="AK61" s="14">
        <f t="shared" si="35"/>
        <v>58.576399517863109</v>
      </c>
      <c r="AL61" s="22">
        <f t="shared" si="4"/>
        <v>521.12868049361134</v>
      </c>
      <c r="AM61" s="62">
        <f t="shared" si="5"/>
        <v>814.46201382694471</v>
      </c>
      <c r="AN61" s="62">
        <f ca="1">AVERAGE(OFFSET($AM$3,0,0,'Données projet'!$E$10+1,1))-AVERAGE(OFFSET($H$3,0,0,'Données projet'!$E$10+1,1))</f>
        <v>380.01621935031324</v>
      </c>
      <c r="AO61" s="62">
        <f t="shared" si="36"/>
        <v>365.76175372075869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10.749039552104627</v>
      </c>
      <c r="AW61" s="23">
        <f>EXP(-LN(2)/2)*AW60+(1-EXP(-LN(2)/2))/(LN(2)/2)*AQ61*AT61*VLOOKUP('Données projet'!$B$10,Paramètres!$A$1:$I$89,3,0)*0.475*44/12</f>
        <v>9.0523593371968024E-4</v>
      </c>
      <c r="AX61" s="23">
        <f t="shared" si="6"/>
        <v>10.749944788038347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-5.6843418860808015E-14</v>
      </c>
      <c r="BE61" s="14">
        <f>BD61*VLOOKUP('Données projet'!$B$11,Paramètres!$A$1:$I$89,3,0)*VLOOKUP('Données projet'!$B$11,Paramètres!$A$1:$I$89,5,0)</f>
        <v>-4.9658410716801891E-14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303.33040062722074</v>
      </c>
      <c r="BJ61" s="62">
        <f t="shared" si="38"/>
        <v>425.30058672361548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8.7706257383098869</v>
      </c>
      <c r="BR61" s="23">
        <f>EXP(-LN(2)/2)*BR60+(1-EXP(-LN(2)/2))/(LN(2)/2)*BL61*BO61*VLOOKUP('Données projet'!$B$11,Paramètres!$A$1:$I$89,3,0)*0.475*44/12</f>
        <v>1.0263066587539707E-3</v>
      </c>
      <c r="BS61" s="24">
        <f t="shared" si="9"/>
        <v>8.7716520449686417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6.4</v>
      </c>
      <c r="N62" s="14">
        <f>IF('Données projet'!$A$36&gt;35,N61+M62-V61,IF(A62&lt;'Données projet'!$A$36,$K$205^A62,IF(A62='Données projet'!$A$36,'Données projet'!$B$36,N61+M62-V61)))</f>
        <v>287.59999999999985</v>
      </c>
      <c r="O62" s="14">
        <f>N62*VLOOKUP('Données projet'!$B$9,Paramètres!$A$1:$I$89,3,0)*VLOOKUP('Données projet'!$B$9,Paramètres!$A$1:$I$89,5,0)</f>
        <v>228.81455999999989</v>
      </c>
      <c r="P62" s="14">
        <f t="shared" si="33"/>
        <v>56.026284651959251</v>
      </c>
      <c r="Q62" s="22">
        <f t="shared" si="53"/>
        <v>496.09780443549545</v>
      </c>
      <c r="R62" s="62">
        <f t="shared" si="0"/>
        <v>789.43113776882876</v>
      </c>
      <c r="S62" s="62">
        <f ca="1">AVERAGE(OFFSET($R$3,0,0,'Données projet'!$E$9+1,1))-AVERAGE(OFFSET($H$3,0,0,'Données projet'!$E$9+1,1))</f>
        <v>354.56491118410622</v>
      </c>
      <c r="T62" s="62">
        <f t="shared" si="34"/>
        <v>343.77208530767069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11.488207606807309</v>
      </c>
      <c r="AB62" s="23">
        <f>EXP(-LN(2)/2)*AB61+(1-EXP(-LN(2)/2))/(LN(2)/2)*V62*Y62*VLOOKUP('Données projet'!$B$9,Paramètres!$A$1:$I$89,3,0)*0.475*44/12</f>
        <v>5.7849029122108086E-4</v>
      </c>
      <c r="AC62" s="24">
        <f t="shared" si="3"/>
        <v>11.488786097098531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7.4</v>
      </c>
      <c r="AI62" s="14">
        <f>IF('Données projet'!$A$62&gt;35,AI61+AH62-AQ61,IF(A62&lt;'Données projet'!$A$62,$AF$205^A62,IF(A62='Données projet'!$A$62,'Données projet'!$B$62,AI61+AH62-AQ61)))</f>
        <v>335.59999999999974</v>
      </c>
      <c r="AJ62" s="14">
        <f>AI62*VLOOKUP('Données projet'!$B$10,Paramètres!$A$1:$I$89,3,0)*VLOOKUP('Données projet'!$B$10,Paramètres!$A$1:$I$89,5,0)</f>
        <v>246.06191999999979</v>
      </c>
      <c r="AK62" s="14">
        <f t="shared" si="35"/>
        <v>59.741882613953308</v>
      </c>
      <c r="AL62" s="22">
        <f t="shared" si="4"/>
        <v>532.60828955263503</v>
      </c>
      <c r="AM62" s="62">
        <f t="shared" si="5"/>
        <v>825.9416228859684</v>
      </c>
      <c r="AN62" s="62">
        <f ca="1">AVERAGE(OFFSET($AM$3,0,0,'Données projet'!$E$10+1,1))-AVERAGE(OFFSET($H$3,0,0,'Données projet'!$E$10+1,1))</f>
        <v>380.01621935031324</v>
      </c>
      <c r="AO62" s="62">
        <f t="shared" si="36"/>
        <v>365.76175372075869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10.455106500284902</v>
      </c>
      <c r="AW62" s="23">
        <f>EXP(-LN(2)/2)*AW61+(1-EXP(-LN(2)/2))/(LN(2)/2)*AQ62*AT62*VLOOKUP('Données projet'!$B$10,Paramètres!$A$1:$I$89,3,0)*0.475*44/12</f>
        <v>6.4009846730692197E-4</v>
      </c>
      <c r="AX62" s="23">
        <f t="shared" si="6"/>
        <v>10.455746598752208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-5.6843418860808015E-14</v>
      </c>
      <c r="BE62" s="14">
        <f>BD62*VLOOKUP('Données projet'!$B$11,Paramètres!$A$1:$I$89,3,0)*VLOOKUP('Données projet'!$B$11,Paramètres!$A$1:$I$89,5,0)</f>
        <v>-4.9658410716801891E-14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303.33040062722074</v>
      </c>
      <c r="BJ62" s="62">
        <f t="shared" si="38"/>
        <v>425.30058672361548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8.5307925162686402</v>
      </c>
      <c r="BR62" s="23">
        <f>EXP(-LN(2)/2)*BR61+(1-EXP(-LN(2)/2))/(LN(2)/2)*BL62*BO62*VLOOKUP('Données projet'!$B$11,Paramètres!$A$1:$I$89,3,0)*0.475*44/12</f>
        <v>7.2570839798184066E-4</v>
      </c>
      <c r="BS62" s="24">
        <f t="shared" si="9"/>
        <v>8.5315182246666215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294</v>
      </c>
      <c r="L63" s="13">
        <f>VLOOKUP(A63,'Données projet'!$A$35:$I$55,9,0)</f>
        <v>6.4</v>
      </c>
      <c r="M63" s="13">
        <f t="array" ref="M63">INDEX(L:L,MIN(IF(ISNUMBER(L63:L259),ROW(L63:L259),"")))</f>
        <v>6.4</v>
      </c>
      <c r="N63" s="14">
        <f>IF('Données projet'!$A$36&gt;35,N62+M63-V62,IF(A63&lt;'Données projet'!$A$36,$K$205^A63,IF(A63='Données projet'!$A$36,'Données projet'!$B$36,N62+M63-V62)))</f>
        <v>293.99999999999983</v>
      </c>
      <c r="O63" s="14">
        <f>N63*VLOOKUP('Données projet'!$B$9,Paramètres!$A$1:$I$89,3,0)*VLOOKUP('Données projet'!$B$9,Paramètres!$A$1:$I$89,5,0)</f>
        <v>233.90639999999988</v>
      </c>
      <c r="P63" s="14">
        <f t="shared" si="33"/>
        <v>57.126506840778347</v>
      </c>
      <c r="Q63" s="22">
        <f t="shared" si="53"/>
        <v>506.88231274768867</v>
      </c>
      <c r="R63" s="62">
        <f t="shared" si="0"/>
        <v>800.21564608102199</v>
      </c>
      <c r="S63" s="62">
        <f ca="1">AVERAGE(OFFSET($R$3,0,0,'Données projet'!$E$9+1,1))-AVERAGE(OFFSET($H$3,0,0,'Données projet'!$E$9+1,1))</f>
        <v>354.56491118410622</v>
      </c>
      <c r="T63" s="62">
        <f t="shared" si="34"/>
        <v>343.77208530767069</v>
      </c>
      <c r="U63" s="16">
        <f>IF(ISNA(VLOOKUP(A63,'Données projet'!$A$35:$I$55,3,0)),0,VLOOKUP(A63,'Données projet'!$A$35:$I$55,3,0))</f>
        <v>11</v>
      </c>
      <c r="V63" s="16">
        <f>IF(ISNA(VLOOKUP(A63,'Données projet'!$A$35:$I$55,4,0)),0,VLOOKUP(A63,'Données projet'!$A$35:$I$55,4,0))</f>
        <v>14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11.174061965660583</v>
      </c>
      <c r="AB63" s="23">
        <f>EXP(-LN(2)/2)*AB62+(1-EXP(-LN(2)/2))/(LN(2)/2)*V63*Y63*VLOOKUP('Données projet'!$B$9,Paramètres!$A$1:$I$89,3,0)*0.475*44/12</f>
        <v>4.0905440777300699E-4</v>
      </c>
      <c r="AC63" s="24">
        <f t="shared" si="3"/>
        <v>11.174471020068356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343</v>
      </c>
      <c r="AG63" s="13">
        <f>VLOOKUP(A63,'Données projet'!$A$61:$I$81,9,0)</f>
        <v>7.4</v>
      </c>
      <c r="AH63" s="13">
        <f t="array" ref="AH63">INDEX(AG:AG,MIN(IF(ISNUMBER(AG63:AG259),ROW(AG63:AG259),"")))</f>
        <v>7.4</v>
      </c>
      <c r="AI63" s="14">
        <f>IF('Données projet'!$A$62&gt;35,AI62+AH63-AQ62,IF(A63&lt;'Données projet'!$A$62,$AF$205^A63,IF(A63='Données projet'!$A$62,'Données projet'!$B$62,AI62+AH63-AQ62)))</f>
        <v>342.99999999999972</v>
      </c>
      <c r="AJ63" s="14">
        <f>AI63*VLOOKUP('Données projet'!$B$10,Paramètres!$A$1:$I$89,3,0)*VLOOKUP('Données projet'!$B$10,Paramètres!$A$1:$I$89,5,0)</f>
        <v>251.48759999999979</v>
      </c>
      <c r="AK63" s="14">
        <f t="shared" si="35"/>
        <v>60.904377929400603</v>
      </c>
      <c r="AL63" s="22">
        <f t="shared" si="4"/>
        <v>544.08269489370571</v>
      </c>
      <c r="AM63" s="62">
        <f t="shared" si="5"/>
        <v>837.41602822703908</v>
      </c>
      <c r="AN63" s="62">
        <f ca="1">AVERAGE(OFFSET($AM$3,0,0,'Données projet'!$E$10+1,1))-AVERAGE(OFFSET($H$3,0,0,'Données projet'!$E$10+1,1))</f>
        <v>380.01621935031324</v>
      </c>
      <c r="AO63" s="62">
        <f t="shared" si="36"/>
        <v>365.76175372075869</v>
      </c>
      <c r="AP63" s="16">
        <f>IF(ISNA(VLOOKUP(A63,'Données projet'!$A$61:$I$81,3,0)),0,VLOOKUP(A63,'Données projet'!$A$61:$I$81,3,0))</f>
        <v>11</v>
      </c>
      <c r="AQ63" s="16">
        <f>IF(ISNA(VLOOKUP(A63,'Données projet'!$A$61:$I$81,4,0)),0,VLOOKUP(A63,'Données projet'!$A$61:$I$81,4,0))</f>
        <v>17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10.169211063224456</v>
      </c>
      <c r="AW63" s="23">
        <f>EXP(-LN(2)/2)*AW62+(1-EXP(-LN(2)/2))/(LN(2)/2)*AQ63*AT63*VLOOKUP('Données projet'!$B$10,Paramètres!$A$1:$I$89,3,0)*0.475*44/12</f>
        <v>4.5261796685984012E-4</v>
      </c>
      <c r="AX63" s="23">
        <f t="shared" si="6"/>
        <v>10.169663681191315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-5.6843418860808015E-14</v>
      </c>
      <c r="BE63" s="14">
        <f>BD63*VLOOKUP('Données projet'!$B$11,Paramètres!$A$1:$I$89,3,0)*VLOOKUP('Données projet'!$B$11,Paramètres!$A$1:$I$89,5,0)</f>
        <v>-4.9658410716801891E-14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303.33040062722074</v>
      </c>
      <c r="BJ63" s="62">
        <f t="shared" si="38"/>
        <v>425.30058672361548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8.2975175462963939</v>
      </c>
      <c r="BR63" s="23">
        <f>EXP(-LN(2)/2)*BR62+(1-EXP(-LN(2)/2))/(LN(2)/2)*BL63*BO63*VLOOKUP('Données projet'!$B$11,Paramètres!$A$1:$I$89,3,0)*0.475*44/12</f>
        <v>5.1315332937698535E-4</v>
      </c>
      <c r="BS63" s="24">
        <f t="shared" si="9"/>
        <v>8.2980306996257713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5.2</v>
      </c>
      <c r="N64" s="14">
        <f>IF('Données projet'!$A$36&gt;35,N63+M64-V63,IF(A64&lt;'Données projet'!$A$36,$K$205^A64,IF(A64='Données projet'!$A$36,'Données projet'!$B$36,N63+M64-V63)))</f>
        <v>285.19999999999982</v>
      </c>
      <c r="O64" s="14">
        <f>N64*VLOOKUP('Données projet'!$B$9,Paramètres!$A$1:$I$89,3,0)*VLOOKUP('Données projet'!$B$9,Paramètres!$A$1:$I$89,5,0)</f>
        <v>226.90511999999987</v>
      </c>
      <c r="P64" s="14">
        <f t="shared" si="33"/>
        <v>55.612969408444364</v>
      </c>
      <c r="Q64" s="22">
        <f t="shared" si="53"/>
        <v>492.05233905304038</v>
      </c>
      <c r="R64" s="62">
        <f t="shared" si="0"/>
        <v>785.3856723863737</v>
      </c>
      <c r="S64" s="62">
        <f ca="1">AVERAGE(OFFSET($R$3,0,0,'Données projet'!$E$9+1,1))-AVERAGE(OFFSET($H$3,0,0,'Données projet'!$E$9+1,1))</f>
        <v>354.56491118410622</v>
      </c>
      <c r="T64" s="62">
        <f t="shared" si="34"/>
        <v>343.77208530767069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10.868506653591213</v>
      </c>
      <c r="AB64" s="23">
        <f>EXP(-LN(2)/2)*AB63+(1-EXP(-LN(2)/2))/(LN(2)/2)*V64*Y64*VLOOKUP('Données projet'!$B$9,Paramètres!$A$1:$I$89,3,0)*0.475*44/12</f>
        <v>2.8924514561054043E-4</v>
      </c>
      <c r="AC64" s="24">
        <f t="shared" si="3"/>
        <v>10.868795898736824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6</v>
      </c>
      <c r="AI64" s="14">
        <f>IF('Données projet'!$A$62&gt;35,AI63+AH64-AQ63,IF(A64&lt;'Données projet'!$A$62,$AF$205^A64,IF(A64='Données projet'!$A$62,'Données projet'!$B$62,AI63+AH64-AQ63)))</f>
        <v>331.99999999999972</v>
      </c>
      <c r="AJ64" s="14">
        <f>AI64*VLOOKUP('Données projet'!$B$10,Paramètres!$A$1:$I$89,3,0)*VLOOKUP('Données projet'!$B$10,Paramètres!$A$1:$I$89,5,0)</f>
        <v>243.42239999999978</v>
      </c>
      <c r="AK64" s="14">
        <f t="shared" si="35"/>
        <v>59.175268615646175</v>
      </c>
      <c r="AL64" s="22">
        <f t="shared" si="4"/>
        <v>527.02427283891677</v>
      </c>
      <c r="AM64" s="62">
        <f t="shared" si="5"/>
        <v>820.35760617225014</v>
      </c>
      <c r="AN64" s="62">
        <f ca="1">AVERAGE(OFFSET($AM$3,0,0,'Données projet'!$E$10+1,1))-AVERAGE(OFFSET($H$3,0,0,'Données projet'!$E$10+1,1))</f>
        <v>380.01621935031324</v>
      </c>
      <c r="AO64" s="62">
        <f t="shared" si="36"/>
        <v>365.76175372075869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9.8911334519250147</v>
      </c>
      <c r="AW64" s="23">
        <f>EXP(-LN(2)/2)*AW63+(1-EXP(-LN(2)/2))/(LN(2)/2)*AQ64*AT64*VLOOKUP('Données projet'!$B$10,Paramètres!$A$1:$I$89,3,0)*0.475*44/12</f>
        <v>3.2004923365346098E-4</v>
      </c>
      <c r="AX64" s="23">
        <f t="shared" si="6"/>
        <v>9.8914535011586686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-5.6843418860808015E-14</v>
      </c>
      <c r="BE64" s="14">
        <f>BD64*VLOOKUP('Données projet'!$B$11,Paramètres!$A$1:$I$89,3,0)*VLOOKUP('Données projet'!$B$11,Paramètres!$A$1:$I$89,5,0)</f>
        <v>-4.9658410716801891E-14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303.33040062722074</v>
      </c>
      <c r="BJ64" s="62">
        <f t="shared" si="38"/>
        <v>425.30058672361548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8.0706214926454347</v>
      </c>
      <c r="BR64" s="23">
        <f>EXP(-LN(2)/2)*BR63+(1-EXP(-LN(2)/2))/(LN(2)/2)*BL64*BO64*VLOOKUP('Données projet'!$B$11,Paramètres!$A$1:$I$89,3,0)*0.475*44/12</f>
        <v>3.6285419899092033E-4</v>
      </c>
      <c r="BS64" s="24">
        <f t="shared" si="9"/>
        <v>8.0709843468444262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5.2</v>
      </c>
      <c r="N65" s="14">
        <f>IF('Données projet'!$A$36&gt;35,N64+M65-V64,IF(A65&lt;'Données projet'!$A$36,$K$205^A65,IF(A65='Données projet'!$A$36,'Données projet'!$B$36,N64+M65-V64)))</f>
        <v>290.39999999999981</v>
      </c>
      <c r="O65" s="14">
        <f>N65*VLOOKUP('Données projet'!$B$9,Paramètres!$A$1:$I$89,3,0)*VLOOKUP('Données projet'!$B$9,Paramètres!$A$1:$I$89,5,0)</f>
        <v>231.04223999999985</v>
      </c>
      <c r="P65" s="14">
        <f t="shared" si="33"/>
        <v>56.507978852931409</v>
      </c>
      <c r="Q65" s="22">
        <f t="shared" si="53"/>
        <v>500.81663116885534</v>
      </c>
      <c r="R65" s="62">
        <f t="shared" si="0"/>
        <v>794.1499645021886</v>
      </c>
      <c r="S65" s="62">
        <f ca="1">AVERAGE(OFFSET($R$3,0,0,'Données projet'!$E$9+1,1))-AVERAGE(OFFSET($H$3,0,0,'Données projet'!$E$9+1,1))</f>
        <v>354.56491118410622</v>
      </c>
      <c r="T65" s="62">
        <f t="shared" si="34"/>
        <v>343.77208530767069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10.571306767598838</v>
      </c>
      <c r="AB65" s="23">
        <f>EXP(-LN(2)/2)*AB64+(1-EXP(-LN(2)/2))/(LN(2)/2)*V65*Y65*VLOOKUP('Données projet'!$B$9,Paramètres!$A$1:$I$89,3,0)*0.475*44/12</f>
        <v>2.0452720388650349E-4</v>
      </c>
      <c r="AC65" s="24">
        <f t="shared" si="3"/>
        <v>10.571511294802724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6</v>
      </c>
      <c r="AI65" s="14">
        <f>IF('Données projet'!$A$62&gt;35,AI64+AH65-AQ64,IF(A65&lt;'Données projet'!$A$62,$AF$205^A65,IF(A65='Données projet'!$A$62,'Données projet'!$B$62,AI64+AH65-AQ64)))</f>
        <v>337.99999999999972</v>
      </c>
      <c r="AJ65" s="14">
        <f>AI65*VLOOKUP('Données projet'!$B$10,Paramètres!$A$1:$I$89,3,0)*VLOOKUP('Données projet'!$B$10,Paramètres!$A$1:$I$89,5,0)</f>
        <v>247.82159999999982</v>
      </c>
      <c r="AK65" s="14">
        <f t="shared" si="35"/>
        <v>60.119231945607517</v>
      </c>
      <c r="AL65" s="22">
        <f t="shared" si="4"/>
        <v>536.330282305266</v>
      </c>
      <c r="AM65" s="62">
        <f t="shared" si="5"/>
        <v>829.66361563859937</v>
      </c>
      <c r="AN65" s="62">
        <f ca="1">AVERAGE(OFFSET($AM$3,0,0,'Données projet'!$E$10+1,1))-AVERAGE(OFFSET($H$3,0,0,'Données projet'!$E$10+1,1))</f>
        <v>380.01621935031324</v>
      </c>
      <c r="AO65" s="62">
        <f t="shared" si="36"/>
        <v>365.76175372075869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9.6206598875300227</v>
      </c>
      <c r="AW65" s="23">
        <f>EXP(-LN(2)/2)*AW64+(1-EXP(-LN(2)/2))/(LN(2)/2)*AQ65*AT65*VLOOKUP('Données projet'!$B$10,Paramètres!$A$1:$I$89,3,0)*0.475*44/12</f>
        <v>2.2630898342992006E-4</v>
      </c>
      <c r="AX65" s="23">
        <f t="shared" si="6"/>
        <v>9.6208861965134531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-5.6843418860808015E-14</v>
      </c>
      <c r="BE65" s="14">
        <f>BD65*VLOOKUP('Données projet'!$B$11,Paramètres!$A$1:$I$89,3,0)*VLOOKUP('Données projet'!$B$11,Paramètres!$A$1:$I$89,5,0)</f>
        <v>-4.9658410716801891E-14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303.33040062722074</v>
      </c>
      <c r="BJ65" s="62">
        <f t="shared" si="38"/>
        <v>425.30058672361548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7.8499299235135069</v>
      </c>
      <c r="BR65" s="23">
        <f>EXP(-LN(2)/2)*BR64+(1-EXP(-LN(2)/2))/(LN(2)/2)*BL65*BO65*VLOOKUP('Données projet'!$B$11,Paramètres!$A$1:$I$89,3,0)*0.475*44/12</f>
        <v>2.5657666468849267E-4</v>
      </c>
      <c r="BS65" s="24">
        <f t="shared" si="9"/>
        <v>7.8501865001781956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5.2</v>
      </c>
      <c r="N66" s="14">
        <f>IF('Données projet'!$A$36&gt;35,N65+M66-V65,IF(A66&lt;'Données projet'!$A$36,$K$205^A66,IF(A66='Données projet'!$A$36,'Données projet'!$B$36,N65+M66-V65)))</f>
        <v>295.5999999999998</v>
      </c>
      <c r="O66" s="14">
        <f>N66*VLOOKUP('Données projet'!$B$9,Paramètres!$A$1:$I$89,3,0)*VLOOKUP('Données projet'!$B$9,Paramètres!$A$1:$I$89,5,0)</f>
        <v>235.17935999999983</v>
      </c>
      <c r="P66" s="14">
        <f t="shared" si="33"/>
        <v>57.401124668909425</v>
      </c>
      <c r="Q66" s="22">
        <f t="shared" si="53"/>
        <v>509.57767746501696</v>
      </c>
      <c r="R66" s="62">
        <f t="shared" si="0"/>
        <v>802.91101079835028</v>
      </c>
      <c r="S66" s="62">
        <f ca="1">AVERAGE(OFFSET($R$3,0,0,'Données projet'!$E$9+1,1))-AVERAGE(OFFSET($H$3,0,0,'Données projet'!$E$9+1,1))</f>
        <v>354.56491118410622</v>
      </c>
      <c r="T66" s="62">
        <f t="shared" si="34"/>
        <v>343.77208530767069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10.282233828117986</v>
      </c>
      <c r="AB66" s="23">
        <f>EXP(-LN(2)/2)*AB65+(1-EXP(-LN(2)/2))/(LN(2)/2)*V66*Y66*VLOOKUP('Données projet'!$B$9,Paramètres!$A$1:$I$89,3,0)*0.475*44/12</f>
        <v>1.4462257280527021E-4</v>
      </c>
      <c r="AC66" s="24">
        <f t="shared" si="3"/>
        <v>10.282378450690791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6</v>
      </c>
      <c r="AI66" s="14">
        <f>IF('Données projet'!$A$62&gt;35,AI65+AH66-AQ65,IF(A66&lt;'Données projet'!$A$62,$AF$205^A66,IF(A66='Données projet'!$A$62,'Données projet'!$B$62,AI65+AH66-AQ65)))</f>
        <v>343.99999999999972</v>
      </c>
      <c r="AJ66" s="14">
        <f>AI66*VLOOKUP('Données projet'!$B$10,Paramètres!$A$1:$I$89,3,0)*VLOOKUP('Données projet'!$B$10,Paramètres!$A$1:$I$89,5,0)</f>
        <v>252.2207999999998</v>
      </c>
      <c r="AK66" s="14">
        <f t="shared" si="35"/>
        <v>61.061246695931573</v>
      </c>
      <c r="AL66" s="22">
        <f t="shared" si="4"/>
        <v>545.63289799541383</v>
      </c>
      <c r="AM66" s="62">
        <f t="shared" si="5"/>
        <v>838.9662313287472</v>
      </c>
      <c r="AN66" s="62">
        <f ca="1">AVERAGE(OFFSET($AM$3,0,0,'Données projet'!$E$10+1,1))-AVERAGE(OFFSET($H$3,0,0,'Données projet'!$E$10+1,1))</f>
        <v>380.01621935031324</v>
      </c>
      <c r="AO66" s="62">
        <f t="shared" si="36"/>
        <v>365.76175372075869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9.3575824369769993</v>
      </c>
      <c r="AW66" s="23">
        <f>EXP(-LN(2)/2)*AW65+(1-EXP(-LN(2)/2))/(LN(2)/2)*AQ66*AT66*VLOOKUP('Données projet'!$B$10,Paramètres!$A$1:$I$89,3,0)*0.475*44/12</f>
        <v>1.6002461682673049E-4</v>
      </c>
      <c r="AX66" s="23">
        <f t="shared" si="6"/>
        <v>9.3577424615938263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-5.6843418860808015E-14</v>
      </c>
      <c r="BE66" s="14">
        <f>BD66*VLOOKUP('Données projet'!$B$11,Paramètres!$A$1:$I$89,3,0)*VLOOKUP('Données projet'!$B$11,Paramètres!$A$1:$I$89,5,0)</f>
        <v>-4.9658410716801891E-14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303.33040062722074</v>
      </c>
      <c r="BJ66" s="62">
        <f t="shared" si="38"/>
        <v>425.30058672361548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7.6352731769451569</v>
      </c>
      <c r="BR66" s="23">
        <f>EXP(-LN(2)/2)*BR65+(1-EXP(-LN(2)/2))/(LN(2)/2)*BL66*BO66*VLOOKUP('Données projet'!$B$11,Paramètres!$A$1:$I$89,3,0)*0.475*44/12</f>
        <v>1.8142709949546017E-4</v>
      </c>
      <c r="BS66" s="24">
        <f t="shared" si="9"/>
        <v>7.6354546040446527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5.2</v>
      </c>
      <c r="N67" s="14">
        <f>IF('Données projet'!$A$36&gt;35,N66+M67-V66,IF(A67&lt;'Données projet'!$A$36,$K$205^A67,IF(A67='Données projet'!$A$36,'Données projet'!$B$36,N66+M67-V66)))</f>
        <v>300.79999999999978</v>
      </c>
      <c r="O67" s="14">
        <f>N67*VLOOKUP('Données projet'!$B$9,Paramètres!$A$1:$I$89,3,0)*VLOOKUP('Données projet'!$B$9,Paramètres!$A$1:$I$89,5,0)</f>
        <v>239.31647999999984</v>
      </c>
      <c r="P67" s="14">
        <f t="shared" si="33"/>
        <v>58.292443422481945</v>
      </c>
      <c r="Q67" s="22">
        <f t="shared" ref="Q67:Q98" si="54">(O67+P67)*0.475*44/12</f>
        <v>518.33554162748908</v>
      </c>
      <c r="R67" s="62">
        <f t="shared" ref="R67:R130" si="55">Q67+(I67+J67)*44/12</f>
        <v>811.66887496082245</v>
      </c>
      <c r="S67" s="62">
        <f ca="1">AVERAGE(OFFSET($R$3,0,0,'Données projet'!$E$9+1,1))-AVERAGE(OFFSET($H$3,0,0,'Données projet'!$E$9+1,1))</f>
        <v>354.56491118410622</v>
      </c>
      <c r="T67" s="62">
        <f t="shared" si="34"/>
        <v>343.77208530767069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10.001065603368923</v>
      </c>
      <c r="AB67" s="23">
        <f>EXP(-LN(2)/2)*AB66+(1-EXP(-LN(2)/2))/(LN(2)/2)*V67*Y67*VLOOKUP('Données projet'!$B$9,Paramètres!$A$1:$I$89,3,0)*0.475*44/12</f>
        <v>1.0226360194325175E-4</v>
      </c>
      <c r="AC67" s="24">
        <f t="shared" si="3"/>
        <v>10.001167866970867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6</v>
      </c>
      <c r="AI67" s="14">
        <f>IF('Données projet'!$A$62&gt;35,AI66+AH67-AQ66,IF(A67&lt;'Données projet'!$A$62,$AF$205^A67,IF(A67='Données projet'!$A$62,'Données projet'!$B$62,AI66+AH67-AQ66)))</f>
        <v>349.99999999999972</v>
      </c>
      <c r="AJ67" s="14">
        <f>AI67*VLOOKUP('Données projet'!$B$10,Paramètres!$A$1:$I$89,3,0)*VLOOKUP('Données projet'!$B$10,Paramètres!$A$1:$I$89,5,0)</f>
        <v>256.61999999999978</v>
      </c>
      <c r="AK67" s="14">
        <f t="shared" si="35"/>
        <v>62.001350774926514</v>
      </c>
      <c r="AL67" s="22">
        <f t="shared" si="4"/>
        <v>554.9321859329965</v>
      </c>
      <c r="AM67" s="62">
        <f t="shared" si="5"/>
        <v>848.26551926632987</v>
      </c>
      <c r="AN67" s="62">
        <f ca="1">AVERAGE(OFFSET($AM$3,0,0,'Données projet'!$E$10+1,1))-AVERAGE(OFFSET($H$3,0,0,'Données projet'!$E$10+1,1))</f>
        <v>380.01621935031324</v>
      </c>
      <c r="AO67" s="62">
        <f t="shared" si="36"/>
        <v>365.76175372075869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9.10169885314399</v>
      </c>
      <c r="AW67" s="23">
        <f>EXP(-LN(2)/2)*AW66+(1-EXP(-LN(2)/2))/(LN(2)/2)*AQ67*AT67*VLOOKUP('Données projet'!$B$10,Paramètres!$A$1:$I$89,3,0)*0.475*44/12</f>
        <v>1.1315449171496003E-4</v>
      </c>
      <c r="AX67" s="23">
        <f t="shared" si="6"/>
        <v>9.1018120076357043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-5.6843418860808015E-14</v>
      </c>
      <c r="BE67" s="14">
        <f>BD67*VLOOKUP('Données projet'!$B$11,Paramètres!$A$1:$I$89,3,0)*VLOOKUP('Données projet'!$B$11,Paramètres!$A$1:$I$89,5,0)</f>
        <v>-4.9658410716801891E-14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303.33040062722074</v>
      </c>
      <c r="BJ67" s="62">
        <f t="shared" si="38"/>
        <v>425.30058672361548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7.4264862304000259</v>
      </c>
      <c r="BR67" s="23">
        <f>EXP(-LN(2)/2)*BR66+(1-EXP(-LN(2)/2))/(LN(2)/2)*BL67*BO67*VLOOKUP('Données projet'!$B$11,Paramètres!$A$1:$I$89,3,0)*0.475*44/12</f>
        <v>1.2828833234424634E-4</v>
      </c>
      <c r="BS67" s="24">
        <f t="shared" si="9"/>
        <v>7.4266145187323698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306</v>
      </c>
      <c r="L68" s="13">
        <f>VLOOKUP(A68,'Données projet'!$A$35:$I$55,9,0)</f>
        <v>5.2</v>
      </c>
      <c r="M68" s="13">
        <f t="array" ref="M68">INDEX(L:L,MIN(IF(ISNUMBER(L68:L264),ROW(L68:L264),"")))</f>
        <v>5.2</v>
      </c>
      <c r="N68" s="14">
        <f>IF('Données projet'!$A$36&gt;35,N67+M68-V67,IF(A68&lt;'Données projet'!$A$36,$K$205^A68,IF(A68='Données projet'!$A$36,'Données projet'!$B$36,N67+M68-V67)))</f>
        <v>305.99999999999977</v>
      </c>
      <c r="O68" s="14">
        <f>N68*VLOOKUP('Données projet'!$B$9,Paramètres!$A$1:$I$89,3,0)*VLOOKUP('Données projet'!$B$9,Paramètres!$A$1:$I$89,5,0)</f>
        <v>243.45359999999982</v>
      </c>
      <c r="P68" s="14">
        <f t="shared" si="33"/>
        <v>59.181970343065267</v>
      </c>
      <c r="Q68" s="22">
        <f t="shared" si="54"/>
        <v>527.09028501417163</v>
      </c>
      <c r="R68" s="62">
        <f t="shared" si="55"/>
        <v>820.423618347505</v>
      </c>
      <c r="S68" s="62">
        <f ca="1">AVERAGE(OFFSET($R$3,0,0,'Données projet'!$E$9+1,1))-AVERAGE(OFFSET($H$3,0,0,'Données projet'!$E$9+1,1))</f>
        <v>354.56491118410622</v>
      </c>
      <c r="T68" s="62">
        <f t="shared" si="34"/>
        <v>343.77208530767069</v>
      </c>
      <c r="U68" s="16">
        <f>IF(ISNA(VLOOKUP(A68,'Données projet'!$A$35:$I$55,3,0)),0,VLOOKUP(A68,'Données projet'!$A$35:$I$55,3,0))</f>
        <v>12</v>
      </c>
      <c r="V68" s="16">
        <f>IF(ISNA(VLOOKUP(A68,'Données projet'!$A$35:$I$55,4,0)),0,VLOOKUP(A68,'Données projet'!$A$35:$I$55,4,0))</f>
        <v>13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9.7275859385116181</v>
      </c>
      <c r="AB68" s="23">
        <f>EXP(-LN(2)/2)*AB67+(1-EXP(-LN(2)/2))/(LN(2)/2)*V68*Y68*VLOOKUP('Données projet'!$B$9,Paramètres!$A$1:$I$89,3,0)*0.475*44/12</f>
        <v>7.2311286402635107E-5</v>
      </c>
      <c r="AC68" s="24">
        <f t="shared" ref="AC68:AC131" si="57">SUM(Z68:AB68)</f>
        <v>9.7276582497980204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356</v>
      </c>
      <c r="AG68" s="13">
        <f>VLOOKUP(A68,'Données projet'!$A$61:$I$81,9,0)</f>
        <v>6</v>
      </c>
      <c r="AH68" s="13">
        <f t="array" ref="AH68">INDEX(AG:AG,MIN(IF(ISNUMBER(AG68:AG264),ROW(AG68:AG264),"")))</f>
        <v>6</v>
      </c>
      <c r="AI68" s="14">
        <f>IF('Données projet'!$A$62&gt;35,AI67+AH68-AQ67,IF(A68&lt;'Données projet'!$A$62,$AF$205^A68,IF(A68='Données projet'!$A$62,'Données projet'!$B$62,AI67+AH68-AQ67)))</f>
        <v>355.99999999999972</v>
      </c>
      <c r="AJ68" s="14">
        <f>AI68*VLOOKUP('Données projet'!$B$10,Paramètres!$A$1:$I$89,3,0)*VLOOKUP('Données projet'!$B$10,Paramètres!$A$1:$I$89,5,0)</f>
        <v>261.01919999999978</v>
      </c>
      <c r="AK68" s="14">
        <f t="shared" si="35"/>
        <v>62.939580716713571</v>
      </c>
      <c r="AL68" s="22">
        <f t="shared" ref="AL68:AL131" si="58">(AJ68+AK68)*0.475*44/12</f>
        <v>564.22820974827573</v>
      </c>
      <c r="AM68" s="62">
        <f t="shared" ref="AM68:AM131" si="59">AL68+(AD68+AE68)*44/12</f>
        <v>857.56154308160899</v>
      </c>
      <c r="AN68" s="62">
        <f ca="1">AVERAGE(OFFSET($AM$3,0,0,'Données projet'!$E$10+1,1))-AVERAGE(OFFSET($H$3,0,0,'Données projet'!$E$10+1,1))</f>
        <v>380.01621935031324</v>
      </c>
      <c r="AO68" s="62">
        <f t="shared" si="36"/>
        <v>365.76175372075869</v>
      </c>
      <c r="AP68" s="16">
        <f>IF(ISNA(VLOOKUP(A68,'Données projet'!$A$61:$I$81,3,0)),0,VLOOKUP(A68,'Données projet'!$A$61:$I$81,3,0))</f>
        <v>12</v>
      </c>
      <c r="AQ68" s="16">
        <f>IF(ISNA(VLOOKUP(A68,'Données projet'!$A$61:$I$81,4,0)),0,VLOOKUP(A68,'Données projet'!$A$61:$I$81,4,0))</f>
        <v>16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8.8528124193672273</v>
      </c>
      <c r="AW68" s="23">
        <f>EXP(-LN(2)/2)*AW67+(1-EXP(-LN(2)/2))/(LN(2)/2)*AQ68*AT68*VLOOKUP('Données projet'!$B$10,Paramètres!$A$1:$I$89,3,0)*0.475*44/12</f>
        <v>8.0012308413365246E-5</v>
      </c>
      <c r="AX68" s="23">
        <f t="shared" ref="AX68:AX131" si="60">SUM(AU68:AW68)</f>
        <v>8.8528924316756399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-5.6843418860808015E-14</v>
      </c>
      <c r="BE68" s="14">
        <f>BD68*VLOOKUP('Données projet'!$B$11,Paramètres!$A$1:$I$89,3,0)*VLOOKUP('Données projet'!$B$11,Paramètres!$A$1:$I$89,5,0)</f>
        <v>-4.9658410716801891E-14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303.33040062722074</v>
      </c>
      <c r="BJ68" s="62">
        <f t="shared" si="38"/>
        <v>425.30058672361548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7.2234085738877996</v>
      </c>
      <c r="BR68" s="23">
        <f>EXP(-LN(2)/2)*BR67+(1-EXP(-LN(2)/2))/(LN(2)/2)*BL68*BO68*VLOOKUP('Données projet'!$B$11,Paramètres!$A$1:$I$89,3,0)*0.475*44/12</f>
        <v>9.0713549747730083E-5</v>
      </c>
      <c r="BS68" s="24">
        <f t="shared" ref="BS68:BS131" si="63">SUM(BP68:BR68)</f>
        <v>7.223499287437547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4.4000000000000004</v>
      </c>
      <c r="N69" s="14">
        <f>IF('Données projet'!$A$36&gt;35,N68+M69-V68,IF(A69&lt;'Données projet'!$A$36,$K$205^A69,IF(A69='Données projet'!$A$36,'Données projet'!$B$36,N68+M69-V68)))</f>
        <v>297.39999999999975</v>
      </c>
      <c r="O69" s="14">
        <f>N69*VLOOKUP('Données projet'!$B$9,Paramètres!$A$1:$I$89,3,0)*VLOOKUP('Données projet'!$B$9,Paramètres!$A$1:$I$89,5,0)</f>
        <v>236.61143999999979</v>
      </c>
      <c r="P69" s="14">
        <f t="shared" ref="P69:P132" si="87">EXP(-1.0587+0.8836*LN(O69)+0.284)</f>
        <v>57.70986302809164</v>
      </c>
      <c r="Q69" s="22">
        <f t="shared" si="54"/>
        <v>512.60960277392599</v>
      </c>
      <c r="R69" s="62">
        <f t="shared" si="55"/>
        <v>805.94293610725936</v>
      </c>
      <c r="S69" s="62">
        <f ca="1">AVERAGE(OFFSET($R$3,0,0,'Données projet'!$E$9+1,1))-AVERAGE(OFFSET($H$3,0,0,'Données projet'!$E$9+1,1))</f>
        <v>354.56491118410622</v>
      </c>
      <c r="T69" s="62">
        <f t="shared" ref="T69:T132" si="88">$T$3</f>
        <v>343.77208530767069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9.4615845894715065</v>
      </c>
      <c r="AB69" s="23">
        <f>EXP(-LN(2)/2)*AB68+(1-EXP(-LN(2)/2))/(LN(2)/2)*V69*Y69*VLOOKUP('Données projet'!$B$9,Paramètres!$A$1:$I$89,3,0)*0.475*44/12</f>
        <v>5.1131800971625873E-5</v>
      </c>
      <c r="AC69" s="24">
        <f t="shared" si="57"/>
        <v>9.4616357212724775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5.2</v>
      </c>
      <c r="AI69" s="14">
        <f>IF('Données projet'!$A$62&gt;35,AI68+AH69-AQ68,IF(A69&lt;'Données projet'!$A$62,$AF$205^A69,IF(A69='Données projet'!$A$62,'Données projet'!$B$62,AI68+AH69-AQ68)))</f>
        <v>345.1999999999997</v>
      </c>
      <c r="AJ69" s="14">
        <f>AI69*VLOOKUP('Données projet'!$B$10,Paramètres!$A$1:$I$89,3,0)*VLOOKUP('Données projet'!$B$10,Paramètres!$A$1:$I$89,5,0)</f>
        <v>253.1006399999998</v>
      </c>
      <c r="AK69" s="14">
        <f t="shared" ref="AK69:AK132" si="89">EXP(-1.0587+0.8836*LN(AJ69)+0.284)</f>
        <v>61.249419177028884</v>
      </c>
      <c r="AL69" s="22">
        <f t="shared" si="58"/>
        <v>547.4930197333249</v>
      </c>
      <c r="AM69" s="62">
        <f t="shared" si="59"/>
        <v>840.82635306665816</v>
      </c>
      <c r="AN69" s="62">
        <f ca="1">AVERAGE(OFFSET($AM$3,0,0,'Données projet'!$E$10+1,1))-AVERAGE(OFFSET($H$3,0,0,'Données projet'!$E$10+1,1))</f>
        <v>380.01621935031324</v>
      </c>
      <c r="AO69" s="62">
        <f t="shared" ref="AO69:AO132" si="90">$AO$3</f>
        <v>365.76175372075869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8.610731798210459</v>
      </c>
      <c r="AW69" s="23">
        <f>EXP(-LN(2)/2)*AW68+(1-EXP(-LN(2)/2))/(LN(2)/2)*AQ69*AT69*VLOOKUP('Données projet'!$B$10,Paramètres!$A$1:$I$89,3,0)*0.475*44/12</f>
        <v>5.6577245857480015E-5</v>
      </c>
      <c r="AX69" s="23">
        <f t="shared" si="60"/>
        <v>8.6107883754563161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-5.6843418860808015E-14</v>
      </c>
      <c r="BE69" s="14">
        <f>BD69*VLOOKUP('Données projet'!$B$11,Paramètres!$A$1:$I$89,3,0)*VLOOKUP('Données projet'!$B$11,Paramètres!$A$1:$I$89,5,0)</f>
        <v>-4.9658410716801891E-14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303.33040062722074</v>
      </c>
      <c r="BJ69" s="62">
        <f t="shared" ref="BJ69:BJ132" si="92">$BJ$3</f>
        <v>425.30058672361548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7.0258840865722902</v>
      </c>
      <c r="BR69" s="23">
        <f>EXP(-LN(2)/2)*BR68+(1-EXP(-LN(2)/2))/(LN(2)/2)*BL69*BO69*VLOOKUP('Données projet'!$B$11,Paramètres!$A$1:$I$89,3,0)*0.475*44/12</f>
        <v>6.4144166172123168E-5</v>
      </c>
      <c r="BS69" s="24">
        <f t="shared" si="63"/>
        <v>7.0259482307384626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4.4000000000000004</v>
      </c>
      <c r="N70" s="14">
        <f>IF('Données projet'!$A$36&gt;35,N69+M70-V69,IF(A70&lt;'Données projet'!$A$36,$K$205^A70,IF(A70='Données projet'!$A$36,'Données projet'!$B$36,N69+M70-V69)))</f>
        <v>301.79999999999973</v>
      </c>
      <c r="O70" s="14">
        <f>N70*VLOOKUP('Données projet'!$B$9,Paramètres!$A$1:$I$89,3,0)*VLOOKUP('Données projet'!$B$9,Paramètres!$A$1:$I$89,5,0)</f>
        <v>240.11207999999979</v>
      </c>
      <c r="P70" s="14">
        <f t="shared" si="87"/>
        <v>58.463644384894735</v>
      </c>
      <c r="Q70" s="22">
        <f t="shared" si="54"/>
        <v>520.0193866370247</v>
      </c>
      <c r="R70" s="62">
        <f t="shared" si="55"/>
        <v>813.35271997035807</v>
      </c>
      <c r="S70" s="62">
        <f ca="1">AVERAGE(OFFSET($R$3,0,0,'Données projet'!$E$9+1,1))-AVERAGE(OFFSET($H$3,0,0,'Données projet'!$E$9+1,1))</f>
        <v>354.56491118410622</v>
      </c>
      <c r="T70" s="62">
        <f t="shared" si="88"/>
        <v>343.77208530767069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9.2028570613092988</v>
      </c>
      <c r="AB70" s="23">
        <f>EXP(-LN(2)/2)*AB69+(1-EXP(-LN(2)/2))/(LN(2)/2)*V70*Y70*VLOOKUP('Données projet'!$B$9,Paramètres!$A$1:$I$89,3,0)*0.475*44/12</f>
        <v>3.6155643201317554E-5</v>
      </c>
      <c r="AC70" s="24">
        <f t="shared" si="57"/>
        <v>9.2028932169525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5.2</v>
      </c>
      <c r="AI70" s="14">
        <f>IF('Données projet'!$A$62&gt;35,AI69+AH70-AQ69,IF(A70&lt;'Données projet'!$A$62,$AF$205^A70,IF(A70='Données projet'!$A$62,'Données projet'!$B$62,AI69+AH70-AQ69)))</f>
        <v>350.39999999999969</v>
      </c>
      <c r="AJ70" s="14">
        <f>AI70*VLOOKUP('Données projet'!$B$10,Paramètres!$A$1:$I$89,3,0)*VLOOKUP('Données projet'!$B$10,Paramètres!$A$1:$I$89,5,0)</f>
        <v>256.91327999999976</v>
      </c>
      <c r="AK70" s="14">
        <f t="shared" si="89"/>
        <v>62.063957347667916</v>
      </c>
      <c r="AL70" s="22">
        <f t="shared" si="58"/>
        <v>555.55202171385451</v>
      </c>
      <c r="AM70" s="62">
        <f t="shared" si="59"/>
        <v>848.88535504718789</v>
      </c>
      <c r="AN70" s="62">
        <f ca="1">AVERAGE(OFFSET($AM$3,0,0,'Données projet'!$E$10+1,1))-AVERAGE(OFFSET($H$3,0,0,'Données projet'!$E$10+1,1))</f>
        <v>380.01621935031324</v>
      </c>
      <c r="AO70" s="62">
        <f t="shared" si="90"/>
        <v>365.76175372075869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8.375270884369689</v>
      </c>
      <c r="AW70" s="23">
        <f>EXP(-LN(2)/2)*AW69+(1-EXP(-LN(2)/2))/(LN(2)/2)*AQ70*AT70*VLOOKUP('Données projet'!$B$10,Paramètres!$A$1:$I$89,3,0)*0.475*44/12</f>
        <v>4.0006154206682623E-5</v>
      </c>
      <c r="AX70" s="23">
        <f t="shared" si="60"/>
        <v>8.3753108905238953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-5.6843418860808015E-14</v>
      </c>
      <c r="BE70" s="14">
        <f>BD70*VLOOKUP('Données projet'!$B$11,Paramètres!$A$1:$I$89,3,0)*VLOOKUP('Données projet'!$B$11,Paramètres!$A$1:$I$89,5,0)</f>
        <v>-4.9658410716801891E-14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303.33040062722074</v>
      </c>
      <c r="BJ70" s="62">
        <f t="shared" si="92"/>
        <v>425.30058672361548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6.8337609167497844</v>
      </c>
      <c r="BR70" s="23">
        <f>EXP(-LN(2)/2)*BR69+(1-EXP(-LN(2)/2))/(LN(2)/2)*BL70*BO70*VLOOKUP('Données projet'!$B$11,Paramètres!$A$1:$I$89,3,0)*0.475*44/12</f>
        <v>4.5356774873865042E-5</v>
      </c>
      <c r="BS70" s="24">
        <f t="shared" si="63"/>
        <v>6.8338062735246581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4.4000000000000004</v>
      </c>
      <c r="N71" s="14">
        <f>IF('Données projet'!$A$36&gt;35,N70+M71-V70,IF(A71&lt;'Données projet'!$A$36,$K$205^A71,IF(A71='Données projet'!$A$36,'Données projet'!$B$36,N70+M71-V70)))</f>
        <v>306.1999999999997</v>
      </c>
      <c r="O71" s="14">
        <f>N71*VLOOKUP('Données projet'!$B$9,Paramètres!$A$1:$I$89,3,0)*VLOOKUP('Données projet'!$B$9,Paramètres!$A$1:$I$89,5,0)</f>
        <v>243.6127199999998</v>
      </c>
      <c r="P71" s="14">
        <f t="shared" si="87"/>
        <v>59.216147598154699</v>
      </c>
      <c r="Q71" s="22">
        <f t="shared" si="54"/>
        <v>527.42694440011905</v>
      </c>
      <c r="R71" s="62">
        <f t="shared" si="55"/>
        <v>820.76027773345231</v>
      </c>
      <c r="S71" s="62">
        <f ca="1">AVERAGE(OFFSET($R$3,0,0,'Données projet'!$E$9+1,1))-AVERAGE(OFFSET($H$3,0,0,'Données projet'!$E$9+1,1))</f>
        <v>354.56491118410622</v>
      </c>
      <c r="T71" s="62">
        <f t="shared" si="88"/>
        <v>343.77208530767069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8.951204451010577</v>
      </c>
      <c r="AB71" s="23">
        <f>EXP(-LN(2)/2)*AB70+(1-EXP(-LN(2)/2))/(LN(2)/2)*V71*Y71*VLOOKUP('Données projet'!$B$9,Paramètres!$A$1:$I$89,3,0)*0.475*44/12</f>
        <v>2.5565900485812937E-5</v>
      </c>
      <c r="AC71" s="24">
        <f t="shared" si="57"/>
        <v>8.9512300169110635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5.2</v>
      </c>
      <c r="AI71" s="14">
        <f>IF('Données projet'!$A$62&gt;35,AI70+AH71-AQ70,IF(A71&lt;'Données projet'!$A$62,$AF$205^A71,IF(A71='Données projet'!$A$62,'Données projet'!$B$62,AI70+AH71-AQ70)))</f>
        <v>355.59999999999968</v>
      </c>
      <c r="AJ71" s="14">
        <f>AI71*VLOOKUP('Données projet'!$B$10,Paramètres!$A$1:$I$89,3,0)*VLOOKUP('Données projet'!$B$10,Paramètres!$A$1:$I$89,5,0)</f>
        <v>260.72591999999975</v>
      </c>
      <c r="AK71" s="14">
        <f t="shared" si="89"/>
        <v>62.877089647292053</v>
      </c>
      <c r="AL71" s="22">
        <f t="shared" si="58"/>
        <v>563.60857513569988</v>
      </c>
      <c r="AM71" s="62">
        <f t="shared" si="59"/>
        <v>856.94190846903325</v>
      </c>
      <c r="AN71" s="62">
        <f ca="1">AVERAGE(OFFSET($AM$3,0,0,'Données projet'!$E$10+1,1))-AVERAGE(OFFSET($H$3,0,0,'Données projet'!$E$10+1,1))</f>
        <v>380.01621935031324</v>
      </c>
      <c r="AO71" s="62">
        <f t="shared" si="90"/>
        <v>365.76175372075869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8.1462486616002465</v>
      </c>
      <c r="AW71" s="23">
        <f>EXP(-LN(2)/2)*AW70+(1-EXP(-LN(2)/2))/(LN(2)/2)*AQ71*AT71*VLOOKUP('Données projet'!$B$10,Paramètres!$A$1:$I$89,3,0)*0.475*44/12</f>
        <v>2.8288622928740008E-5</v>
      </c>
      <c r="AX71" s="23">
        <f t="shared" si="60"/>
        <v>8.1462769502231751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-5.6843418860808015E-14</v>
      </c>
      <c r="BE71" s="14">
        <f>BD71*VLOOKUP('Données projet'!$B$11,Paramètres!$A$1:$I$89,3,0)*VLOOKUP('Données projet'!$B$11,Paramètres!$A$1:$I$89,5,0)</f>
        <v>-4.9658410716801891E-14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303.33040062722074</v>
      </c>
      <c r="BJ71" s="62">
        <f t="shared" si="92"/>
        <v>425.30058672361548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6.6468913651093935</v>
      </c>
      <c r="BR71" s="23">
        <f>EXP(-LN(2)/2)*BR70+(1-EXP(-LN(2)/2))/(LN(2)/2)*BL71*BO71*VLOOKUP('Données projet'!$B$11,Paramètres!$A$1:$I$89,3,0)*0.475*44/12</f>
        <v>3.2072083086061584E-5</v>
      </c>
      <c r="BS71" s="24">
        <f t="shared" si="63"/>
        <v>6.6469234371924797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4.4000000000000004</v>
      </c>
      <c r="N72" s="14">
        <f>IF('Données projet'!$A$36&gt;35,N71+M72-V71,IF(A72&lt;'Données projet'!$A$36,$K$205^A72,IF(A72='Données projet'!$A$36,'Données projet'!$B$36,N71+M72-V71)))</f>
        <v>310.59999999999968</v>
      </c>
      <c r="O72" s="14">
        <f>N72*VLOOKUP('Données projet'!$B$9,Paramètres!$A$1:$I$89,3,0)*VLOOKUP('Données projet'!$B$9,Paramètres!$A$1:$I$89,5,0)</f>
        <v>247.11335999999974</v>
      </c>
      <c r="P72" s="14">
        <f t="shared" si="87"/>
        <v>59.967393156546734</v>
      </c>
      <c r="Q72" s="22">
        <f t="shared" si="54"/>
        <v>534.83231174765172</v>
      </c>
      <c r="R72" s="62">
        <f t="shared" si="55"/>
        <v>828.16564508098509</v>
      </c>
      <c r="S72" s="62">
        <f ca="1">AVERAGE(OFFSET($R$3,0,0,'Données projet'!$E$9+1,1))-AVERAGE(OFFSET($H$3,0,0,'Données projet'!$E$9+1,1))</f>
        <v>354.56491118410622</v>
      </c>
      <c r="T72" s="62">
        <f t="shared" si="88"/>
        <v>343.77208530767069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8.7064332945743086</v>
      </c>
      <c r="AB72" s="23">
        <f>EXP(-LN(2)/2)*AB71+(1-EXP(-LN(2)/2))/(LN(2)/2)*V72*Y72*VLOOKUP('Données projet'!$B$9,Paramètres!$A$1:$I$89,3,0)*0.475*44/12</f>
        <v>1.8077821600658777E-5</v>
      </c>
      <c r="AC72" s="24">
        <f t="shared" si="57"/>
        <v>8.7064513723959092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5.2</v>
      </c>
      <c r="AI72" s="14">
        <f>IF('Données projet'!$A$62&gt;35,AI71+AH72-AQ71,IF(A72&lt;'Données projet'!$A$62,$AF$205^A72,IF(A72='Données projet'!$A$62,'Données projet'!$B$62,AI71+AH72-AQ71)))</f>
        <v>360.79999999999967</v>
      </c>
      <c r="AJ72" s="14">
        <f>AI72*VLOOKUP('Données projet'!$B$10,Paramètres!$A$1:$I$89,3,0)*VLOOKUP('Données projet'!$B$10,Paramètres!$A$1:$I$89,5,0)</f>
        <v>264.53855999999973</v>
      </c>
      <c r="AK72" s="14">
        <f t="shared" si="89"/>
        <v>63.688839009304033</v>
      </c>
      <c r="AL72" s="22">
        <f t="shared" si="58"/>
        <v>571.66271994120405</v>
      </c>
      <c r="AM72" s="62">
        <f t="shared" si="59"/>
        <v>864.99605327453742</v>
      </c>
      <c r="AN72" s="62">
        <f ca="1">AVERAGE(OFFSET($AM$3,0,0,'Données projet'!$E$10+1,1))-AVERAGE(OFFSET($H$3,0,0,'Données projet'!$E$10+1,1))</f>
        <v>380.01621935031324</v>
      </c>
      <c r="AO72" s="62">
        <f t="shared" si="90"/>
        <v>365.76175372075869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7.9234890635561888</v>
      </c>
      <c r="AW72" s="23">
        <f>EXP(-LN(2)/2)*AW71+(1-EXP(-LN(2)/2))/(LN(2)/2)*AQ72*AT72*VLOOKUP('Données projet'!$B$10,Paramètres!$A$1:$I$89,3,0)*0.475*44/12</f>
        <v>2.0003077103341312E-5</v>
      </c>
      <c r="AX72" s="23">
        <f t="shared" si="60"/>
        <v>7.9235090666332919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-5.6843418860808015E-14</v>
      </c>
      <c r="BE72" s="14">
        <f>BD72*VLOOKUP('Données projet'!$B$11,Paramètres!$A$1:$I$89,3,0)*VLOOKUP('Données projet'!$B$11,Paramètres!$A$1:$I$89,5,0)</f>
        <v>-4.9658410716801891E-14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303.33040062722074</v>
      </c>
      <c r="BJ72" s="62">
        <f t="shared" si="92"/>
        <v>425.30058672361548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6.4651317711856517</v>
      </c>
      <c r="BR72" s="23">
        <f>EXP(-LN(2)/2)*BR71+(1-EXP(-LN(2)/2))/(LN(2)/2)*BL72*BO72*VLOOKUP('Données projet'!$B$11,Paramètres!$A$1:$I$89,3,0)*0.475*44/12</f>
        <v>2.2678387436932521E-5</v>
      </c>
      <c r="BS72" s="24">
        <f t="shared" si="63"/>
        <v>6.465154449573089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315</v>
      </c>
      <c r="L73" s="13">
        <f>VLOOKUP(A73,'Données projet'!$A$35:$I$55,9,0)</f>
        <v>4.4000000000000004</v>
      </c>
      <c r="M73" s="13">
        <f t="array" ref="M73">INDEX(L:L,MIN(IF(ISNUMBER(L73:L269),ROW(L73:L269),"")))</f>
        <v>4.4000000000000004</v>
      </c>
      <c r="N73" s="14">
        <f>IF('Données projet'!$A$36&gt;35,N72+M73-V72,IF(A73&lt;'Données projet'!$A$36,$K$205^A73,IF(A73='Données projet'!$A$36,'Données projet'!$B$36,N72+M73-V72)))</f>
        <v>314.99999999999966</v>
      </c>
      <c r="O73" s="14">
        <f>N73*VLOOKUP('Données projet'!$B$9,Paramètres!$A$1:$I$89,3,0)*VLOOKUP('Données projet'!$B$9,Paramètres!$A$1:$I$89,5,0)</f>
        <v>250.61399999999975</v>
      </c>
      <c r="P73" s="14">
        <f t="shared" si="87"/>
        <v>60.717400934915986</v>
      </c>
      <c r="Q73" s="22">
        <f t="shared" si="54"/>
        <v>542.23552329497818</v>
      </c>
      <c r="R73" s="62">
        <f t="shared" si="55"/>
        <v>835.56885662831155</v>
      </c>
      <c r="S73" s="62">
        <f ca="1">AVERAGE(OFFSET($R$3,0,0,'Données projet'!$E$9+1,1))-AVERAGE(OFFSET($H$3,0,0,'Données projet'!$E$9+1,1))</f>
        <v>354.56491118410622</v>
      </c>
      <c r="T73" s="62">
        <f t="shared" si="88"/>
        <v>343.77208530767069</v>
      </c>
      <c r="U73" s="16">
        <f>IF(ISNA(VLOOKUP(A73,'Données projet'!$A$35:$I$55,3,0)),0,VLOOKUP(A73,'Données projet'!$A$35:$I$55,3,0))</f>
        <v>13</v>
      </c>
      <c r="V73" s="16">
        <f>IF(ISNA(VLOOKUP(A73,'Données projet'!$A$35:$I$55,4,0)),0,VLOOKUP(A73,'Données projet'!$A$35:$I$55,4,0))</f>
        <v>13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8.4683554182827461</v>
      </c>
      <c r="AB73" s="23">
        <f>EXP(-LN(2)/2)*AB72+(1-EXP(-LN(2)/2))/(LN(2)/2)*V73*Y73*VLOOKUP('Données projet'!$B$9,Paramètres!$A$1:$I$89,3,0)*0.475*44/12</f>
        <v>1.2782950242906468E-5</v>
      </c>
      <c r="AC73" s="24">
        <f t="shared" si="57"/>
        <v>8.4683682012329893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366</v>
      </c>
      <c r="AG73" s="13">
        <f>VLOOKUP(A73,'Données projet'!$A$61:$I$81,9,0)</f>
        <v>5.2</v>
      </c>
      <c r="AH73" s="13">
        <f t="array" ref="AH73">INDEX(AG:AG,MIN(IF(ISNUMBER(AG73:AG269),ROW(AG73:AG269),"")))</f>
        <v>5.2</v>
      </c>
      <c r="AI73" s="14">
        <f>IF('Données projet'!$A$62&gt;35,AI72+AH73-AQ72,IF(A73&lt;'Données projet'!$A$62,$AF$205^A73,IF(A73='Données projet'!$A$62,'Données projet'!$B$62,AI72+AH73-AQ72)))</f>
        <v>365.99999999999966</v>
      </c>
      <c r="AJ73" s="14">
        <f>AI73*VLOOKUP('Données projet'!$B$10,Paramètres!$A$1:$I$89,3,0)*VLOOKUP('Données projet'!$B$10,Paramètres!$A$1:$I$89,5,0)</f>
        <v>268.35119999999978</v>
      </c>
      <c r="AK73" s="14">
        <f t="shared" si="89"/>
        <v>64.499227668096069</v>
      </c>
      <c r="AL73" s="22">
        <f t="shared" si="58"/>
        <v>579.71449485526693</v>
      </c>
      <c r="AM73" s="62">
        <f t="shared" si="59"/>
        <v>873.04782818860031</v>
      </c>
      <c r="AN73" s="62">
        <f ca="1">AVERAGE(OFFSET($AM$3,0,0,'Données projet'!$E$10+1,1))-AVERAGE(OFFSET($H$3,0,0,'Données projet'!$E$10+1,1))</f>
        <v>380.01621935031324</v>
      </c>
      <c r="AO73" s="62">
        <f t="shared" si="90"/>
        <v>365.76175372075869</v>
      </c>
      <c r="AP73" s="16">
        <f>IF(ISNA(VLOOKUP(A73,'Données projet'!$A$61:$I$81,3,0)),0,VLOOKUP(A73,'Données projet'!$A$61:$I$81,3,0))</f>
        <v>13</v>
      </c>
      <c r="AQ73" s="16">
        <f>IF(ISNA(VLOOKUP(A73,'Données projet'!$A$61:$I$81,4,0)),0,VLOOKUP(A73,'Données projet'!$A$61:$I$81,4,0))</f>
        <v>15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7.706820838435064</v>
      </c>
      <c r="AW73" s="23">
        <f>EXP(-LN(2)/2)*AW72+(1-EXP(-LN(2)/2))/(LN(2)/2)*AQ73*AT73*VLOOKUP('Données projet'!$B$10,Paramètres!$A$1:$I$89,3,0)*0.475*44/12</f>
        <v>1.4144311464370004E-5</v>
      </c>
      <c r="AX73" s="23">
        <f t="shared" si="60"/>
        <v>7.7068349827465283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-5.6843418860808015E-14</v>
      </c>
      <c r="BE73" s="14">
        <f>BD73*VLOOKUP('Données projet'!$B$11,Paramètres!$A$1:$I$89,3,0)*VLOOKUP('Données projet'!$B$11,Paramètres!$A$1:$I$89,5,0)</f>
        <v>-4.9658410716801891E-14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303.33040062722074</v>
      </c>
      <c r="BJ73" s="62">
        <f t="shared" si="92"/>
        <v>425.30058672361548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6.2883424029160766</v>
      </c>
      <c r="BR73" s="23">
        <f>EXP(-LN(2)/2)*BR72+(1-EXP(-LN(2)/2))/(LN(2)/2)*BL73*BO73*VLOOKUP('Données projet'!$B$11,Paramètres!$A$1:$I$89,3,0)*0.475*44/12</f>
        <v>1.6036041543030792E-5</v>
      </c>
      <c r="BS73" s="24">
        <f t="shared" si="63"/>
        <v>6.2883584389576193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4.2</v>
      </c>
      <c r="N74" s="14">
        <f>IF('Données projet'!$A$36&gt;35,N73+M74-V73,IF(A74&lt;'Données projet'!$A$36,$K$205^A74,IF(A74='Données projet'!$A$36,'Données projet'!$B$36,N73+M74-V73)))</f>
        <v>306.19999999999965</v>
      </c>
      <c r="O74" s="14">
        <f>N74*VLOOKUP('Données projet'!$B$9,Paramètres!$A$1:$I$89,3,0)*VLOOKUP('Données projet'!$B$9,Paramètres!$A$1:$I$89,5,0)</f>
        <v>243.61271999999974</v>
      </c>
      <c r="P74" s="14">
        <f t="shared" si="87"/>
        <v>59.216147598154699</v>
      </c>
      <c r="Q74" s="22">
        <f t="shared" si="54"/>
        <v>527.42694440011894</v>
      </c>
      <c r="R74" s="62">
        <f t="shared" si="55"/>
        <v>820.76027773345231</v>
      </c>
      <c r="S74" s="62">
        <f ca="1">AVERAGE(OFFSET($R$3,0,0,'Données projet'!$E$9+1,1))-AVERAGE(OFFSET($H$3,0,0,'Données projet'!$E$9+1,1))</f>
        <v>354.56491118410622</v>
      </c>
      <c r="T74" s="62">
        <f t="shared" si="88"/>
        <v>343.77208530767069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8.2367877940383476</v>
      </c>
      <c r="AB74" s="23">
        <f>EXP(-LN(2)/2)*AB73+(1-EXP(-LN(2)/2))/(LN(2)/2)*V74*Y74*VLOOKUP('Données projet'!$B$9,Paramètres!$A$1:$I$89,3,0)*0.475*44/12</f>
        <v>9.0389108003293884E-6</v>
      </c>
      <c r="AC74" s="24">
        <f t="shared" si="57"/>
        <v>8.2367968329491479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357.19999999999965</v>
      </c>
      <c r="AJ74" s="14">
        <f>AI74*VLOOKUP('Données projet'!$B$10,Paramètres!$A$1:$I$89,3,0)*VLOOKUP('Données projet'!$B$10,Paramètres!$A$1:$I$89,5,0)</f>
        <v>261.89903999999973</v>
      </c>
      <c r="AK74" s="14">
        <f t="shared" si="89"/>
        <v>63.127004931170489</v>
      </c>
      <c r="AL74" s="22">
        <f t="shared" si="58"/>
        <v>566.08702825512148</v>
      </c>
      <c r="AM74" s="62">
        <f t="shared" si="59"/>
        <v>859.42036158845485</v>
      </c>
      <c r="AN74" s="62">
        <f ca="1">AVERAGE(OFFSET($AM$3,0,0,'Données projet'!$E$10+1,1))-AVERAGE(OFFSET($H$3,0,0,'Données projet'!$E$10+1,1))</f>
        <v>380.01621935031324</v>
      </c>
      <c r="AO74" s="62">
        <f t="shared" si="90"/>
        <v>365.76175372075869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7.4960774173239635</v>
      </c>
      <c r="AW74" s="23">
        <f>EXP(-LN(2)/2)*AW73+(1-EXP(-LN(2)/2))/(LN(2)/2)*AQ74*AT74*VLOOKUP('Données projet'!$B$10,Paramètres!$A$1:$I$89,3,0)*0.475*44/12</f>
        <v>1.0001538551670656E-5</v>
      </c>
      <c r="AX74" s="23">
        <f t="shared" si="60"/>
        <v>7.4960874188625155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-5.6843418860808015E-14</v>
      </c>
      <c r="BE74" s="14">
        <f>BD74*VLOOKUP('Données projet'!$B$11,Paramètres!$A$1:$I$89,3,0)*VLOOKUP('Données projet'!$B$11,Paramètres!$A$1:$I$89,5,0)</f>
        <v>-4.9658410716801891E-14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303.33040062722074</v>
      </c>
      <c r="BJ74" s="62">
        <f t="shared" si="92"/>
        <v>425.30058672361548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6.1163873492187815</v>
      </c>
      <c r="BR74" s="23">
        <f>EXP(-LN(2)/2)*BR73+(1-EXP(-LN(2)/2))/(LN(2)/2)*BL74*BO74*VLOOKUP('Données projet'!$B$11,Paramètres!$A$1:$I$89,3,0)*0.475*44/12</f>
        <v>1.133919371846626E-5</v>
      </c>
      <c r="BS74" s="24">
        <f t="shared" si="63"/>
        <v>6.1163986884124997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4.2</v>
      </c>
      <c r="N75" s="14">
        <f>IF('Données projet'!$A$36&gt;35,N74+M75-V74,IF(A75&lt;'Données projet'!$A$36,$K$205^A75,IF(A75='Données projet'!$A$36,'Données projet'!$B$36,N74+M75-V74)))</f>
        <v>310.39999999999964</v>
      </c>
      <c r="O75" s="14">
        <f>N75*VLOOKUP('Données projet'!$B$9,Paramètres!$A$1:$I$89,3,0)*VLOOKUP('Données projet'!$B$9,Paramètres!$A$1:$I$89,5,0)</f>
        <v>246.95423999999971</v>
      </c>
      <c r="P75" s="14">
        <f t="shared" si="87"/>
        <v>59.933272631878836</v>
      </c>
      <c r="Q75" s="22">
        <f t="shared" si="54"/>
        <v>534.49575116718847</v>
      </c>
      <c r="R75" s="62">
        <f t="shared" si="55"/>
        <v>827.82908450052173</v>
      </c>
      <c r="S75" s="62">
        <f ca="1">AVERAGE(OFFSET($R$3,0,0,'Données projet'!$E$9+1,1))-AVERAGE(OFFSET($H$3,0,0,'Données projet'!$E$9+1,1))</f>
        <v>354.56491118410622</v>
      </c>
      <c r="T75" s="62">
        <f t="shared" si="88"/>
        <v>343.77208530767069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8.0115523986565247</v>
      </c>
      <c r="AB75" s="23">
        <f>EXP(-LN(2)/2)*AB74+(1-EXP(-LN(2)/2))/(LN(2)/2)*V75*Y75*VLOOKUP('Données projet'!$B$9,Paramètres!$A$1:$I$89,3,0)*0.475*44/12</f>
        <v>6.3914751214532342E-6</v>
      </c>
      <c r="AC75" s="24">
        <f t="shared" si="57"/>
        <v>8.0115587901316463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363.39999999999964</v>
      </c>
      <c r="AJ75" s="14">
        <f>AI75*VLOOKUP('Données projet'!$B$10,Paramètres!$A$1:$I$89,3,0)*VLOOKUP('Données projet'!$B$10,Paramètres!$A$1:$I$89,5,0)</f>
        <v>266.44487999999973</v>
      </c>
      <c r="AK75" s="14">
        <f t="shared" si="89"/>
        <v>64.094202063399919</v>
      </c>
      <c r="AL75" s="22">
        <f t="shared" si="58"/>
        <v>575.68890126042095</v>
      </c>
      <c r="AM75" s="62">
        <f t="shared" si="59"/>
        <v>869.02223459375432</v>
      </c>
      <c r="AN75" s="62">
        <f ca="1">AVERAGE(OFFSET($AM$3,0,0,'Données projet'!$E$10+1,1))-AVERAGE(OFFSET($H$3,0,0,'Données projet'!$E$10+1,1))</f>
        <v>380.01621935031324</v>
      </c>
      <c r="AO75" s="62">
        <f t="shared" si="90"/>
        <v>365.76175372075869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7.291096786145661</v>
      </c>
      <c r="AW75" s="23">
        <f>EXP(-LN(2)/2)*AW74+(1-EXP(-LN(2)/2))/(LN(2)/2)*AQ75*AT75*VLOOKUP('Données projet'!$B$10,Paramètres!$A$1:$I$89,3,0)*0.475*44/12</f>
        <v>7.0721557321850019E-6</v>
      </c>
      <c r="AX75" s="23">
        <f t="shared" si="60"/>
        <v>7.2911038583013932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-5.6843418860808015E-14</v>
      </c>
      <c r="BE75" s="14">
        <f>BD75*VLOOKUP('Données projet'!$B$11,Paramètres!$A$1:$I$89,3,0)*VLOOKUP('Données projet'!$B$11,Paramètres!$A$1:$I$89,5,0)</f>
        <v>-4.9658410716801891E-14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303.33040062722074</v>
      </c>
      <c r="BJ75" s="62">
        <f t="shared" si="92"/>
        <v>425.30058672361548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5.9491344155075625</v>
      </c>
      <c r="BR75" s="23">
        <f>EXP(-LN(2)/2)*BR74+(1-EXP(-LN(2)/2))/(LN(2)/2)*BL75*BO75*VLOOKUP('Données projet'!$B$11,Paramètres!$A$1:$I$89,3,0)*0.475*44/12</f>
        <v>8.018020771515396E-6</v>
      </c>
      <c r="BS75" s="24">
        <f t="shared" si="63"/>
        <v>5.9491424335283343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4.2</v>
      </c>
      <c r="N76" s="14">
        <f>IF('Données projet'!$A$36&gt;35,N75+M76-V75,IF(A76&lt;'Données projet'!$A$36,$K$205^A76,IF(A76='Données projet'!$A$36,'Données projet'!$B$36,N75+M76-V75)))</f>
        <v>314.59999999999962</v>
      </c>
      <c r="O76" s="14">
        <f>N76*VLOOKUP('Données projet'!$B$9,Paramètres!$A$1:$I$89,3,0)*VLOOKUP('Données projet'!$B$9,Paramètres!$A$1:$I$89,5,0)</f>
        <v>250.29575999999969</v>
      </c>
      <c r="P76" s="14">
        <f t="shared" si="87"/>
        <v>60.649269046250886</v>
      </c>
      <c r="Q76" s="22">
        <f t="shared" si="54"/>
        <v>541.56259225555311</v>
      </c>
      <c r="R76" s="62">
        <f t="shared" si="55"/>
        <v>834.89592558888648</v>
      </c>
      <c r="S76" s="62">
        <f ca="1">AVERAGE(OFFSET($R$3,0,0,'Données projet'!$E$9+1,1))-AVERAGE(OFFSET($H$3,0,0,'Données projet'!$E$9+1,1))</f>
        <v>354.56491118410622</v>
      </c>
      <c r="T76" s="62">
        <f t="shared" si="88"/>
        <v>343.77208530767069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7.7924760770060324</v>
      </c>
      <c r="AB76" s="23">
        <f>EXP(-LN(2)/2)*AB75+(1-EXP(-LN(2)/2))/(LN(2)/2)*V76*Y76*VLOOKUP('Données projet'!$B$9,Paramètres!$A$1:$I$89,3,0)*0.475*44/12</f>
        <v>4.5194554001646942E-6</v>
      </c>
      <c r="AC76" s="24">
        <f t="shared" si="57"/>
        <v>7.7924805964614325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369.59999999999962</v>
      </c>
      <c r="AJ76" s="14">
        <f>AI76*VLOOKUP('Données projet'!$B$10,Paramètres!$A$1:$I$89,3,0)*VLOOKUP('Données projet'!$B$10,Paramètres!$A$1:$I$89,5,0)</f>
        <v>270.99071999999973</v>
      </c>
      <c r="AK76" s="14">
        <f t="shared" si="89"/>
        <v>65.059480235909703</v>
      </c>
      <c r="AL76" s="22">
        <f t="shared" si="58"/>
        <v>585.28743207754212</v>
      </c>
      <c r="AM76" s="62">
        <f t="shared" si="59"/>
        <v>878.62076541087549</v>
      </c>
      <c r="AN76" s="62">
        <f ca="1">AVERAGE(OFFSET($AM$3,0,0,'Données projet'!$E$10+1,1))-AVERAGE(OFFSET($H$3,0,0,'Données projet'!$E$10+1,1))</f>
        <v>380.01621935031324</v>
      </c>
      <c r="AO76" s="62">
        <f t="shared" si="90"/>
        <v>365.76175372075869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7.0917213611063916</v>
      </c>
      <c r="AW76" s="23">
        <f>EXP(-LN(2)/2)*AW75+(1-EXP(-LN(2)/2))/(LN(2)/2)*AQ76*AT76*VLOOKUP('Données projet'!$B$10,Paramètres!$A$1:$I$89,3,0)*0.475*44/12</f>
        <v>5.0007692758353279E-6</v>
      </c>
      <c r="AX76" s="23">
        <f t="shared" si="60"/>
        <v>7.0917263618756676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-5.6843418860808015E-14</v>
      </c>
      <c r="BE76" s="14">
        <f>BD76*VLOOKUP('Données projet'!$B$11,Paramètres!$A$1:$I$89,3,0)*VLOOKUP('Données projet'!$B$11,Paramètres!$A$1:$I$89,5,0)</f>
        <v>-4.9658410716801891E-14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303.33040062722074</v>
      </c>
      <c r="BJ76" s="62">
        <f t="shared" si="92"/>
        <v>425.30058672361548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5.7864550220641267</v>
      </c>
      <c r="BR76" s="23">
        <f>EXP(-LN(2)/2)*BR75+(1-EXP(-LN(2)/2))/(LN(2)/2)*BL76*BO76*VLOOKUP('Données projet'!$B$11,Paramètres!$A$1:$I$89,3,0)*0.475*44/12</f>
        <v>5.6695968592331302E-6</v>
      </c>
      <c r="BS76" s="24">
        <f t="shared" si="63"/>
        <v>5.7864606916609862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4.2</v>
      </c>
      <c r="N77" s="14">
        <f>IF('Données projet'!$A$36&gt;35,N76+M77-V76,IF(A77&lt;'Données projet'!$A$36,$K$205^A77,IF(A77='Données projet'!$A$36,'Données projet'!$B$36,N76+M77-V76)))</f>
        <v>318.79999999999961</v>
      </c>
      <c r="O77" s="14">
        <f>N77*VLOOKUP('Données projet'!$B$9,Paramètres!$A$1:$I$89,3,0)*VLOOKUP('Données projet'!$B$9,Paramètres!$A$1:$I$89,5,0)</f>
        <v>253.63727999999969</v>
      </c>
      <c r="P77" s="14">
        <f t="shared" si="87"/>
        <v>61.364153650447946</v>
      </c>
      <c r="Q77" s="22">
        <f t="shared" si="54"/>
        <v>548.62749694119634</v>
      </c>
      <c r="R77" s="62">
        <f t="shared" si="55"/>
        <v>841.9608302745296</v>
      </c>
      <c r="S77" s="62">
        <f ca="1">AVERAGE(OFFSET($R$3,0,0,'Données projet'!$E$9+1,1))-AVERAGE(OFFSET($H$3,0,0,'Données projet'!$E$9+1,1))</f>
        <v>354.56491118410622</v>
      </c>
      <c r="T77" s="62">
        <f t="shared" si="88"/>
        <v>343.77208530767069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7.5793904088917952</v>
      </c>
      <c r="AB77" s="23">
        <f>EXP(-LN(2)/2)*AB76+(1-EXP(-LN(2)/2))/(LN(2)/2)*V77*Y77*VLOOKUP('Données projet'!$B$9,Paramètres!$A$1:$I$89,3,0)*0.475*44/12</f>
        <v>3.1957375607266171E-6</v>
      </c>
      <c r="AC77" s="24">
        <f t="shared" si="57"/>
        <v>7.579393604629356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375.79999999999961</v>
      </c>
      <c r="AJ77" s="14">
        <f>AI77*VLOOKUP('Données projet'!$B$10,Paramètres!$A$1:$I$89,3,0)*VLOOKUP('Données projet'!$B$10,Paramètres!$A$1:$I$89,5,0)</f>
        <v>275.53655999999972</v>
      </c>
      <c r="AK77" s="14">
        <f t="shared" si="89"/>
        <v>66.022875354328121</v>
      </c>
      <c r="AL77" s="22">
        <f t="shared" si="58"/>
        <v>594.88268324212095</v>
      </c>
      <c r="AM77" s="62">
        <f t="shared" si="59"/>
        <v>888.2160165754542</v>
      </c>
      <c r="AN77" s="62">
        <f ca="1">AVERAGE(OFFSET($AM$3,0,0,'Données projet'!$E$10+1,1))-AVERAGE(OFFSET($H$3,0,0,'Données projet'!$E$10+1,1))</f>
        <v>380.01621935031324</v>
      </c>
      <c r="AO77" s="62">
        <f t="shared" si="90"/>
        <v>365.76175372075869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6.8977978675495191</v>
      </c>
      <c r="AW77" s="23">
        <f>EXP(-LN(2)/2)*AW76+(1-EXP(-LN(2)/2))/(LN(2)/2)*AQ77*AT77*VLOOKUP('Données projet'!$B$10,Paramètres!$A$1:$I$89,3,0)*0.475*44/12</f>
        <v>3.536077866092501E-6</v>
      </c>
      <c r="AX77" s="23">
        <f t="shared" si="60"/>
        <v>6.8978014036273851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-5.6843418860808015E-14</v>
      </c>
      <c r="BE77" s="14">
        <f>BD77*VLOOKUP('Données projet'!$B$11,Paramètres!$A$1:$I$89,3,0)*VLOOKUP('Données projet'!$B$11,Paramètres!$A$1:$I$89,5,0)</f>
        <v>-4.9658410716801891E-14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303.33040062722074</v>
      </c>
      <c r="BJ77" s="62">
        <f t="shared" si="92"/>
        <v>425.30058672361548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5.6282241051893385</v>
      </c>
      <c r="BR77" s="23">
        <f>EXP(-LN(2)/2)*BR76+(1-EXP(-LN(2)/2))/(LN(2)/2)*BL77*BO77*VLOOKUP('Données projet'!$B$11,Paramètres!$A$1:$I$89,3,0)*0.475*44/12</f>
        <v>4.009010385757698E-6</v>
      </c>
      <c r="BS77" s="24">
        <f t="shared" si="63"/>
        <v>5.6282281141997244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323</v>
      </c>
      <c r="L78" s="13">
        <f>VLOOKUP(A78,'Données projet'!$A$35:$I$55,9,0)</f>
        <v>4.2</v>
      </c>
      <c r="M78" s="13">
        <f t="array" ref="M78">INDEX(L:L,MIN(IF(ISNUMBER(L78:L274),ROW(L78:L274),"")))</f>
        <v>4.2</v>
      </c>
      <c r="N78" s="14">
        <f>IF('Données projet'!$A$36&gt;35,N77+M78-V77,IF(A78&lt;'Données projet'!$A$36,$K$205^A78,IF(A78='Données projet'!$A$36,'Données projet'!$B$36,N77+M78-V77)))</f>
        <v>322.9999999999996</v>
      </c>
      <c r="O78" s="14">
        <f>N78*VLOOKUP('Données projet'!$B$9,Paramètres!$A$1:$I$89,3,0)*VLOOKUP('Données projet'!$B$9,Paramètres!$A$1:$I$89,5,0)</f>
        <v>256.97879999999969</v>
      </c>
      <c r="P78" s="14">
        <f t="shared" si="87"/>
        <v>62.077942785287192</v>
      </c>
      <c r="Q78" s="22">
        <f t="shared" si="54"/>
        <v>555.69049368437459</v>
      </c>
      <c r="R78" s="62">
        <f t="shared" si="55"/>
        <v>849.02382701770784</v>
      </c>
      <c r="S78" s="62">
        <f ca="1">AVERAGE(OFFSET($R$3,0,0,'Données projet'!$E$9+1,1))-AVERAGE(OFFSET($H$3,0,0,'Données projet'!$E$9+1,1))</f>
        <v>354.56491118410622</v>
      </c>
      <c r="T78" s="62">
        <f t="shared" si="88"/>
        <v>343.77208530767069</v>
      </c>
      <c r="U78" s="16">
        <f>IF(ISNA(VLOOKUP(A78,'Données projet'!$A$35:$I$55,3,0)),0,VLOOKUP(A78,'Données projet'!$A$35:$I$55,3,0))</f>
        <v>14</v>
      </c>
      <c r="V78" s="16">
        <f>IF(ISNA(VLOOKUP(A78,'Données projet'!$A$35:$I$55,4,0)),0,VLOOKUP(A78,'Données projet'!$A$35:$I$55,4,0))</f>
        <v>12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7.3721315795778306</v>
      </c>
      <c r="AB78" s="23">
        <f>EXP(-LN(2)/2)*AB77+(1-EXP(-LN(2)/2))/(LN(2)/2)*V78*Y78*VLOOKUP('Données projet'!$B$9,Paramètres!$A$1:$I$89,3,0)*0.475*44/12</f>
        <v>2.2597277000823471E-6</v>
      </c>
      <c r="AC78" s="24">
        <f t="shared" si="57"/>
        <v>7.3721338393055307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382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381.9999999999996</v>
      </c>
      <c r="AJ78" s="14">
        <f>AI78*VLOOKUP('Données projet'!$B$10,Paramètres!$A$1:$I$89,3,0)*VLOOKUP('Données projet'!$B$10,Paramètres!$A$1:$I$89,5,0)</f>
        <v>280.08239999999967</v>
      </c>
      <c r="AK78" s="14">
        <f t="shared" si="89"/>
        <v>66.984422071611988</v>
      </c>
      <c r="AL78" s="22">
        <f t="shared" si="58"/>
        <v>604.47471510805701</v>
      </c>
      <c r="AM78" s="62">
        <f t="shared" si="59"/>
        <v>897.80804844139038</v>
      </c>
      <c r="AN78" s="62">
        <f ca="1">AVERAGE(OFFSET($AM$3,0,0,'Données projet'!$E$10+1,1))-AVERAGE(OFFSET($H$3,0,0,'Données projet'!$E$10+1,1))</f>
        <v>380.01621935031324</v>
      </c>
      <c r="AO78" s="62">
        <f t="shared" si="90"/>
        <v>365.76175372075869</v>
      </c>
      <c r="AP78" s="16">
        <f>IF(ISNA(VLOOKUP(A78,'Données projet'!$A$61:$I$81,3,0)),0,VLOOKUP(A78,'Données projet'!$A$61:$I$81,3,0))</f>
        <v>14</v>
      </c>
      <c r="AQ78" s="16">
        <f>IF(ISNA(VLOOKUP(A78,'Données projet'!$A$61:$I$81,4,0)),0,VLOOKUP(A78,'Données projet'!$A$61:$I$81,4,0))</f>
        <v>14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6.7091772221219523</v>
      </c>
      <c r="AW78" s="23">
        <f>EXP(-LN(2)/2)*AW77+(1-EXP(-LN(2)/2))/(LN(2)/2)*AQ78*AT78*VLOOKUP('Données projet'!$B$10,Paramètres!$A$1:$I$89,3,0)*0.475*44/12</f>
        <v>2.5003846379176639E-6</v>
      </c>
      <c r="AX78" s="23">
        <f t="shared" si="60"/>
        <v>6.7091797225065903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-5.6843418860808015E-14</v>
      </c>
      <c r="BE78" s="14">
        <f>BD78*VLOOKUP('Données projet'!$B$11,Paramètres!$A$1:$I$89,3,0)*VLOOKUP('Données projet'!$B$11,Paramètres!$A$1:$I$89,5,0)</f>
        <v>-4.9658410716801891E-14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303.33040062722074</v>
      </c>
      <c r="BJ78" s="62">
        <f t="shared" si="92"/>
        <v>425.30058672361548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5.474320021057494</v>
      </c>
      <c r="BR78" s="23">
        <f>EXP(-LN(2)/2)*BR77+(1-EXP(-LN(2)/2))/(LN(2)/2)*BL78*BO78*VLOOKUP('Données projet'!$B$11,Paramètres!$A$1:$I$89,3,0)*0.475*44/12</f>
        <v>2.8347984296165651E-6</v>
      </c>
      <c r="BS78" s="24">
        <f t="shared" si="63"/>
        <v>5.4743228558559238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10</v>
      </c>
      <c r="N79" s="14">
        <f>IF('Données projet'!$A$36&gt;35,N78+M79-V78,IF(A79&lt;'Données projet'!$A$36,$K$205^A79,IF(A79='Données projet'!$A$36,'Données projet'!$B$36,N78+M79-V78)))</f>
        <v>320.9999999999996</v>
      </c>
      <c r="O79" s="14">
        <f>N79*VLOOKUP('Données projet'!$B$9,Paramètres!$A$1:$I$89,3,0)*VLOOKUP('Données projet'!$B$9,Paramètres!$A$1:$I$89,5,0)</f>
        <v>255.38759999999971</v>
      </c>
      <c r="P79" s="14">
        <f t="shared" si="87"/>
        <v>61.738178803450246</v>
      </c>
      <c r="Q79" s="22">
        <f t="shared" si="54"/>
        <v>552.32739808267536</v>
      </c>
      <c r="R79" s="62">
        <f t="shared" si="55"/>
        <v>845.66073141600873</v>
      </c>
      <c r="S79" s="62">
        <f ca="1">AVERAGE(OFFSET($R$3,0,0,'Données projet'!$E$9+1,1))-AVERAGE(OFFSET($H$3,0,0,'Données projet'!$E$9+1,1))</f>
        <v>354.56491118410622</v>
      </c>
      <c r="T79" s="62">
        <f t="shared" si="88"/>
        <v>343.77208530767069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7.1705402538507244</v>
      </c>
      <c r="AB79" s="23">
        <f>EXP(-LN(2)/2)*AB78+(1-EXP(-LN(2)/2))/(LN(2)/2)*V79*Y79*VLOOKUP('Données projet'!$B$9,Paramètres!$A$1:$I$89,3,0)*0.475*44/12</f>
        <v>1.5978687803633085E-6</v>
      </c>
      <c r="AC79" s="24">
        <f t="shared" si="57"/>
        <v>7.1705418517195048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12.6</v>
      </c>
      <c r="AI79" s="14">
        <f>IF('Données projet'!$A$62&gt;35,AI78+AH79-AQ78,IF(A79&lt;'Données projet'!$A$62,$AF$205^A79,IF(A79='Données projet'!$A$62,'Données projet'!$B$62,AI78+AH79-AQ78)))</f>
        <v>380.59999999999962</v>
      </c>
      <c r="AJ79" s="14">
        <f>AI79*VLOOKUP('Données projet'!$B$10,Paramètres!$A$1:$I$89,3,0)*VLOOKUP('Données projet'!$B$10,Paramètres!$A$1:$I$89,5,0)</f>
        <v>279.05591999999973</v>
      </c>
      <c r="AK79" s="14">
        <f t="shared" si="89"/>
        <v>66.767458437964905</v>
      </c>
      <c r="AL79" s="22">
        <f t="shared" si="58"/>
        <v>602.30905077945499</v>
      </c>
      <c r="AM79" s="62">
        <f t="shared" si="59"/>
        <v>895.64238411278825</v>
      </c>
      <c r="AN79" s="62">
        <f ca="1">AVERAGE(OFFSET($AM$3,0,0,'Données projet'!$E$10+1,1))-AVERAGE(OFFSET($H$3,0,0,'Données projet'!$E$10+1,1))</f>
        <v>380.01621935031324</v>
      </c>
      <c r="AO79" s="62">
        <f t="shared" si="90"/>
        <v>365.76175372075869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6.5257144181627318</v>
      </c>
      <c r="AW79" s="23">
        <f>EXP(-LN(2)/2)*AW78+(1-EXP(-LN(2)/2))/(LN(2)/2)*AQ79*AT79*VLOOKUP('Données projet'!$B$10,Paramètres!$A$1:$I$89,3,0)*0.475*44/12</f>
        <v>1.7680389330462505E-6</v>
      </c>
      <c r="AX79" s="23">
        <f t="shared" si="60"/>
        <v>6.5257161862016648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-5.6843418860808015E-14</v>
      </c>
      <c r="BE79" s="14">
        <f>BD79*VLOOKUP('Données projet'!$B$11,Paramètres!$A$1:$I$89,3,0)*VLOOKUP('Données projet'!$B$11,Paramètres!$A$1:$I$89,5,0)</f>
        <v>-4.9658410716801891E-14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303.33040062722074</v>
      </c>
      <c r="BJ79" s="62">
        <f t="shared" si="92"/>
        <v>425.30058672361548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5.324624452199699</v>
      </c>
      <c r="BR79" s="23">
        <f>EXP(-LN(2)/2)*BR78+(1-EXP(-LN(2)/2))/(LN(2)/2)*BL79*BO79*VLOOKUP('Données projet'!$B$11,Paramètres!$A$1:$I$89,3,0)*0.475*44/12</f>
        <v>2.004505192878849E-6</v>
      </c>
      <c r="BS79" s="24">
        <f t="shared" si="63"/>
        <v>5.324626456704892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10</v>
      </c>
      <c r="N80" s="14">
        <f>IF('Données projet'!$A$36&gt;35,N79+M80-V79,IF(A80&lt;'Données projet'!$A$36,$K$205^A80,IF(A80='Données projet'!$A$36,'Données projet'!$B$36,N79+M80-V79)))</f>
        <v>330.9999999999996</v>
      </c>
      <c r="O80" s="14">
        <f>N80*VLOOKUP('Données projet'!$B$9,Paramètres!$A$1:$I$89,3,0)*VLOOKUP('Données projet'!$B$9,Paramètres!$A$1:$I$89,5,0)</f>
        <v>263.3435999999997</v>
      </c>
      <c r="P80" s="14">
        <f t="shared" si="87"/>
        <v>63.434567456818996</v>
      </c>
      <c r="Q80" s="22">
        <f t="shared" si="54"/>
        <v>569.1386416539591</v>
      </c>
      <c r="R80" s="62">
        <f t="shared" si="55"/>
        <v>862.47197498729247</v>
      </c>
      <c r="S80" s="62">
        <f ca="1">AVERAGE(OFFSET($R$3,0,0,'Données projet'!$E$9+1,1))-AVERAGE(OFFSET($H$3,0,0,'Données projet'!$E$9+1,1))</f>
        <v>354.56491118410622</v>
      </c>
      <c r="T80" s="62">
        <f t="shared" si="88"/>
        <v>343.77208530767069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6.9744614535268532</v>
      </c>
      <c r="AB80" s="23">
        <f>EXP(-LN(2)/2)*AB79+(1-EXP(-LN(2)/2))/(LN(2)/2)*V80*Y80*VLOOKUP('Données projet'!$B$9,Paramètres!$A$1:$I$89,3,0)*0.475*44/12</f>
        <v>1.1298638500411736E-6</v>
      </c>
      <c r="AC80" s="24">
        <f t="shared" si="57"/>
        <v>6.9744625833907037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12.6</v>
      </c>
      <c r="AI80" s="14">
        <f>IF('Données projet'!$A$62&gt;35,AI79+AH80-AQ79,IF(A80&lt;'Données projet'!$A$62,$AF$205^A80,IF(A80='Données projet'!$A$62,'Données projet'!$B$62,AI79+AH80-AQ79)))</f>
        <v>393.19999999999965</v>
      </c>
      <c r="AJ80" s="14">
        <f>AI80*VLOOKUP('Données projet'!$B$10,Paramètres!$A$1:$I$89,3,0)*VLOOKUP('Données projet'!$B$10,Paramètres!$A$1:$I$89,5,0)</f>
        <v>288.29423999999977</v>
      </c>
      <c r="AK80" s="14">
        <f t="shared" si="89"/>
        <v>68.716831146511765</v>
      </c>
      <c r="AL80" s="22">
        <f t="shared" si="58"/>
        <v>621.79428224684091</v>
      </c>
      <c r="AM80" s="62">
        <f t="shared" si="59"/>
        <v>915.12761558017428</v>
      </c>
      <c r="AN80" s="62">
        <f ca="1">AVERAGE(OFFSET($AM$3,0,0,'Données projet'!$E$10+1,1))-AVERAGE(OFFSET($H$3,0,0,'Données projet'!$E$10+1,1))</f>
        <v>380.01621935031324</v>
      </c>
      <c r="AO80" s="62">
        <f t="shared" si="90"/>
        <v>365.76175372075869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6.347268414225665</v>
      </c>
      <c r="AW80" s="23">
        <f>EXP(-LN(2)/2)*AW79+(1-EXP(-LN(2)/2))/(LN(2)/2)*AQ80*AT80*VLOOKUP('Données projet'!$B$10,Paramètres!$A$1:$I$89,3,0)*0.475*44/12</f>
        <v>1.250192318958832E-6</v>
      </c>
      <c r="AX80" s="23">
        <f t="shared" si="60"/>
        <v>6.3472696644179836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-5.6843418860808015E-14</v>
      </c>
      <c r="BE80" s="14">
        <f>BD80*VLOOKUP('Données projet'!$B$11,Paramètres!$A$1:$I$89,3,0)*VLOOKUP('Données projet'!$B$11,Paramètres!$A$1:$I$89,5,0)</f>
        <v>-4.9658410716801891E-14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303.33040062722074</v>
      </c>
      <c r="BJ80" s="62">
        <f t="shared" si="92"/>
        <v>425.30058672361548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5.1790223165444678</v>
      </c>
      <c r="BR80" s="23">
        <f>EXP(-LN(2)/2)*BR79+(1-EXP(-LN(2)/2))/(LN(2)/2)*BL80*BO80*VLOOKUP('Données projet'!$B$11,Paramètres!$A$1:$I$89,3,0)*0.475*44/12</f>
        <v>1.4173992148082825E-6</v>
      </c>
      <c r="BS80" s="24">
        <f t="shared" si="63"/>
        <v>5.1790237339436827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10</v>
      </c>
      <c r="N81" s="14">
        <f>IF('Données projet'!$A$36&gt;35,N80+M81-V80,IF(A81&lt;'Données projet'!$A$36,$K$205^A81,IF(A81='Données projet'!$A$36,'Données projet'!$B$36,N80+M81-V80)))</f>
        <v>340.9999999999996</v>
      </c>
      <c r="O81" s="14">
        <f>N81*VLOOKUP('Données projet'!$B$9,Paramètres!$A$1:$I$89,3,0)*VLOOKUP('Données projet'!$B$9,Paramètres!$A$1:$I$89,5,0)</f>
        <v>271.29959999999971</v>
      </c>
      <c r="P81" s="14">
        <f t="shared" si="87"/>
        <v>65.12500008185782</v>
      </c>
      <c r="Q81" s="22">
        <f t="shared" si="54"/>
        <v>585.93951180923511</v>
      </c>
      <c r="R81" s="62">
        <f t="shared" si="55"/>
        <v>879.27284514256849</v>
      </c>
      <c r="S81" s="62">
        <f ca="1">AVERAGE(OFFSET($R$3,0,0,'Données projet'!$E$9+1,1))-AVERAGE(OFFSET($H$3,0,0,'Données projet'!$E$9+1,1))</f>
        <v>354.56491118410622</v>
      </c>
      <c r="T81" s="62">
        <f t="shared" si="88"/>
        <v>343.77208530767069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6.7837444383091743</v>
      </c>
      <c r="AB81" s="23">
        <f>EXP(-LN(2)/2)*AB80+(1-EXP(-LN(2)/2))/(LN(2)/2)*V81*Y81*VLOOKUP('Données projet'!$B$9,Paramètres!$A$1:$I$89,3,0)*0.475*44/12</f>
        <v>7.9893439018165427E-7</v>
      </c>
      <c r="AC81" s="24">
        <f t="shared" si="57"/>
        <v>6.783745237243564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12.6</v>
      </c>
      <c r="AI81" s="14">
        <f>IF('Données projet'!$A$62&gt;35,AI80+AH81-AQ80,IF(A81&lt;'Données projet'!$A$62,$AF$205^A81,IF(A81='Données projet'!$A$62,'Données projet'!$B$62,AI80+AH81-AQ80)))</f>
        <v>405.79999999999967</v>
      </c>
      <c r="AJ81" s="14">
        <f>AI81*VLOOKUP('Données projet'!$B$10,Paramètres!$A$1:$I$89,3,0)*VLOOKUP('Données projet'!$B$10,Paramètres!$A$1:$I$89,5,0)</f>
        <v>297.53255999999976</v>
      </c>
      <c r="AK81" s="14">
        <f t="shared" si="89"/>
        <v>70.658944906458913</v>
      </c>
      <c r="AL81" s="22">
        <f t="shared" si="58"/>
        <v>641.26687104541554</v>
      </c>
      <c r="AM81" s="62">
        <f t="shared" si="59"/>
        <v>934.60020437874891</v>
      </c>
      <c r="AN81" s="62">
        <f ca="1">AVERAGE(OFFSET($AM$3,0,0,'Données projet'!$E$10+1,1))-AVERAGE(OFFSET($H$3,0,0,'Données projet'!$E$10+1,1))</f>
        <v>380.01621935031324</v>
      </c>
      <c r="AO81" s="62">
        <f t="shared" si="90"/>
        <v>365.76175372075869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6.173702025650325</v>
      </c>
      <c r="AW81" s="23">
        <f>EXP(-LN(2)/2)*AW80+(1-EXP(-LN(2)/2))/(LN(2)/2)*AQ81*AT81*VLOOKUP('Données projet'!$B$10,Paramètres!$A$1:$I$89,3,0)*0.475*44/12</f>
        <v>8.8401946652312524E-7</v>
      </c>
      <c r="AX81" s="23">
        <f t="shared" si="60"/>
        <v>6.1737029096697915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-5.6843418860808015E-14</v>
      </c>
      <c r="BE81" s="14">
        <f>BD81*VLOOKUP('Données projet'!$B$11,Paramètres!$A$1:$I$89,3,0)*VLOOKUP('Données projet'!$B$11,Paramètres!$A$1:$I$89,5,0)</f>
        <v>-4.9658410716801891E-14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303.33040062722074</v>
      </c>
      <c r="BJ81" s="62">
        <f t="shared" si="92"/>
        <v>425.30058672361548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5.0374016789456126</v>
      </c>
      <c r="BR81" s="23">
        <f>EXP(-LN(2)/2)*BR80+(1-EXP(-LN(2)/2))/(LN(2)/2)*BL81*BO81*VLOOKUP('Données projet'!$B$11,Paramètres!$A$1:$I$89,3,0)*0.475*44/12</f>
        <v>1.0022525964394245E-6</v>
      </c>
      <c r="BS81" s="24">
        <f t="shared" si="63"/>
        <v>5.0374026811982091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10</v>
      </c>
      <c r="N82" s="14">
        <f>IF('Données projet'!$A$36&gt;35,N81+M82-V81,IF(A82&lt;'Données projet'!$A$36,$K$205^A82,IF(A82='Données projet'!$A$36,'Données projet'!$B$36,N81+M82-V81)))</f>
        <v>350.9999999999996</v>
      </c>
      <c r="O82" s="14">
        <f>N82*VLOOKUP('Données projet'!$B$9,Paramètres!$A$1:$I$89,3,0)*VLOOKUP('Données projet'!$B$9,Paramètres!$A$1:$I$89,5,0)</f>
        <v>279.25559999999967</v>
      </c>
      <c r="P82" s="14">
        <f t="shared" si="87"/>
        <v>66.809671397146104</v>
      </c>
      <c r="Q82" s="22">
        <f t="shared" si="54"/>
        <v>602.73034768336231</v>
      </c>
      <c r="R82" s="62">
        <f t="shared" si="55"/>
        <v>896.06368101669568</v>
      </c>
      <c r="S82" s="62">
        <f ca="1">AVERAGE(OFFSET($R$3,0,0,'Données projet'!$E$9+1,1))-AVERAGE(OFFSET($H$3,0,0,'Données projet'!$E$9+1,1))</f>
        <v>354.56491118410622</v>
      </c>
      <c r="T82" s="62">
        <f t="shared" si="88"/>
        <v>343.77208530767069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6.5982425899019947</v>
      </c>
      <c r="AB82" s="23">
        <f>EXP(-LN(2)/2)*AB81+(1-EXP(-LN(2)/2))/(LN(2)/2)*V82*Y82*VLOOKUP('Données projet'!$B$9,Paramètres!$A$1:$I$89,3,0)*0.475*44/12</f>
        <v>5.6493192502058678E-7</v>
      </c>
      <c r="AC82" s="24">
        <f t="shared" si="57"/>
        <v>6.59824315483392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12.6</v>
      </c>
      <c r="AI82" s="14">
        <f>IF('Données projet'!$A$62&gt;35,AI81+AH82-AQ81,IF(A82&lt;'Données projet'!$A$62,$AF$205^A82,IF(A82='Données projet'!$A$62,'Données projet'!$B$62,AI81+AH82-AQ81)))</f>
        <v>418.39999999999969</v>
      </c>
      <c r="AJ82" s="14">
        <f>AI82*VLOOKUP('Données projet'!$B$10,Paramètres!$A$1:$I$89,3,0)*VLOOKUP('Données projet'!$B$10,Paramètres!$A$1:$I$89,5,0)</f>
        <v>306.77087999999981</v>
      </c>
      <c r="AK82" s="14">
        <f t="shared" si="89"/>
        <v>72.594050969548604</v>
      </c>
      <c r="AL82" s="22">
        <f t="shared" si="58"/>
        <v>660.72725477196343</v>
      </c>
      <c r="AM82" s="62">
        <f t="shared" si="59"/>
        <v>954.0605881052968</v>
      </c>
      <c r="AN82" s="62">
        <f ca="1">AVERAGE(OFFSET($AM$3,0,0,'Données projet'!$E$10+1,1))-AVERAGE(OFFSET($H$3,0,0,'Données projet'!$E$10+1,1))</f>
        <v>380.01621935031324</v>
      </c>
      <c r="AO82" s="62">
        <f t="shared" si="90"/>
        <v>365.76175372075869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6.0048818190980375</v>
      </c>
      <c r="AW82" s="23">
        <f>EXP(-LN(2)/2)*AW81+(1-EXP(-LN(2)/2))/(LN(2)/2)*AQ82*AT82*VLOOKUP('Données projet'!$B$10,Paramètres!$A$1:$I$89,3,0)*0.475*44/12</f>
        <v>6.2509615947941599E-7</v>
      </c>
      <c r="AX82" s="23">
        <f t="shared" si="60"/>
        <v>6.0048824441941973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-5.6843418860808015E-14</v>
      </c>
      <c r="BE82" s="14">
        <f>BD82*VLOOKUP('Données projet'!$B$11,Paramètres!$A$1:$I$89,3,0)*VLOOKUP('Données projet'!$B$11,Paramètres!$A$1:$I$89,5,0)</f>
        <v>-4.9658410716801891E-14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303.33040062722074</v>
      </c>
      <c r="BJ82" s="62">
        <f t="shared" si="92"/>
        <v>425.30058672361548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4.8996536651294038</v>
      </c>
      <c r="BR82" s="23">
        <f>EXP(-LN(2)/2)*BR81+(1-EXP(-LN(2)/2))/(LN(2)/2)*BL82*BO82*VLOOKUP('Données projet'!$B$11,Paramètres!$A$1:$I$89,3,0)*0.475*44/12</f>
        <v>7.0869960740414127E-7</v>
      </c>
      <c r="BS82" s="24">
        <f t="shared" si="63"/>
        <v>4.8996543738290113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361</v>
      </c>
      <c r="L83" s="13">
        <f>VLOOKUP(A83,'Données projet'!$A$35:$I$55,9,0)</f>
        <v>10</v>
      </c>
      <c r="M83" s="13">
        <f t="array" ref="M83">INDEX(L:L,MIN(IF(ISNUMBER(L83:L279),ROW(L83:L279),"")))</f>
        <v>10</v>
      </c>
      <c r="N83" s="14">
        <f>IF('Données projet'!$A$36&gt;35,N82+M83-V82,IF(A83&lt;'Données projet'!$A$36,$K$205^A83,IF(A83='Données projet'!$A$36,'Données projet'!$B$36,N82+M83-V82)))</f>
        <v>360.9999999999996</v>
      </c>
      <c r="O83" s="14">
        <f>N83*VLOOKUP('Données projet'!$B$9,Paramètres!$A$1:$I$89,3,0)*VLOOKUP('Données projet'!$B$9,Paramètres!$A$1:$I$89,5,0)</f>
        <v>287.21159999999969</v>
      </c>
      <c r="P83" s="14">
        <f t="shared" si="87"/>
        <v>68.488764395100958</v>
      </c>
      <c r="Q83" s="22">
        <f t="shared" si="54"/>
        <v>619.51146798813363</v>
      </c>
      <c r="R83" s="62">
        <f t="shared" si="55"/>
        <v>912.844801321467</v>
      </c>
      <c r="S83" s="62">
        <f ca="1">AVERAGE(OFFSET($R$3,0,0,'Données projet'!$E$9+1,1))-AVERAGE(OFFSET($H$3,0,0,'Données projet'!$E$9+1,1))</f>
        <v>354.56491118410622</v>
      </c>
      <c r="T83" s="62">
        <f t="shared" si="88"/>
        <v>343.77208530767069</v>
      </c>
      <c r="U83" s="16">
        <f>IF(ISNA(VLOOKUP(A83,'Données projet'!$A$35:$I$55,3,0)),0,VLOOKUP(A83,'Données projet'!$A$35:$I$55,3,0))</f>
        <v>15</v>
      </c>
      <c r="V83" s="16">
        <f>IF(ISNA(VLOOKUP(A83,'Données projet'!$A$35:$I$55,4,0)),0,VLOOKUP(A83,'Données projet'!$A$35:$I$55,4,0))</f>
        <v>11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6.4178132992946271</v>
      </c>
      <c r="AB83" s="23">
        <f>EXP(-LN(2)/2)*AB82+(1-EXP(-LN(2)/2))/(LN(2)/2)*V83*Y83*VLOOKUP('Données projet'!$B$9,Paramètres!$A$1:$I$89,3,0)*0.475*44/12</f>
        <v>3.9946719509082714E-7</v>
      </c>
      <c r="AC83" s="24">
        <f t="shared" si="57"/>
        <v>6.4178136987618224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431</v>
      </c>
      <c r="AG83" s="13">
        <f>VLOOKUP(A83,'Données projet'!$A$61:$I$81,9,0)</f>
        <v>12.6</v>
      </c>
      <c r="AH83" s="13">
        <f t="array" ref="AH83">INDEX(AG:AG,MIN(IF(ISNUMBER(AG83:AG279),ROW(AG83:AG279),"")))</f>
        <v>12.6</v>
      </c>
      <c r="AI83" s="14">
        <f>IF('Données projet'!$A$62&gt;35,AI82+AH83-AQ82,IF(A83&lt;'Données projet'!$A$62,$AF$205^A83,IF(A83='Données projet'!$A$62,'Données projet'!$B$62,AI82+AH83-AQ82)))</f>
        <v>430.99999999999972</v>
      </c>
      <c r="AJ83" s="14">
        <f>AI83*VLOOKUP('Données projet'!$B$10,Paramètres!$A$1:$I$89,3,0)*VLOOKUP('Données projet'!$B$10,Paramètres!$A$1:$I$89,5,0)</f>
        <v>316.00919999999979</v>
      </c>
      <c r="AK83" s="14">
        <f t="shared" si="89"/>
        <v>74.522384594751202</v>
      </c>
      <c r="AL83" s="22">
        <f t="shared" si="58"/>
        <v>680.17584316919124</v>
      </c>
      <c r="AM83" s="62">
        <f t="shared" si="59"/>
        <v>973.5091765025245</v>
      </c>
      <c r="AN83" s="62">
        <f ca="1">AVERAGE(OFFSET($AM$3,0,0,'Données projet'!$E$10+1,1))-AVERAGE(OFFSET($H$3,0,0,'Données projet'!$E$10+1,1))</f>
        <v>380.01621935031324</v>
      </c>
      <c r="AO83" s="62">
        <f t="shared" si="90"/>
        <v>365.76175372075869</v>
      </c>
      <c r="AP83" s="16">
        <f>IF(ISNA(VLOOKUP(A83,'Données projet'!$A$61:$I$81,3,0)),0,VLOOKUP(A83,'Données projet'!$A$61:$I$81,3,0))</f>
        <v>15</v>
      </c>
      <c r="AQ83" s="16">
        <f>IF(ISNA(VLOOKUP(A83,'Données projet'!$A$61:$I$81,4,0)),0,VLOOKUP(A83,'Données projet'!$A$61:$I$81,4,0))</f>
        <v>13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5.840678009971791</v>
      </c>
      <c r="AW83" s="23">
        <f>EXP(-LN(2)/2)*AW82+(1-EXP(-LN(2)/2))/(LN(2)/2)*AQ83*AT83*VLOOKUP('Données projet'!$B$10,Paramètres!$A$1:$I$89,3,0)*0.475*44/12</f>
        <v>4.4200973326156262E-7</v>
      </c>
      <c r="AX83" s="23">
        <f t="shared" si="60"/>
        <v>5.8406784519815247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-5.6843418860808015E-14</v>
      </c>
      <c r="BE83" s="14">
        <f>BD83*VLOOKUP('Données projet'!$B$11,Paramètres!$A$1:$I$89,3,0)*VLOOKUP('Données projet'!$B$11,Paramètres!$A$1:$I$89,5,0)</f>
        <v>-4.9658410716801891E-14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303.33040062722074</v>
      </c>
      <c r="BJ83" s="62">
        <f t="shared" si="92"/>
        <v>425.30058672361548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4.7656723779948527</v>
      </c>
      <c r="BR83" s="23">
        <f>EXP(-LN(2)/2)*BR82+(1-EXP(-LN(2)/2))/(LN(2)/2)*BL83*BO83*VLOOKUP('Données projet'!$B$11,Paramètres!$A$1:$I$89,3,0)*0.475*44/12</f>
        <v>5.0112629821971225E-7</v>
      </c>
      <c r="BS83" s="24">
        <f t="shared" si="63"/>
        <v>4.7656728791211505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349.9999999999996</v>
      </c>
      <c r="O84" s="14">
        <f>N84*VLOOKUP('Données projet'!$B$9,Paramètres!$A$1:$I$89,3,0)*VLOOKUP('Données projet'!$B$9,Paramètres!$A$1:$I$89,5,0)</f>
        <v>278.4599999999997</v>
      </c>
      <c r="P84" s="14">
        <f t="shared" si="87"/>
        <v>66.641458222154824</v>
      </c>
      <c r="Q84" s="22">
        <f t="shared" si="54"/>
        <v>601.05170640358574</v>
      </c>
      <c r="R84" s="62">
        <f t="shared" si="55"/>
        <v>894.385039736919</v>
      </c>
      <c r="S84" s="62">
        <f ca="1">AVERAGE(OFFSET($R$3,0,0,'Données projet'!$E$9+1,1))-AVERAGE(OFFSET($H$3,0,0,'Données projet'!$E$9+1,1))</f>
        <v>354.56491118410622</v>
      </c>
      <c r="T84" s="62">
        <f t="shared" si="88"/>
        <v>343.77208530767069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6.2423178571272819</v>
      </c>
      <c r="AB84" s="23">
        <f>EXP(-LN(2)/2)*AB83+(1-EXP(-LN(2)/2))/(LN(2)/2)*V84*Y84*VLOOKUP('Données projet'!$B$9,Paramètres!$A$1:$I$89,3,0)*0.475*44/12</f>
        <v>2.8246596251029339E-7</v>
      </c>
      <c r="AC84" s="24">
        <f t="shared" si="57"/>
        <v>6.2423181395932446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417.99999999999972</v>
      </c>
      <c r="AJ84" s="14">
        <f>AI84*VLOOKUP('Données projet'!$B$10,Paramètres!$A$1:$I$89,3,0)*VLOOKUP('Données projet'!$B$10,Paramètres!$A$1:$I$89,5,0)</f>
        <v>306.47759999999982</v>
      </c>
      <c r="AK84" s="14">
        <f t="shared" si="89"/>
        <v>72.532724321633353</v>
      </c>
      <c r="AL84" s="22">
        <f t="shared" si="58"/>
        <v>660.10964819351113</v>
      </c>
      <c r="AM84" s="62">
        <f t="shared" si="59"/>
        <v>953.44298152684451</v>
      </c>
      <c r="AN84" s="62">
        <f ca="1">AVERAGE(OFFSET($AM$3,0,0,'Données projet'!$E$10+1,1))-AVERAGE(OFFSET($H$3,0,0,'Données projet'!$E$10+1,1))</f>
        <v>380.01621935031324</v>
      </c>
      <c r="AO84" s="62">
        <f t="shared" si="90"/>
        <v>365.76175372075869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5.6809643626412045</v>
      </c>
      <c r="AW84" s="23">
        <f>EXP(-LN(2)/2)*AW83+(1-EXP(-LN(2)/2))/(LN(2)/2)*AQ84*AT84*VLOOKUP('Données projet'!$B$10,Paramètres!$A$1:$I$89,3,0)*0.475*44/12</f>
        <v>3.1254807973970799E-7</v>
      </c>
      <c r="AX84" s="23">
        <f t="shared" si="60"/>
        <v>5.6809646751892844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-5.6843418860808015E-14</v>
      </c>
      <c r="BE84" s="14">
        <f>BD84*VLOOKUP('Données projet'!$B$11,Paramètres!$A$1:$I$89,3,0)*VLOOKUP('Données projet'!$B$11,Paramètres!$A$1:$I$89,5,0)</f>
        <v>-4.9658410716801891E-14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303.33040062722074</v>
      </c>
      <c r="BJ84" s="62">
        <f t="shared" si="92"/>
        <v>425.30058672361548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4.6353548162027653</v>
      </c>
      <c r="BR84" s="23">
        <f>EXP(-LN(2)/2)*BR83+(1-EXP(-LN(2)/2))/(LN(2)/2)*BL84*BO84*VLOOKUP('Données projet'!$B$11,Paramètres!$A$1:$I$89,3,0)*0.475*44/12</f>
        <v>3.5434980370207064E-7</v>
      </c>
      <c r="BS84" s="24">
        <f t="shared" si="63"/>
        <v>4.6353551705525691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349.9999999999996</v>
      </c>
      <c r="O85" s="14">
        <f>N85*VLOOKUP('Données projet'!$B$9,Paramètres!$A$1:$I$89,3,0)*VLOOKUP('Données projet'!$B$9,Paramètres!$A$1:$I$89,5,0)</f>
        <v>278.4599999999997</v>
      </c>
      <c r="P85" s="14">
        <f t="shared" si="87"/>
        <v>66.641458222154824</v>
      </c>
      <c r="Q85" s="22">
        <f t="shared" si="54"/>
        <v>601.05170640358574</v>
      </c>
      <c r="R85" s="62">
        <f t="shared" si="55"/>
        <v>894.385039736919</v>
      </c>
      <c r="S85" s="62">
        <f ca="1">AVERAGE(OFFSET($R$3,0,0,'Données projet'!$E$9+1,1))-AVERAGE(OFFSET($H$3,0,0,'Données projet'!$E$9+1,1))</f>
        <v>354.56491118410622</v>
      </c>
      <c r="T85" s="62">
        <f t="shared" si="88"/>
        <v>343.77208530767069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6.071621347054907</v>
      </c>
      <c r="AB85" s="23">
        <f>EXP(-LN(2)/2)*AB84+(1-EXP(-LN(2)/2))/(LN(2)/2)*V85*Y85*VLOOKUP('Données projet'!$B$9,Paramètres!$A$1:$I$89,3,0)*0.475*44/12</f>
        <v>1.9973359754541357E-7</v>
      </c>
      <c r="AC85" s="24">
        <f t="shared" si="57"/>
        <v>6.0716215467885046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417.99999999999972</v>
      </c>
      <c r="AJ85" s="14">
        <f>AI85*VLOOKUP('Données projet'!$B$10,Paramètres!$A$1:$I$89,3,0)*VLOOKUP('Données projet'!$B$10,Paramètres!$A$1:$I$89,5,0)</f>
        <v>306.47759999999982</v>
      </c>
      <c r="AK85" s="14">
        <f t="shared" si="89"/>
        <v>72.532724321633353</v>
      </c>
      <c r="AL85" s="22">
        <f t="shared" si="58"/>
        <v>660.10964819351113</v>
      </c>
      <c r="AM85" s="62">
        <f t="shared" si="59"/>
        <v>953.44298152684451</v>
      </c>
      <c r="AN85" s="62">
        <f ca="1">AVERAGE(OFFSET($AM$3,0,0,'Données projet'!$E$10+1,1))-AVERAGE(OFFSET($H$3,0,0,'Données projet'!$E$10+1,1))</f>
        <v>380.01621935031324</v>
      </c>
      <c r="AO85" s="62">
        <f t="shared" si="90"/>
        <v>365.76175372075869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5.525618093395849</v>
      </c>
      <c r="AW85" s="23">
        <f>EXP(-LN(2)/2)*AW84+(1-EXP(-LN(2)/2))/(LN(2)/2)*AQ85*AT85*VLOOKUP('Données projet'!$B$10,Paramètres!$A$1:$I$89,3,0)*0.475*44/12</f>
        <v>2.2100486663078131E-7</v>
      </c>
      <c r="AX85" s="23">
        <f t="shared" si="60"/>
        <v>5.5256183144007158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-5.6843418860808015E-14</v>
      </c>
      <c r="BE85" s="14">
        <f>BD85*VLOOKUP('Données projet'!$B$11,Paramètres!$A$1:$I$89,3,0)*VLOOKUP('Données projet'!$B$11,Paramètres!$A$1:$I$89,5,0)</f>
        <v>-4.9658410716801891E-14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303.33040062722074</v>
      </c>
      <c r="BJ85" s="62">
        <f t="shared" si="92"/>
        <v>425.30058672361548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4.5086007949909854</v>
      </c>
      <c r="BR85" s="23">
        <f>EXP(-LN(2)/2)*BR84+(1-EXP(-LN(2)/2))/(LN(2)/2)*BL85*BO85*VLOOKUP('Données projet'!$B$11,Paramètres!$A$1:$I$89,3,0)*0.475*44/12</f>
        <v>2.5056314910985613E-7</v>
      </c>
      <c r="BS85" s="24">
        <f t="shared" si="63"/>
        <v>4.5086010455541343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349.9999999999996</v>
      </c>
      <c r="O86" s="14">
        <f>N86*VLOOKUP('Données projet'!$B$9,Paramètres!$A$1:$I$89,3,0)*VLOOKUP('Données projet'!$B$9,Paramètres!$A$1:$I$89,5,0)</f>
        <v>278.4599999999997</v>
      </c>
      <c r="P86" s="14">
        <f t="shared" si="87"/>
        <v>66.641458222154824</v>
      </c>
      <c r="Q86" s="22">
        <f t="shared" si="54"/>
        <v>601.05170640358574</v>
      </c>
      <c r="R86" s="62">
        <f t="shared" si="55"/>
        <v>894.385039736919</v>
      </c>
      <c r="S86" s="62">
        <f ca="1">AVERAGE(OFFSET($R$3,0,0,'Données projet'!$E$9+1,1))-AVERAGE(OFFSET($H$3,0,0,'Données projet'!$E$9+1,1))</f>
        <v>354.56491118410622</v>
      </c>
      <c r="T86" s="62">
        <f t="shared" si="88"/>
        <v>343.77208530767069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5.9055925420270006</v>
      </c>
      <c r="AB86" s="23">
        <f>EXP(-LN(2)/2)*AB85+(1-EXP(-LN(2)/2))/(LN(2)/2)*V86*Y86*VLOOKUP('Données projet'!$B$9,Paramètres!$A$1:$I$89,3,0)*0.475*44/12</f>
        <v>1.4123298125514669E-7</v>
      </c>
      <c r="AC86" s="24">
        <f t="shared" si="57"/>
        <v>5.9055926832599814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417.99999999999972</v>
      </c>
      <c r="AJ86" s="14">
        <f>AI86*VLOOKUP('Données projet'!$B$10,Paramètres!$A$1:$I$89,3,0)*VLOOKUP('Données projet'!$B$10,Paramètres!$A$1:$I$89,5,0)</f>
        <v>306.47759999999982</v>
      </c>
      <c r="AK86" s="14">
        <f t="shared" si="89"/>
        <v>72.532724321633353</v>
      </c>
      <c r="AL86" s="22">
        <f t="shared" si="58"/>
        <v>660.10964819351113</v>
      </c>
      <c r="AM86" s="62">
        <f t="shared" si="59"/>
        <v>953.44298152684451</v>
      </c>
      <c r="AN86" s="62">
        <f ca="1">AVERAGE(OFFSET($AM$3,0,0,'Données projet'!$E$10+1,1))-AVERAGE(OFFSET($H$3,0,0,'Données projet'!$E$10+1,1))</f>
        <v>380.01621935031324</v>
      </c>
      <c r="AO86" s="62">
        <f t="shared" si="90"/>
        <v>365.76175372075869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5.3745197760523133</v>
      </c>
      <c r="AW86" s="23">
        <f>EXP(-LN(2)/2)*AW85+(1-EXP(-LN(2)/2))/(LN(2)/2)*AQ86*AT86*VLOOKUP('Données projet'!$B$10,Paramètres!$A$1:$I$89,3,0)*0.475*44/12</f>
        <v>1.56274039869854E-7</v>
      </c>
      <c r="AX86" s="23">
        <f t="shared" si="60"/>
        <v>5.3745199323263533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-5.6843418860808015E-14</v>
      </c>
      <c r="BE86" s="14">
        <f>BD86*VLOOKUP('Données projet'!$B$11,Paramètres!$A$1:$I$89,3,0)*VLOOKUP('Données projet'!$B$11,Paramètres!$A$1:$I$89,5,0)</f>
        <v>-4.9658410716801891E-14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303.33040062722074</v>
      </c>
      <c r="BJ86" s="62">
        <f t="shared" si="92"/>
        <v>425.30058672361548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4.3853128691549452</v>
      </c>
      <c r="BR86" s="23">
        <f>EXP(-LN(2)/2)*BR85+(1-EXP(-LN(2)/2))/(LN(2)/2)*BL86*BO86*VLOOKUP('Données projet'!$B$11,Paramètres!$A$1:$I$89,3,0)*0.475*44/12</f>
        <v>1.7717490185103532E-7</v>
      </c>
      <c r="BS86" s="24">
        <f t="shared" si="63"/>
        <v>4.3853130463298466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349.9999999999996</v>
      </c>
      <c r="O87" s="14">
        <f>N87*VLOOKUP('Données projet'!$B$9,Paramètres!$A$1:$I$89,3,0)*VLOOKUP('Données projet'!$B$9,Paramètres!$A$1:$I$89,5,0)</f>
        <v>278.4599999999997</v>
      </c>
      <c r="P87" s="14">
        <f t="shared" si="87"/>
        <v>66.641458222154824</v>
      </c>
      <c r="Q87" s="22">
        <f t="shared" si="54"/>
        <v>601.05170640358574</v>
      </c>
      <c r="R87" s="62">
        <f t="shared" si="55"/>
        <v>894.385039736919</v>
      </c>
      <c r="S87" s="62">
        <f ca="1">AVERAGE(OFFSET($R$3,0,0,'Données projet'!$E$9+1,1))-AVERAGE(OFFSET($H$3,0,0,'Données projet'!$E$9+1,1))</f>
        <v>354.56491118410622</v>
      </c>
      <c r="T87" s="62">
        <f t="shared" si="88"/>
        <v>343.77208530767069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5.7441038034036582</v>
      </c>
      <c r="AB87" s="23">
        <f>EXP(-LN(2)/2)*AB86+(1-EXP(-LN(2)/2))/(LN(2)/2)*V87*Y87*VLOOKUP('Données projet'!$B$9,Paramètres!$A$1:$I$89,3,0)*0.475*44/12</f>
        <v>9.9866798772706784E-8</v>
      </c>
      <c r="AC87" s="24">
        <f t="shared" si="57"/>
        <v>5.7441039032704566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417.99999999999972</v>
      </c>
      <c r="AJ87" s="14">
        <f>AI87*VLOOKUP('Données projet'!$B$10,Paramètres!$A$1:$I$89,3,0)*VLOOKUP('Données projet'!$B$10,Paramètres!$A$1:$I$89,5,0)</f>
        <v>306.47759999999982</v>
      </c>
      <c r="AK87" s="14">
        <f t="shared" si="89"/>
        <v>72.532724321633353</v>
      </c>
      <c r="AL87" s="22">
        <f t="shared" si="58"/>
        <v>660.10964819351113</v>
      </c>
      <c r="AM87" s="62">
        <f t="shared" si="59"/>
        <v>953.44298152684451</v>
      </c>
      <c r="AN87" s="62">
        <f ca="1">AVERAGE(OFFSET($AM$3,0,0,'Données projet'!$E$10+1,1))-AVERAGE(OFFSET($H$3,0,0,'Données projet'!$E$10+1,1))</f>
        <v>380.01621935031324</v>
      </c>
      <c r="AO87" s="62">
        <f t="shared" si="90"/>
        <v>365.76175372075869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5.2275532501424511</v>
      </c>
      <c r="AW87" s="23">
        <f>EXP(-LN(2)/2)*AW86+(1-EXP(-LN(2)/2))/(LN(2)/2)*AQ87*AT87*VLOOKUP('Données projet'!$B$10,Paramètres!$A$1:$I$89,3,0)*0.475*44/12</f>
        <v>1.1050243331539065E-7</v>
      </c>
      <c r="AX87" s="23">
        <f t="shared" si="60"/>
        <v>5.2275533606448841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-5.6843418860808015E-14</v>
      </c>
      <c r="BE87" s="14">
        <f>BD87*VLOOKUP('Données projet'!$B$11,Paramètres!$A$1:$I$89,3,0)*VLOOKUP('Données projet'!$B$11,Paramètres!$A$1:$I$89,5,0)</f>
        <v>-4.9658410716801891E-14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303.33040062722074</v>
      </c>
      <c r="BJ87" s="62">
        <f t="shared" si="92"/>
        <v>425.30058672361548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4.2653962581343219</v>
      </c>
      <c r="BR87" s="23">
        <f>EXP(-LN(2)/2)*BR86+(1-EXP(-LN(2)/2))/(LN(2)/2)*BL87*BO87*VLOOKUP('Données projet'!$B$11,Paramètres!$A$1:$I$89,3,0)*0.475*44/12</f>
        <v>1.2528157455492806E-7</v>
      </c>
      <c r="BS87" s="24">
        <f t="shared" si="63"/>
        <v>4.2653963834158963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349.9999999999996</v>
      </c>
      <c r="O88" s="14">
        <f>N88*VLOOKUP('Données projet'!$B$9,Paramètres!$A$1:$I$89,3,0)*VLOOKUP('Données projet'!$B$9,Paramètres!$A$1:$I$89,5,0)</f>
        <v>278.4599999999997</v>
      </c>
      <c r="P88" s="14">
        <f t="shared" si="87"/>
        <v>66.641458222154824</v>
      </c>
      <c r="Q88" s="22">
        <f t="shared" si="54"/>
        <v>601.05170640358574</v>
      </c>
      <c r="R88" s="62">
        <f t="shared" si="55"/>
        <v>894.385039736919</v>
      </c>
      <c r="S88" s="62">
        <f ca="1">AVERAGE(OFFSET($R$3,0,0,'Données projet'!$E$9+1,1))-AVERAGE(OFFSET($H$3,0,0,'Données projet'!$E$9+1,1))</f>
        <v>354.56491118410622</v>
      </c>
      <c r="T88" s="62">
        <f t="shared" si="88"/>
        <v>343.77208530767069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5.5870309828302949</v>
      </c>
      <c r="AB88" s="23">
        <f>EXP(-LN(2)/2)*AB87+(1-EXP(-LN(2)/2))/(LN(2)/2)*V88*Y88*VLOOKUP('Données projet'!$B$9,Paramètres!$A$1:$I$89,3,0)*0.475*44/12</f>
        <v>7.0616490627573347E-8</v>
      </c>
      <c r="AC88" s="24">
        <f t="shared" si="57"/>
        <v>5.5870310534467853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417.99999999999972</v>
      </c>
      <c r="AJ88" s="14">
        <f>AI88*VLOOKUP('Données projet'!$B$10,Paramètres!$A$1:$I$89,3,0)*VLOOKUP('Données projet'!$B$10,Paramètres!$A$1:$I$89,5,0)</f>
        <v>306.47759999999982</v>
      </c>
      <c r="AK88" s="14">
        <f t="shared" si="89"/>
        <v>72.532724321633353</v>
      </c>
      <c r="AL88" s="22">
        <f t="shared" si="58"/>
        <v>660.10964819351113</v>
      </c>
      <c r="AM88" s="62">
        <f t="shared" si="59"/>
        <v>953.44298152684451</v>
      </c>
      <c r="AN88" s="62">
        <f ca="1">AVERAGE(OFFSET($AM$3,0,0,'Données projet'!$E$10+1,1))-AVERAGE(OFFSET($H$3,0,0,'Données projet'!$E$10+1,1))</f>
        <v>380.01621935031324</v>
      </c>
      <c r="AO88" s="62">
        <f t="shared" si="90"/>
        <v>365.76175372075869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5.0846055316122278</v>
      </c>
      <c r="AW88" s="23">
        <f>EXP(-LN(2)/2)*AW87+(1-EXP(-LN(2)/2))/(LN(2)/2)*AQ88*AT88*VLOOKUP('Données projet'!$B$10,Paramètres!$A$1:$I$89,3,0)*0.475*44/12</f>
        <v>7.8137019934926998E-8</v>
      </c>
      <c r="AX88" s="23">
        <f t="shared" si="60"/>
        <v>5.0846056097492474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-5.6843418860808015E-14</v>
      </c>
      <c r="BE88" s="14">
        <f>BD88*VLOOKUP('Données projet'!$B$11,Paramètres!$A$1:$I$89,3,0)*VLOOKUP('Données projet'!$B$11,Paramètres!$A$1:$I$89,5,0)</f>
        <v>-4.9658410716801891E-14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303.33040062722074</v>
      </c>
      <c r="BJ88" s="62">
        <f t="shared" si="92"/>
        <v>425.30058672361548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4.1487587731481987</v>
      </c>
      <c r="BR88" s="23">
        <f>EXP(-LN(2)/2)*BR87+(1-EXP(-LN(2)/2))/(LN(2)/2)*BL88*BO88*VLOOKUP('Données projet'!$B$11,Paramètres!$A$1:$I$89,3,0)*0.475*44/12</f>
        <v>8.8587450925517659E-8</v>
      </c>
      <c r="BS88" s="24">
        <f t="shared" si="63"/>
        <v>4.1487588617356499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349.9999999999996</v>
      </c>
      <c r="O89" s="14">
        <f>N89*VLOOKUP('Données projet'!$B$9,Paramètres!$A$1:$I$89,3,0)*VLOOKUP('Données projet'!$B$9,Paramètres!$A$1:$I$89,5,0)</f>
        <v>278.4599999999997</v>
      </c>
      <c r="P89" s="14">
        <f t="shared" si="87"/>
        <v>66.641458222154824</v>
      </c>
      <c r="Q89" s="22">
        <f t="shared" si="54"/>
        <v>601.05170640358574</v>
      </c>
      <c r="R89" s="62">
        <f t="shared" si="55"/>
        <v>894.385039736919</v>
      </c>
      <c r="S89" s="62">
        <f ca="1">AVERAGE(OFFSET($R$3,0,0,'Données projet'!$E$9+1,1))-AVERAGE(OFFSET($H$3,0,0,'Données projet'!$E$9+1,1))</f>
        <v>354.56491118410622</v>
      </c>
      <c r="T89" s="62">
        <f t="shared" si="88"/>
        <v>343.77208530767069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5.4342533267956101</v>
      </c>
      <c r="AB89" s="23">
        <f>EXP(-LN(2)/2)*AB88+(1-EXP(-LN(2)/2))/(LN(2)/2)*V89*Y89*VLOOKUP('Données projet'!$B$9,Paramètres!$A$1:$I$89,3,0)*0.475*44/12</f>
        <v>4.9933399386353392E-8</v>
      </c>
      <c r="AC89" s="24">
        <f t="shared" si="57"/>
        <v>5.4342533767290098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417.99999999999972</v>
      </c>
      <c r="AJ89" s="14">
        <f>AI89*VLOOKUP('Données projet'!$B$10,Paramètres!$A$1:$I$89,3,0)*VLOOKUP('Données projet'!$B$10,Paramètres!$A$1:$I$89,5,0)</f>
        <v>306.47759999999982</v>
      </c>
      <c r="AK89" s="14">
        <f t="shared" si="89"/>
        <v>72.532724321633353</v>
      </c>
      <c r="AL89" s="22">
        <f t="shared" si="58"/>
        <v>660.10964819351113</v>
      </c>
      <c r="AM89" s="62">
        <f t="shared" si="59"/>
        <v>953.44298152684451</v>
      </c>
      <c r="AN89" s="62">
        <f ca="1">AVERAGE(OFFSET($AM$3,0,0,'Données projet'!$E$10+1,1))-AVERAGE(OFFSET($H$3,0,0,'Données projet'!$E$10+1,1))</f>
        <v>380.01621935031324</v>
      </c>
      <c r="AO89" s="62">
        <f t="shared" si="90"/>
        <v>365.76175372075869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4.9455667259625073</v>
      </c>
      <c r="AW89" s="23">
        <f>EXP(-LN(2)/2)*AW88+(1-EXP(-LN(2)/2))/(LN(2)/2)*AQ89*AT89*VLOOKUP('Données projet'!$B$10,Paramètres!$A$1:$I$89,3,0)*0.475*44/12</f>
        <v>5.5251216657695327E-8</v>
      </c>
      <c r="AX89" s="23">
        <f t="shared" si="60"/>
        <v>4.9455667812137243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-5.6843418860808015E-14</v>
      </c>
      <c r="BE89" s="14">
        <f>BD89*VLOOKUP('Données projet'!$B$11,Paramètres!$A$1:$I$89,3,0)*VLOOKUP('Données projet'!$B$11,Paramètres!$A$1:$I$89,5,0)</f>
        <v>-4.9658410716801891E-14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303.33040062722074</v>
      </c>
      <c r="BJ89" s="62">
        <f t="shared" si="92"/>
        <v>425.30058672361548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4.0353107463227191</v>
      </c>
      <c r="BR89" s="23">
        <f>EXP(-LN(2)/2)*BR88+(1-EXP(-LN(2)/2))/(LN(2)/2)*BL89*BO89*VLOOKUP('Données projet'!$B$11,Paramètres!$A$1:$I$89,3,0)*0.475*44/12</f>
        <v>6.2640787277464032E-8</v>
      </c>
      <c r="BS89" s="24">
        <f t="shared" si="63"/>
        <v>4.0353108089635068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349.9999999999996</v>
      </c>
      <c r="O90" s="14">
        <f>N90*VLOOKUP('Données projet'!$B$9,Paramètres!$A$1:$I$89,3,0)*VLOOKUP('Données projet'!$B$9,Paramètres!$A$1:$I$89,5,0)</f>
        <v>278.4599999999997</v>
      </c>
      <c r="P90" s="14">
        <f t="shared" si="87"/>
        <v>66.641458222154824</v>
      </c>
      <c r="Q90" s="22">
        <f t="shared" si="54"/>
        <v>601.05170640358574</v>
      </c>
      <c r="R90" s="62">
        <f t="shared" si="55"/>
        <v>894.385039736919</v>
      </c>
      <c r="S90" s="62">
        <f ca="1">AVERAGE(OFFSET($R$3,0,0,'Données projet'!$E$9+1,1))-AVERAGE(OFFSET($H$3,0,0,'Données projet'!$E$9+1,1))</f>
        <v>354.56491118410622</v>
      </c>
      <c r="T90" s="62">
        <f t="shared" si="88"/>
        <v>343.77208530767069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5.2856533837994215</v>
      </c>
      <c r="AB90" s="23">
        <f>EXP(-LN(2)/2)*AB89+(1-EXP(-LN(2)/2))/(LN(2)/2)*V90*Y90*VLOOKUP('Données projet'!$B$9,Paramètres!$A$1:$I$89,3,0)*0.475*44/12</f>
        <v>3.5308245313786674E-8</v>
      </c>
      <c r="AC90" s="24">
        <f t="shared" si="57"/>
        <v>5.2856534191076667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417.99999999999972</v>
      </c>
      <c r="AJ90" s="14">
        <f>AI90*VLOOKUP('Données projet'!$B$10,Paramètres!$A$1:$I$89,3,0)*VLOOKUP('Données projet'!$B$10,Paramètres!$A$1:$I$89,5,0)</f>
        <v>306.47759999999982</v>
      </c>
      <c r="AK90" s="14">
        <f t="shared" si="89"/>
        <v>72.532724321633353</v>
      </c>
      <c r="AL90" s="22">
        <f t="shared" si="58"/>
        <v>660.10964819351113</v>
      </c>
      <c r="AM90" s="62">
        <f t="shared" si="59"/>
        <v>953.44298152684451</v>
      </c>
      <c r="AN90" s="62">
        <f ca="1">AVERAGE(OFFSET($AM$3,0,0,'Données projet'!$E$10+1,1))-AVERAGE(OFFSET($H$3,0,0,'Données projet'!$E$10+1,1))</f>
        <v>380.01621935031324</v>
      </c>
      <c r="AO90" s="62">
        <f t="shared" si="90"/>
        <v>365.76175372075869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4.8103299437650113</v>
      </c>
      <c r="AW90" s="23">
        <f>EXP(-LN(2)/2)*AW89+(1-EXP(-LN(2)/2))/(LN(2)/2)*AQ90*AT90*VLOOKUP('Données projet'!$B$10,Paramètres!$A$1:$I$89,3,0)*0.475*44/12</f>
        <v>3.9068509967463499E-8</v>
      </c>
      <c r="AX90" s="23">
        <f t="shared" si="60"/>
        <v>4.8103299828335215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-5.6843418860808015E-14</v>
      </c>
      <c r="BE90" s="14">
        <f>BD90*VLOOKUP('Données projet'!$B$11,Paramètres!$A$1:$I$89,3,0)*VLOOKUP('Données projet'!$B$11,Paramètres!$A$1:$I$89,5,0)</f>
        <v>-4.9658410716801891E-14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303.33040062722074</v>
      </c>
      <c r="BJ90" s="62">
        <f t="shared" si="92"/>
        <v>425.30058672361548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3.9249649617567552</v>
      </c>
      <c r="BR90" s="23">
        <f>EXP(-LN(2)/2)*BR89+(1-EXP(-LN(2)/2))/(LN(2)/2)*BL90*BO90*VLOOKUP('Données projet'!$B$11,Paramètres!$A$1:$I$89,3,0)*0.475*44/12</f>
        <v>4.429372546275883E-8</v>
      </c>
      <c r="BS90" s="24">
        <f t="shared" si="63"/>
        <v>3.9249650060504808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349.9999999999996</v>
      </c>
      <c r="O91" s="14">
        <f>N91*VLOOKUP('Données projet'!$B$9,Paramètres!$A$1:$I$89,3,0)*VLOOKUP('Données projet'!$B$9,Paramètres!$A$1:$I$89,5,0)</f>
        <v>278.4599999999997</v>
      </c>
      <c r="P91" s="14">
        <f t="shared" si="87"/>
        <v>66.641458222154824</v>
      </c>
      <c r="Q91" s="22">
        <f t="shared" si="54"/>
        <v>601.05170640358574</v>
      </c>
      <c r="R91" s="62">
        <f t="shared" si="55"/>
        <v>894.385039736919</v>
      </c>
      <c r="S91" s="62">
        <f ca="1">AVERAGE(OFFSET($R$3,0,0,'Données projet'!$E$9+1,1))-AVERAGE(OFFSET($H$3,0,0,'Données projet'!$E$9+1,1))</f>
        <v>354.56491118410622</v>
      </c>
      <c r="T91" s="62">
        <f t="shared" si="88"/>
        <v>343.77208530767069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5.141116914058995</v>
      </c>
      <c r="AB91" s="23">
        <f>EXP(-LN(2)/2)*AB90+(1-EXP(-LN(2)/2))/(LN(2)/2)*V91*Y91*VLOOKUP('Données projet'!$B$9,Paramètres!$A$1:$I$89,3,0)*0.475*44/12</f>
        <v>2.4966699693176696E-8</v>
      </c>
      <c r="AC91" s="24">
        <f t="shared" si="57"/>
        <v>5.1411169390256948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417.99999999999972</v>
      </c>
      <c r="AJ91" s="14">
        <f>AI91*VLOOKUP('Données projet'!$B$10,Paramètres!$A$1:$I$89,3,0)*VLOOKUP('Données projet'!$B$10,Paramètres!$A$1:$I$89,5,0)</f>
        <v>306.47759999999982</v>
      </c>
      <c r="AK91" s="14">
        <f t="shared" si="89"/>
        <v>72.532724321633353</v>
      </c>
      <c r="AL91" s="22">
        <f t="shared" si="58"/>
        <v>660.10964819351113</v>
      </c>
      <c r="AM91" s="62">
        <f t="shared" si="59"/>
        <v>953.44298152684451</v>
      </c>
      <c r="AN91" s="62">
        <f ca="1">AVERAGE(OFFSET($AM$3,0,0,'Données projet'!$E$10+1,1))-AVERAGE(OFFSET($H$3,0,0,'Données projet'!$E$10+1,1))</f>
        <v>380.01621935031324</v>
      </c>
      <c r="AO91" s="62">
        <f t="shared" si="90"/>
        <v>365.76175372075869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4.6787912184884997</v>
      </c>
      <c r="AW91" s="23">
        <f>EXP(-LN(2)/2)*AW90+(1-EXP(-LN(2)/2))/(LN(2)/2)*AQ91*AT91*VLOOKUP('Données projet'!$B$10,Paramètres!$A$1:$I$89,3,0)*0.475*44/12</f>
        <v>2.7625608328847664E-8</v>
      </c>
      <c r="AX91" s="23">
        <f t="shared" si="60"/>
        <v>4.6787912461141081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-5.6843418860808015E-14</v>
      </c>
      <c r="BE91" s="14">
        <f>BD91*VLOOKUP('Données projet'!$B$11,Paramètres!$A$1:$I$89,3,0)*VLOOKUP('Données projet'!$B$11,Paramètres!$A$1:$I$89,5,0)</f>
        <v>-4.9658410716801891E-14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303.33040062722074</v>
      </c>
      <c r="BJ91" s="62">
        <f t="shared" si="92"/>
        <v>425.30058672361548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3.8176365884725803</v>
      </c>
      <c r="BR91" s="23">
        <f>EXP(-LN(2)/2)*BR90+(1-EXP(-LN(2)/2))/(LN(2)/2)*BL91*BO91*VLOOKUP('Données projet'!$B$11,Paramètres!$A$1:$I$89,3,0)*0.475*44/12</f>
        <v>3.1320393638732016E-8</v>
      </c>
      <c r="BS91" s="24">
        <f t="shared" si="63"/>
        <v>3.8176366197929741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349.9999999999996</v>
      </c>
      <c r="O92" s="14">
        <f>N92*VLOOKUP('Données projet'!$B$9,Paramètres!$A$1:$I$89,3,0)*VLOOKUP('Données projet'!$B$9,Paramètres!$A$1:$I$89,5,0)</f>
        <v>278.4599999999997</v>
      </c>
      <c r="P92" s="14">
        <f t="shared" si="87"/>
        <v>66.641458222154824</v>
      </c>
      <c r="Q92" s="22">
        <f t="shared" si="54"/>
        <v>601.05170640358574</v>
      </c>
      <c r="R92" s="62">
        <f t="shared" si="55"/>
        <v>894.385039736919</v>
      </c>
      <c r="S92" s="62">
        <f ca="1">AVERAGE(OFFSET($R$3,0,0,'Données projet'!$E$9+1,1))-AVERAGE(OFFSET($H$3,0,0,'Données projet'!$E$9+1,1))</f>
        <v>354.56491118410622</v>
      </c>
      <c r="T92" s="62">
        <f t="shared" si="88"/>
        <v>343.77208530767069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5.0005328016844635</v>
      </c>
      <c r="AB92" s="23">
        <f>EXP(-LN(2)/2)*AB91+(1-EXP(-LN(2)/2))/(LN(2)/2)*V92*Y92*VLOOKUP('Données projet'!$B$9,Paramètres!$A$1:$I$89,3,0)*0.475*44/12</f>
        <v>1.7654122656893337E-8</v>
      </c>
      <c r="AC92" s="24">
        <f t="shared" si="57"/>
        <v>5.0005328193385861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417.99999999999972</v>
      </c>
      <c r="AJ92" s="14">
        <f>AI92*VLOOKUP('Données projet'!$B$10,Paramètres!$A$1:$I$89,3,0)*VLOOKUP('Données projet'!$B$10,Paramètres!$A$1:$I$89,5,0)</f>
        <v>306.47759999999982</v>
      </c>
      <c r="AK92" s="14">
        <f t="shared" si="89"/>
        <v>72.532724321633353</v>
      </c>
      <c r="AL92" s="22">
        <f t="shared" si="58"/>
        <v>660.10964819351113</v>
      </c>
      <c r="AM92" s="62">
        <f t="shared" si="59"/>
        <v>953.44298152684451</v>
      </c>
      <c r="AN92" s="62">
        <f ca="1">AVERAGE(OFFSET($AM$3,0,0,'Données projet'!$E$10+1,1))-AVERAGE(OFFSET($H$3,0,0,'Données projet'!$E$10+1,1))</f>
        <v>380.01621935031324</v>
      </c>
      <c r="AO92" s="62">
        <f t="shared" si="90"/>
        <v>365.76175372075869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4.550849426571995</v>
      </c>
      <c r="AW92" s="23">
        <f>EXP(-LN(2)/2)*AW91+(1-EXP(-LN(2)/2))/(LN(2)/2)*AQ92*AT92*VLOOKUP('Données projet'!$B$10,Paramètres!$A$1:$I$89,3,0)*0.475*44/12</f>
        <v>1.953425498373175E-8</v>
      </c>
      <c r="AX92" s="23">
        <f t="shared" si="60"/>
        <v>4.5508494461062501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-5.6843418860808015E-14</v>
      </c>
      <c r="BE92" s="14">
        <f>BD92*VLOOKUP('Données projet'!$B$11,Paramètres!$A$1:$I$89,3,0)*VLOOKUP('Données projet'!$B$11,Paramètres!$A$1:$I$89,5,0)</f>
        <v>-4.9658410716801891E-14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303.33040062722074</v>
      </c>
      <c r="BJ92" s="62">
        <f t="shared" si="92"/>
        <v>425.30058672361548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3.7132431152000147</v>
      </c>
      <c r="BR92" s="23">
        <f>EXP(-LN(2)/2)*BR91+(1-EXP(-LN(2)/2))/(LN(2)/2)*BL92*BO92*VLOOKUP('Données projet'!$B$11,Paramètres!$A$1:$I$89,3,0)*0.475*44/12</f>
        <v>2.2146862731379415E-8</v>
      </c>
      <c r="BS92" s="24">
        <f t="shared" si="63"/>
        <v>3.7132431373468773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349.9999999999996</v>
      </c>
      <c r="O93" s="14">
        <f>N93*VLOOKUP('Données projet'!$B$9,Paramètres!$A$1:$I$89,3,0)*VLOOKUP('Données projet'!$B$9,Paramètres!$A$1:$I$89,5,0)</f>
        <v>278.4599999999997</v>
      </c>
      <c r="P93" s="14">
        <f t="shared" si="87"/>
        <v>66.641458222154824</v>
      </c>
      <c r="Q93" s="22">
        <f t="shared" si="54"/>
        <v>601.05170640358574</v>
      </c>
      <c r="R93" s="62">
        <f t="shared" si="55"/>
        <v>894.385039736919</v>
      </c>
      <c r="S93" s="62">
        <f ca="1">AVERAGE(OFFSET($R$3,0,0,'Données projet'!$E$9+1,1))-AVERAGE(OFFSET($H$3,0,0,'Données projet'!$E$9+1,1))</f>
        <v>354.56491118410622</v>
      </c>
      <c r="T93" s="62">
        <f t="shared" si="88"/>
        <v>343.77208530767069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4.8637929692558108</v>
      </c>
      <c r="AB93" s="23">
        <f>EXP(-LN(2)/2)*AB92+(1-EXP(-LN(2)/2))/(LN(2)/2)*V93*Y93*VLOOKUP('Données projet'!$B$9,Paramètres!$A$1:$I$89,3,0)*0.475*44/12</f>
        <v>1.2483349846588348E-8</v>
      </c>
      <c r="AC93" s="24">
        <f t="shared" si="57"/>
        <v>4.8637929817391603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417.99999999999972</v>
      </c>
      <c r="AJ93" s="14">
        <f>AI93*VLOOKUP('Données projet'!$B$10,Paramètres!$A$1:$I$89,3,0)*VLOOKUP('Données projet'!$B$10,Paramètres!$A$1:$I$89,5,0)</f>
        <v>306.47759999999982</v>
      </c>
      <c r="AK93" s="14">
        <f t="shared" si="89"/>
        <v>72.532724321633353</v>
      </c>
      <c r="AL93" s="22">
        <f t="shared" si="58"/>
        <v>660.10964819351113</v>
      </c>
      <c r="AM93" s="62">
        <f t="shared" si="59"/>
        <v>953.44298152684451</v>
      </c>
      <c r="AN93" s="62">
        <f ca="1">AVERAGE(OFFSET($AM$3,0,0,'Données projet'!$E$10+1,1))-AVERAGE(OFFSET($H$3,0,0,'Données projet'!$E$10+1,1))</f>
        <v>380.01621935031324</v>
      </c>
      <c r="AO93" s="62">
        <f t="shared" si="90"/>
        <v>365.76175372075869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4.4264062096836136</v>
      </c>
      <c r="AW93" s="23">
        <f>EXP(-LN(2)/2)*AW92+(1-EXP(-LN(2)/2))/(LN(2)/2)*AQ93*AT93*VLOOKUP('Données projet'!$B$10,Paramètres!$A$1:$I$89,3,0)*0.475*44/12</f>
        <v>1.3812804164423832E-8</v>
      </c>
      <c r="AX93" s="23">
        <f t="shared" si="60"/>
        <v>4.4264062234964179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-5.6843418860808015E-14</v>
      </c>
      <c r="BE93" s="14">
        <f>BD93*VLOOKUP('Données projet'!$B$11,Paramètres!$A$1:$I$89,3,0)*VLOOKUP('Données projet'!$B$11,Paramètres!$A$1:$I$89,5,0)</f>
        <v>-4.9658410716801891E-14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303.33040062722074</v>
      </c>
      <c r="BJ93" s="62">
        <f t="shared" si="92"/>
        <v>425.30058672361548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3.6117042869439016</v>
      </c>
      <c r="BR93" s="23">
        <f>EXP(-LN(2)/2)*BR92+(1-EXP(-LN(2)/2))/(LN(2)/2)*BL93*BO93*VLOOKUP('Données projet'!$B$11,Paramètres!$A$1:$I$89,3,0)*0.475*44/12</f>
        <v>1.5660196819366008E-8</v>
      </c>
      <c r="BS93" s="24">
        <f t="shared" si="63"/>
        <v>3.6117043026040982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349.9999999999996</v>
      </c>
      <c r="O94" s="14">
        <f>N94*VLOOKUP('Données projet'!$B$9,Paramètres!$A$1:$I$89,3,0)*VLOOKUP('Données projet'!$B$9,Paramètres!$A$1:$I$89,5,0)</f>
        <v>278.4599999999997</v>
      </c>
      <c r="P94" s="14">
        <f t="shared" si="87"/>
        <v>66.641458222154824</v>
      </c>
      <c r="Q94" s="22">
        <f t="shared" si="54"/>
        <v>601.05170640358574</v>
      </c>
      <c r="R94" s="62">
        <f t="shared" si="55"/>
        <v>894.385039736919</v>
      </c>
      <c r="S94" s="62">
        <f ca="1">AVERAGE(OFFSET($R$3,0,0,'Données projet'!$E$9+1,1))-AVERAGE(OFFSET($H$3,0,0,'Données projet'!$E$9+1,1))</f>
        <v>354.56491118410622</v>
      </c>
      <c r="T94" s="62">
        <f t="shared" si="88"/>
        <v>343.77208530767069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4.730792294735755</v>
      </c>
      <c r="AB94" s="23">
        <f>EXP(-LN(2)/2)*AB93+(1-EXP(-LN(2)/2))/(LN(2)/2)*V94*Y94*VLOOKUP('Données projet'!$B$9,Paramètres!$A$1:$I$89,3,0)*0.475*44/12</f>
        <v>8.8270613284466684E-9</v>
      </c>
      <c r="AC94" s="24">
        <f t="shared" si="57"/>
        <v>4.7307923035628168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417.99999999999972</v>
      </c>
      <c r="AJ94" s="14">
        <f>AI94*VLOOKUP('Données projet'!$B$10,Paramètres!$A$1:$I$89,3,0)*VLOOKUP('Données projet'!$B$10,Paramètres!$A$1:$I$89,5,0)</f>
        <v>306.47759999999982</v>
      </c>
      <c r="AK94" s="14">
        <f t="shared" si="89"/>
        <v>72.532724321633353</v>
      </c>
      <c r="AL94" s="22">
        <f t="shared" si="58"/>
        <v>660.10964819351113</v>
      </c>
      <c r="AM94" s="62">
        <f t="shared" si="59"/>
        <v>953.44298152684451</v>
      </c>
      <c r="AN94" s="62">
        <f ca="1">AVERAGE(OFFSET($AM$3,0,0,'Données projet'!$E$10+1,1))-AVERAGE(OFFSET($H$3,0,0,'Données projet'!$E$10+1,1))</f>
        <v>380.01621935031324</v>
      </c>
      <c r="AO94" s="62">
        <f t="shared" si="90"/>
        <v>365.76175372075869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4.3053658991052295</v>
      </c>
      <c r="AW94" s="23">
        <f>EXP(-LN(2)/2)*AW93+(1-EXP(-LN(2)/2))/(LN(2)/2)*AQ94*AT94*VLOOKUP('Données projet'!$B$10,Paramètres!$A$1:$I$89,3,0)*0.475*44/12</f>
        <v>9.7671274918658748E-9</v>
      </c>
      <c r="AX94" s="23">
        <f t="shared" si="60"/>
        <v>4.305365908872357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-5.6843418860808015E-14</v>
      </c>
      <c r="BE94" s="14">
        <f>BD94*VLOOKUP('Données projet'!$B$11,Paramètres!$A$1:$I$89,3,0)*VLOOKUP('Données projet'!$B$11,Paramètres!$A$1:$I$89,5,0)</f>
        <v>-4.9658410716801891E-14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303.33040062722074</v>
      </c>
      <c r="BJ94" s="62">
        <f t="shared" si="92"/>
        <v>425.30058672361548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3.5129420432861469</v>
      </c>
      <c r="BR94" s="23">
        <f>EXP(-LN(2)/2)*BR93+(1-EXP(-LN(2)/2))/(LN(2)/2)*BL94*BO94*VLOOKUP('Données projet'!$B$11,Paramètres!$A$1:$I$89,3,0)*0.475*44/12</f>
        <v>1.1073431365689707E-8</v>
      </c>
      <c r="BS94" s="24">
        <f t="shared" si="63"/>
        <v>3.5129420543595784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349.9999999999996</v>
      </c>
      <c r="O95" s="14">
        <f>N95*VLOOKUP('Données projet'!$B$9,Paramètres!$A$1:$I$89,3,0)*VLOOKUP('Données projet'!$B$9,Paramètres!$A$1:$I$89,5,0)</f>
        <v>278.4599999999997</v>
      </c>
      <c r="P95" s="14">
        <f t="shared" si="87"/>
        <v>66.641458222154824</v>
      </c>
      <c r="Q95" s="22">
        <f t="shared" si="54"/>
        <v>601.05170640358574</v>
      </c>
      <c r="R95" s="62">
        <f t="shared" si="55"/>
        <v>894.385039736919</v>
      </c>
      <c r="S95" s="62">
        <f ca="1">AVERAGE(OFFSET($R$3,0,0,'Données projet'!$E$9+1,1))-AVERAGE(OFFSET($H$3,0,0,'Données projet'!$E$9+1,1))</f>
        <v>354.56491118410622</v>
      </c>
      <c r="T95" s="62">
        <f t="shared" si="88"/>
        <v>343.77208530767069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4.6014285306546512</v>
      </c>
      <c r="AB95" s="23">
        <f>EXP(-LN(2)/2)*AB94+(1-EXP(-LN(2)/2))/(LN(2)/2)*V95*Y95*VLOOKUP('Données projet'!$B$9,Paramètres!$A$1:$I$89,3,0)*0.475*44/12</f>
        <v>6.241674923294174E-9</v>
      </c>
      <c r="AC95" s="24">
        <f t="shared" si="57"/>
        <v>4.6014285368963259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417.99999999999972</v>
      </c>
      <c r="AJ95" s="14">
        <f>AI95*VLOOKUP('Données projet'!$B$10,Paramètres!$A$1:$I$89,3,0)*VLOOKUP('Données projet'!$B$10,Paramètres!$A$1:$I$89,5,0)</f>
        <v>306.47759999999982</v>
      </c>
      <c r="AK95" s="14">
        <f t="shared" si="89"/>
        <v>72.532724321633353</v>
      </c>
      <c r="AL95" s="22">
        <f t="shared" si="58"/>
        <v>660.10964819351113</v>
      </c>
      <c r="AM95" s="62">
        <f t="shared" si="59"/>
        <v>953.44298152684451</v>
      </c>
      <c r="AN95" s="62">
        <f ca="1">AVERAGE(OFFSET($AM$3,0,0,'Données projet'!$E$10+1,1))-AVERAGE(OFFSET($H$3,0,0,'Données projet'!$E$10+1,1))</f>
        <v>380.01621935031324</v>
      </c>
      <c r="AO95" s="62">
        <f t="shared" si="90"/>
        <v>365.76175372075869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4.1876354421848445</v>
      </c>
      <c r="AW95" s="23">
        <f>EXP(-LN(2)/2)*AW94+(1-EXP(-LN(2)/2))/(LN(2)/2)*AQ95*AT95*VLOOKUP('Données projet'!$B$10,Paramètres!$A$1:$I$89,3,0)*0.475*44/12</f>
        <v>6.9064020822119159E-9</v>
      </c>
      <c r="AX95" s="23">
        <f t="shared" si="60"/>
        <v>4.1876354490912462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-5.6843418860808015E-14</v>
      </c>
      <c r="BE95" s="14">
        <f>BD95*VLOOKUP('Données projet'!$B$11,Paramètres!$A$1:$I$89,3,0)*VLOOKUP('Données projet'!$B$11,Paramètres!$A$1:$I$89,5,0)</f>
        <v>-4.9658410716801891E-14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303.33040062722074</v>
      </c>
      <c r="BJ95" s="62">
        <f t="shared" si="92"/>
        <v>425.30058672361548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3.416880458374894</v>
      </c>
      <c r="BR95" s="23">
        <f>EXP(-LN(2)/2)*BR94+(1-EXP(-LN(2)/2))/(LN(2)/2)*BL95*BO95*VLOOKUP('Données projet'!$B$11,Paramètres!$A$1:$I$89,3,0)*0.475*44/12</f>
        <v>7.8300984096830039E-9</v>
      </c>
      <c r="BS95" s="24">
        <f t="shared" si="63"/>
        <v>3.4168804662049923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349.9999999999996</v>
      </c>
      <c r="O96" s="14">
        <f>N96*VLOOKUP('Données projet'!$B$9,Paramètres!$A$1:$I$89,3,0)*VLOOKUP('Données projet'!$B$9,Paramètres!$A$1:$I$89,5,0)</f>
        <v>278.4599999999997</v>
      </c>
      <c r="P96" s="14">
        <f t="shared" si="87"/>
        <v>66.641458222154824</v>
      </c>
      <c r="Q96" s="22">
        <f t="shared" si="54"/>
        <v>601.05170640358574</v>
      </c>
      <c r="R96" s="62">
        <f t="shared" si="55"/>
        <v>894.385039736919</v>
      </c>
      <c r="S96" s="62">
        <f ca="1">AVERAGE(OFFSET($R$3,0,0,'Données projet'!$E$9+1,1))-AVERAGE(OFFSET($H$3,0,0,'Données projet'!$E$9+1,1))</f>
        <v>354.56491118410622</v>
      </c>
      <c r="T96" s="62">
        <f t="shared" si="88"/>
        <v>343.77208530767069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4.4756022255052903</v>
      </c>
      <c r="AB96" s="23">
        <f>EXP(-LN(2)/2)*AB95+(1-EXP(-LN(2)/2))/(LN(2)/2)*V96*Y96*VLOOKUP('Données projet'!$B$9,Paramètres!$A$1:$I$89,3,0)*0.475*44/12</f>
        <v>4.4135306642233342E-9</v>
      </c>
      <c r="AC96" s="24">
        <f t="shared" si="57"/>
        <v>4.4756022299188212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417.99999999999972</v>
      </c>
      <c r="AJ96" s="14">
        <f>AI96*VLOOKUP('Données projet'!$B$10,Paramètres!$A$1:$I$89,3,0)*VLOOKUP('Données projet'!$B$10,Paramètres!$A$1:$I$89,5,0)</f>
        <v>306.47759999999982</v>
      </c>
      <c r="AK96" s="14">
        <f t="shared" si="89"/>
        <v>72.532724321633353</v>
      </c>
      <c r="AL96" s="22">
        <f t="shared" si="58"/>
        <v>660.10964819351113</v>
      </c>
      <c r="AM96" s="62">
        <f t="shared" si="59"/>
        <v>953.44298152684451</v>
      </c>
      <c r="AN96" s="62">
        <f ca="1">AVERAGE(OFFSET($AM$3,0,0,'Données projet'!$E$10+1,1))-AVERAGE(OFFSET($H$3,0,0,'Données projet'!$E$10+1,1))</f>
        <v>380.01621935031324</v>
      </c>
      <c r="AO96" s="62">
        <f t="shared" si="90"/>
        <v>365.76175372075869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4.0731243308001233</v>
      </c>
      <c r="AW96" s="23">
        <f>EXP(-LN(2)/2)*AW95+(1-EXP(-LN(2)/2))/(LN(2)/2)*AQ96*AT96*VLOOKUP('Données projet'!$B$10,Paramètres!$A$1:$I$89,3,0)*0.475*44/12</f>
        <v>4.8835637459329374E-9</v>
      </c>
      <c r="AX96" s="23">
        <f t="shared" si="60"/>
        <v>4.073124335683687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-5.6843418860808015E-14</v>
      </c>
      <c r="BE96" s="14">
        <f>BD96*VLOOKUP('Données projet'!$B$11,Paramètres!$A$1:$I$89,3,0)*VLOOKUP('Données projet'!$B$11,Paramètres!$A$1:$I$89,5,0)</f>
        <v>-4.9658410716801891E-14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303.33040062722074</v>
      </c>
      <c r="BJ96" s="62">
        <f t="shared" si="92"/>
        <v>425.30058672361548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3.3234456825546985</v>
      </c>
      <c r="BR96" s="23">
        <f>EXP(-LN(2)/2)*BR95+(1-EXP(-LN(2)/2))/(LN(2)/2)*BL96*BO96*VLOOKUP('Données projet'!$B$11,Paramètres!$A$1:$I$89,3,0)*0.475*44/12</f>
        <v>5.5367156828448537E-9</v>
      </c>
      <c r="BS96" s="24">
        <f t="shared" si="63"/>
        <v>3.3234456880914141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349.9999999999996</v>
      </c>
      <c r="O97" s="14">
        <f>N97*VLOOKUP('Données projet'!$B$9,Paramètres!$A$1:$I$89,3,0)*VLOOKUP('Données projet'!$B$9,Paramètres!$A$1:$I$89,5,0)</f>
        <v>278.4599999999997</v>
      </c>
      <c r="P97" s="14">
        <f t="shared" si="87"/>
        <v>66.641458222154824</v>
      </c>
      <c r="Q97" s="22">
        <f t="shared" si="54"/>
        <v>601.05170640358574</v>
      </c>
      <c r="R97" s="62">
        <f t="shared" si="55"/>
        <v>894.385039736919</v>
      </c>
      <c r="S97" s="62">
        <f ca="1">AVERAGE(OFFSET($R$3,0,0,'Données projet'!$E$9+1,1))-AVERAGE(OFFSET($H$3,0,0,'Données projet'!$E$9+1,1))</f>
        <v>354.56491118410622</v>
      </c>
      <c r="T97" s="62">
        <f t="shared" si="88"/>
        <v>343.77208530767069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4.3532166472871561</v>
      </c>
      <c r="AB97" s="23">
        <f>EXP(-LN(2)/2)*AB96+(1-EXP(-LN(2)/2))/(LN(2)/2)*V97*Y97*VLOOKUP('Données projet'!$B$9,Paramètres!$A$1:$I$89,3,0)*0.475*44/12</f>
        <v>3.120837461647087E-9</v>
      </c>
      <c r="AC97" s="24">
        <f t="shared" si="57"/>
        <v>4.3532166504079939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417.99999999999972</v>
      </c>
      <c r="AJ97" s="14">
        <f>AI97*VLOOKUP('Données projet'!$B$10,Paramètres!$A$1:$I$89,3,0)*VLOOKUP('Données projet'!$B$10,Paramètres!$A$1:$I$89,5,0)</f>
        <v>306.47759999999982</v>
      </c>
      <c r="AK97" s="14">
        <f t="shared" si="89"/>
        <v>72.532724321633353</v>
      </c>
      <c r="AL97" s="22">
        <f t="shared" si="58"/>
        <v>660.10964819351113</v>
      </c>
      <c r="AM97" s="62">
        <f t="shared" si="59"/>
        <v>953.44298152684451</v>
      </c>
      <c r="AN97" s="62">
        <f ca="1">AVERAGE(OFFSET($AM$3,0,0,'Données projet'!$E$10+1,1))-AVERAGE(OFFSET($H$3,0,0,'Données projet'!$E$10+1,1))</f>
        <v>380.01621935031324</v>
      </c>
      <c r="AO97" s="62">
        <f t="shared" si="90"/>
        <v>365.76175372075869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3.9617445317780944</v>
      </c>
      <c r="AW97" s="23">
        <f>EXP(-LN(2)/2)*AW96+(1-EXP(-LN(2)/2))/(LN(2)/2)*AQ97*AT97*VLOOKUP('Données projet'!$B$10,Paramètres!$A$1:$I$89,3,0)*0.475*44/12</f>
        <v>3.453201041105958E-9</v>
      </c>
      <c r="AX97" s="23">
        <f t="shared" si="60"/>
        <v>3.9617445352312952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-5.6843418860808015E-14</v>
      </c>
      <c r="BE97" s="14">
        <f>BD97*VLOOKUP('Données projet'!$B$11,Paramètres!$A$1:$I$89,3,0)*VLOOKUP('Données projet'!$B$11,Paramètres!$A$1:$I$89,5,0)</f>
        <v>-4.9658410716801891E-14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303.33040062722074</v>
      </c>
      <c r="BJ97" s="62">
        <f t="shared" si="92"/>
        <v>425.30058672361548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3.2325658855928276</v>
      </c>
      <c r="BR97" s="23">
        <f>EXP(-LN(2)/2)*BR96+(1-EXP(-LN(2)/2))/(LN(2)/2)*BL97*BO97*VLOOKUP('Données projet'!$B$11,Paramètres!$A$1:$I$89,3,0)*0.475*44/12</f>
        <v>3.915049204841502E-9</v>
      </c>
      <c r="BS97" s="24">
        <f t="shared" si="63"/>
        <v>3.2325658895078768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349.9999999999996</v>
      </c>
      <c r="O98" s="14">
        <f>N98*VLOOKUP('Données projet'!$B$9,Paramètres!$A$1:$I$89,3,0)*VLOOKUP('Données projet'!$B$9,Paramètres!$A$1:$I$89,5,0)</f>
        <v>278.4599999999997</v>
      </c>
      <c r="P98" s="14">
        <f t="shared" si="87"/>
        <v>66.641458222154824</v>
      </c>
      <c r="Q98" s="22">
        <f t="shared" si="54"/>
        <v>601.05170640358574</v>
      </c>
      <c r="R98" s="62">
        <f t="shared" si="55"/>
        <v>894.385039736919</v>
      </c>
      <c r="S98" s="62">
        <f ca="1">AVERAGE(OFFSET($R$3,0,0,'Données projet'!$E$9+1,1))-AVERAGE(OFFSET($H$3,0,0,'Données projet'!$E$9+1,1))</f>
        <v>354.56491118410622</v>
      </c>
      <c r="T98" s="62">
        <f t="shared" si="88"/>
        <v>343.77208530767069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4.2341777091413748</v>
      </c>
      <c r="AB98" s="23">
        <f>EXP(-LN(2)/2)*AB97+(1-EXP(-LN(2)/2))/(LN(2)/2)*V98*Y98*VLOOKUP('Données projet'!$B$9,Paramètres!$A$1:$I$89,3,0)*0.475*44/12</f>
        <v>2.2067653321116671E-9</v>
      </c>
      <c r="AC98" s="24">
        <f t="shared" si="57"/>
        <v>4.2341777113481402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417.99999999999972</v>
      </c>
      <c r="AJ98" s="14">
        <f>AI98*VLOOKUP('Données projet'!$B$10,Paramètres!$A$1:$I$89,3,0)*VLOOKUP('Données projet'!$B$10,Paramètres!$A$1:$I$89,5,0)</f>
        <v>306.47759999999982</v>
      </c>
      <c r="AK98" s="14">
        <f t="shared" si="89"/>
        <v>72.532724321633353</v>
      </c>
      <c r="AL98" s="22">
        <f t="shared" si="58"/>
        <v>660.10964819351113</v>
      </c>
      <c r="AM98" s="62">
        <f t="shared" si="59"/>
        <v>953.44298152684451</v>
      </c>
      <c r="AN98" s="62">
        <f ca="1">AVERAGE(OFFSET($AM$3,0,0,'Données projet'!$E$10+1,1))-AVERAGE(OFFSET($H$3,0,0,'Données projet'!$E$10+1,1))</f>
        <v>380.01621935031324</v>
      </c>
      <c r="AO98" s="62">
        <f t="shared" si="90"/>
        <v>365.76175372075869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3.853410419217532</v>
      </c>
      <c r="AW98" s="23">
        <f>EXP(-LN(2)/2)*AW97+(1-EXP(-LN(2)/2))/(LN(2)/2)*AQ98*AT98*VLOOKUP('Données projet'!$B$10,Paramètres!$A$1:$I$89,3,0)*0.475*44/12</f>
        <v>2.4417818729664687E-9</v>
      </c>
      <c r="AX98" s="23">
        <f t="shared" si="60"/>
        <v>3.8534104216593139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-5.6843418860808015E-14</v>
      </c>
      <c r="BE98" s="14">
        <f>BD98*VLOOKUP('Données projet'!$B$11,Paramètres!$A$1:$I$89,3,0)*VLOOKUP('Données projet'!$B$11,Paramètres!$A$1:$I$89,5,0)</f>
        <v>-4.9658410716801891E-14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303.33040062722074</v>
      </c>
      <c r="BJ98" s="62">
        <f t="shared" si="92"/>
        <v>425.30058672361548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3.1441712014580401</v>
      </c>
      <c r="BR98" s="23">
        <f>EXP(-LN(2)/2)*BR97+(1-EXP(-LN(2)/2))/(LN(2)/2)*BL98*BO98*VLOOKUP('Données projet'!$B$11,Paramètres!$A$1:$I$89,3,0)*0.475*44/12</f>
        <v>2.7683578414224269E-9</v>
      </c>
      <c r="BS98" s="24">
        <f t="shared" si="63"/>
        <v>3.1441712042263981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349.9999999999996</v>
      </c>
      <c r="O99" s="14">
        <f>N99*VLOOKUP('Données projet'!$B$9,Paramètres!$A$1:$I$89,3,0)*VLOOKUP('Données projet'!$B$9,Paramètres!$A$1:$I$89,5,0)</f>
        <v>278.4599999999997</v>
      </c>
      <c r="P99" s="14">
        <f t="shared" si="87"/>
        <v>66.641458222154824</v>
      </c>
      <c r="Q99" s="22">
        <f t="shared" ref="Q99:Q130" si="107">(O99+P99)*0.475*44/12</f>
        <v>601.05170640358574</v>
      </c>
      <c r="R99" s="62">
        <f t="shared" si="55"/>
        <v>894.385039736919</v>
      </c>
      <c r="S99" s="62">
        <f ca="1">AVERAGE(OFFSET($R$3,0,0,'Données projet'!$E$9+1,1))-AVERAGE(OFFSET($H$3,0,0,'Données projet'!$E$9+1,1))</f>
        <v>354.56491118410622</v>
      </c>
      <c r="T99" s="62">
        <f t="shared" si="88"/>
        <v>343.77208530767069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4.1183938970191756</v>
      </c>
      <c r="AB99" s="23">
        <f>EXP(-LN(2)/2)*AB98+(1-EXP(-LN(2)/2))/(LN(2)/2)*V99*Y99*VLOOKUP('Données projet'!$B$9,Paramètres!$A$1:$I$89,3,0)*0.475*44/12</f>
        <v>1.5604187308235435E-9</v>
      </c>
      <c r="AC99" s="24">
        <f t="shared" si="57"/>
        <v>4.118393898579594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417.99999999999972</v>
      </c>
      <c r="AJ99" s="14">
        <f>AI99*VLOOKUP('Données projet'!$B$10,Paramètres!$A$1:$I$89,3,0)*VLOOKUP('Données projet'!$B$10,Paramètres!$A$1:$I$89,5,0)</f>
        <v>306.47759999999982</v>
      </c>
      <c r="AK99" s="14">
        <f t="shared" si="89"/>
        <v>72.532724321633353</v>
      </c>
      <c r="AL99" s="22">
        <f t="shared" si="58"/>
        <v>660.10964819351113</v>
      </c>
      <c r="AM99" s="62">
        <f t="shared" si="59"/>
        <v>953.44298152684451</v>
      </c>
      <c r="AN99" s="62">
        <f ca="1">AVERAGE(OFFSET($AM$3,0,0,'Données projet'!$E$10+1,1))-AVERAGE(OFFSET($H$3,0,0,'Données projet'!$E$10+1,1))</f>
        <v>380.01621935031324</v>
      </c>
      <c r="AO99" s="62">
        <f t="shared" si="90"/>
        <v>365.76175372075869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3.7480387086619817</v>
      </c>
      <c r="AW99" s="23">
        <f>EXP(-LN(2)/2)*AW98+(1-EXP(-LN(2)/2))/(LN(2)/2)*AQ99*AT99*VLOOKUP('Données projet'!$B$10,Paramètres!$A$1:$I$89,3,0)*0.475*44/12</f>
        <v>1.726600520552979E-9</v>
      </c>
      <c r="AX99" s="23">
        <f t="shared" si="60"/>
        <v>3.7480387103885824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-5.6843418860808015E-14</v>
      </c>
      <c r="BE99" s="14">
        <f>BD99*VLOOKUP('Données projet'!$B$11,Paramètres!$A$1:$I$89,3,0)*VLOOKUP('Données projet'!$B$11,Paramètres!$A$1:$I$89,5,0)</f>
        <v>-4.9658410716801891E-14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303.33040062722074</v>
      </c>
      <c r="BJ99" s="62">
        <f t="shared" si="92"/>
        <v>425.30058672361548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3.0581936746093925</v>
      </c>
      <c r="BR99" s="23">
        <f>EXP(-LN(2)/2)*BR98+(1-EXP(-LN(2)/2))/(LN(2)/2)*BL99*BO99*VLOOKUP('Données projet'!$B$11,Paramètres!$A$1:$I$89,3,0)*0.475*44/12</f>
        <v>1.957524602420751E-9</v>
      </c>
      <c r="BS99" s="24">
        <f t="shared" si="63"/>
        <v>3.0581936765669173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349.9999999999996</v>
      </c>
      <c r="O100" s="14">
        <f>N100*VLOOKUP('Données projet'!$B$9,Paramètres!$A$1:$I$89,3,0)*VLOOKUP('Données projet'!$B$9,Paramètres!$A$1:$I$89,5,0)</f>
        <v>278.4599999999997</v>
      </c>
      <c r="P100" s="14">
        <f t="shared" si="87"/>
        <v>66.641458222154824</v>
      </c>
      <c r="Q100" s="22">
        <f t="shared" si="107"/>
        <v>601.05170640358574</v>
      </c>
      <c r="R100" s="62">
        <f t="shared" si="55"/>
        <v>894.385039736919</v>
      </c>
      <c r="S100" s="62">
        <f ca="1">AVERAGE(OFFSET($R$3,0,0,'Données projet'!$E$9+1,1))-AVERAGE(OFFSET($H$3,0,0,'Données projet'!$E$9+1,1))</f>
        <v>354.56491118410622</v>
      </c>
      <c r="T100" s="62">
        <f t="shared" si="88"/>
        <v>343.77208530767069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4.0057761993282641</v>
      </c>
      <c r="AB100" s="23">
        <f>EXP(-LN(2)/2)*AB99+(1-EXP(-LN(2)/2))/(LN(2)/2)*V100*Y100*VLOOKUP('Données projet'!$B$9,Paramètres!$A$1:$I$89,3,0)*0.475*44/12</f>
        <v>1.1033826660558335E-9</v>
      </c>
      <c r="AC100" s="24">
        <f t="shared" si="57"/>
        <v>4.0057762004316464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417.99999999999972</v>
      </c>
      <c r="AJ100" s="14">
        <f>AI100*VLOOKUP('Données projet'!$B$10,Paramètres!$A$1:$I$89,3,0)*VLOOKUP('Données projet'!$B$10,Paramètres!$A$1:$I$89,5,0)</f>
        <v>306.47759999999982</v>
      </c>
      <c r="AK100" s="14">
        <f t="shared" si="89"/>
        <v>72.532724321633353</v>
      </c>
      <c r="AL100" s="22">
        <f t="shared" si="58"/>
        <v>660.10964819351113</v>
      </c>
      <c r="AM100" s="62">
        <f t="shared" si="59"/>
        <v>953.44298152684451</v>
      </c>
      <c r="AN100" s="62">
        <f ca="1">AVERAGE(OFFSET($AM$3,0,0,'Données projet'!$E$10+1,1))-AVERAGE(OFFSET($H$3,0,0,'Données projet'!$E$10+1,1))</f>
        <v>380.01621935031324</v>
      </c>
      <c r="AO100" s="62">
        <f t="shared" si="90"/>
        <v>365.76175372075869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3.6455483930728305</v>
      </c>
      <c r="AW100" s="23">
        <f>EXP(-LN(2)/2)*AW99+(1-EXP(-LN(2)/2))/(LN(2)/2)*AQ100*AT100*VLOOKUP('Données projet'!$B$10,Paramètres!$A$1:$I$89,3,0)*0.475*44/12</f>
        <v>1.2208909364832343E-9</v>
      </c>
      <c r="AX100" s="23">
        <f t="shared" si="60"/>
        <v>3.6455483942937215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-5.6843418860808015E-14</v>
      </c>
      <c r="BE100" s="14">
        <f>BD100*VLOOKUP('Données projet'!$B$11,Paramètres!$A$1:$I$89,3,0)*VLOOKUP('Données projet'!$B$11,Paramètres!$A$1:$I$89,5,0)</f>
        <v>-4.9658410716801891E-14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303.33040062722074</v>
      </c>
      <c r="BJ100" s="62">
        <f t="shared" si="92"/>
        <v>425.30058672361548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2.974567207753783</v>
      </c>
      <c r="BR100" s="23">
        <f>EXP(-LN(2)/2)*BR99+(1-EXP(-LN(2)/2))/(LN(2)/2)*BL100*BO100*VLOOKUP('Données projet'!$B$11,Paramètres!$A$1:$I$89,3,0)*0.475*44/12</f>
        <v>1.3841789207112134E-9</v>
      </c>
      <c r="BS100" s="24">
        <f t="shared" si="63"/>
        <v>2.974567209137962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349.9999999999996</v>
      </c>
      <c r="O101" s="14">
        <f>N101*VLOOKUP('Données projet'!$B$9,Paramètres!$A$1:$I$89,3,0)*VLOOKUP('Données projet'!$B$9,Paramètres!$A$1:$I$89,5,0)</f>
        <v>278.4599999999997</v>
      </c>
      <c r="P101" s="14">
        <f t="shared" si="87"/>
        <v>66.641458222154824</v>
      </c>
      <c r="Q101" s="22">
        <f t="shared" si="107"/>
        <v>601.05170640358574</v>
      </c>
      <c r="R101" s="62">
        <f t="shared" si="55"/>
        <v>894.385039736919</v>
      </c>
      <c r="S101" s="62">
        <f ca="1">AVERAGE(OFFSET($R$3,0,0,'Données projet'!$E$9+1,1))-AVERAGE(OFFSET($H$3,0,0,'Données projet'!$E$9+1,1))</f>
        <v>354.56491118410622</v>
      </c>
      <c r="T101" s="62">
        <f t="shared" si="88"/>
        <v>343.77208530767069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3.8962380385030175</v>
      </c>
      <c r="AB101" s="23">
        <f>EXP(-LN(2)/2)*AB100+(1-EXP(-LN(2)/2))/(LN(2)/2)*V101*Y101*VLOOKUP('Données projet'!$B$9,Paramètres!$A$1:$I$89,3,0)*0.475*44/12</f>
        <v>7.8020936541177175E-10</v>
      </c>
      <c r="AC101" s="24">
        <f t="shared" si="57"/>
        <v>3.8962380392832268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417.99999999999972</v>
      </c>
      <c r="AJ101" s="14">
        <f>AI101*VLOOKUP('Données projet'!$B$10,Paramètres!$A$1:$I$89,3,0)*VLOOKUP('Données projet'!$B$10,Paramètres!$A$1:$I$89,5,0)</f>
        <v>306.47759999999982</v>
      </c>
      <c r="AK101" s="14">
        <f t="shared" si="89"/>
        <v>72.532724321633353</v>
      </c>
      <c r="AL101" s="22">
        <f t="shared" si="58"/>
        <v>660.10964819351113</v>
      </c>
      <c r="AM101" s="62">
        <f t="shared" si="59"/>
        <v>953.44298152684451</v>
      </c>
      <c r="AN101" s="62">
        <f ca="1">AVERAGE(OFFSET($AM$3,0,0,'Données projet'!$E$10+1,1))-AVERAGE(OFFSET($H$3,0,0,'Données projet'!$E$10+1,1))</f>
        <v>380.01621935031324</v>
      </c>
      <c r="AO101" s="62">
        <f t="shared" si="90"/>
        <v>365.76175372075869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3.5458606805531958</v>
      </c>
      <c r="AW101" s="23">
        <f>EXP(-LN(2)/2)*AW100+(1-EXP(-LN(2)/2))/(LN(2)/2)*AQ101*AT101*VLOOKUP('Données projet'!$B$10,Paramètres!$A$1:$I$89,3,0)*0.475*44/12</f>
        <v>8.6330026027648949E-10</v>
      </c>
      <c r="AX101" s="23">
        <f t="shared" si="60"/>
        <v>3.5458606814164959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-5.6843418860808015E-14</v>
      </c>
      <c r="BE101" s="14">
        <f>BD101*VLOOKUP('Données projet'!$B$11,Paramètres!$A$1:$I$89,3,0)*VLOOKUP('Données projet'!$B$11,Paramètres!$A$1:$I$89,5,0)</f>
        <v>-4.9658410716801891E-14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303.33040062722074</v>
      </c>
      <c r="BJ101" s="62">
        <f t="shared" si="92"/>
        <v>425.30058672361548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2.8932275110320647</v>
      </c>
      <c r="BR101" s="23">
        <f>EXP(-LN(2)/2)*BR100+(1-EXP(-LN(2)/2))/(LN(2)/2)*BL101*BO101*VLOOKUP('Données projet'!$B$11,Paramètres!$A$1:$I$89,3,0)*0.475*44/12</f>
        <v>9.7876230121037549E-10</v>
      </c>
      <c r="BS101" s="24">
        <f t="shared" si="63"/>
        <v>2.8932275120108271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349.9999999999996</v>
      </c>
      <c r="O102" s="14">
        <f>N102*VLOOKUP('Données projet'!$B$9,Paramètres!$A$1:$I$89,3,0)*VLOOKUP('Données projet'!$B$9,Paramètres!$A$1:$I$89,5,0)</f>
        <v>278.4599999999997</v>
      </c>
      <c r="P102" s="14">
        <f t="shared" si="87"/>
        <v>66.641458222154824</v>
      </c>
      <c r="Q102" s="22">
        <f t="shared" si="107"/>
        <v>601.05170640358574</v>
      </c>
      <c r="R102" s="62">
        <f t="shared" si="55"/>
        <v>894.385039736919</v>
      </c>
      <c r="S102" s="62">
        <f ca="1">AVERAGE(OFFSET($R$3,0,0,'Données projet'!$E$9+1,1))-AVERAGE(OFFSET($H$3,0,0,'Données projet'!$E$9+1,1))</f>
        <v>354.56491118410622</v>
      </c>
      <c r="T102" s="62">
        <f t="shared" si="88"/>
        <v>343.77208530767069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3.7896952044458989</v>
      </c>
      <c r="AB102" s="23">
        <f>EXP(-LN(2)/2)*AB101+(1-EXP(-LN(2)/2))/(LN(2)/2)*V102*Y102*VLOOKUP('Données projet'!$B$9,Paramètres!$A$1:$I$89,3,0)*0.475*44/12</f>
        <v>5.5169133302791677E-10</v>
      </c>
      <c r="AC102" s="24">
        <f t="shared" si="57"/>
        <v>3.7896952049975901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417.99999999999972</v>
      </c>
      <c r="AJ102" s="14">
        <f>AI102*VLOOKUP('Données projet'!$B$10,Paramètres!$A$1:$I$89,3,0)*VLOOKUP('Données projet'!$B$10,Paramètres!$A$1:$I$89,5,0)</f>
        <v>306.47759999999982</v>
      </c>
      <c r="AK102" s="14">
        <f t="shared" si="89"/>
        <v>72.532724321633353</v>
      </c>
      <c r="AL102" s="22">
        <f t="shared" si="58"/>
        <v>660.10964819351113</v>
      </c>
      <c r="AM102" s="62">
        <f t="shared" si="59"/>
        <v>953.44298152684451</v>
      </c>
      <c r="AN102" s="62">
        <f ca="1">AVERAGE(OFFSET($AM$3,0,0,'Données projet'!$E$10+1,1))-AVERAGE(OFFSET($H$3,0,0,'Données projet'!$E$10+1,1))</f>
        <v>380.01621935031324</v>
      </c>
      <c r="AO102" s="62">
        <f t="shared" si="90"/>
        <v>365.76175372075869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3.4488989337747595</v>
      </c>
      <c r="AW102" s="23">
        <f>EXP(-LN(2)/2)*AW101+(1-EXP(-LN(2)/2))/(LN(2)/2)*AQ102*AT102*VLOOKUP('Données projet'!$B$10,Paramètres!$A$1:$I$89,3,0)*0.475*44/12</f>
        <v>6.1044546824161717E-10</v>
      </c>
      <c r="AX102" s="23">
        <f t="shared" si="60"/>
        <v>3.448898934385205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-5.6843418860808015E-14</v>
      </c>
      <c r="BE102" s="14">
        <f>BD102*VLOOKUP('Données projet'!$B$11,Paramètres!$A$1:$I$89,3,0)*VLOOKUP('Données projet'!$B$11,Paramètres!$A$1:$I$89,5,0)</f>
        <v>-4.9658410716801891E-14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303.33040062722074</v>
      </c>
      <c r="BJ102" s="62">
        <f t="shared" si="92"/>
        <v>425.30058672361548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2.8141120525946706</v>
      </c>
      <c r="BR102" s="23">
        <f>EXP(-LN(2)/2)*BR101+(1-EXP(-LN(2)/2))/(LN(2)/2)*BL102*BO102*VLOOKUP('Données projet'!$B$11,Paramètres!$A$1:$I$89,3,0)*0.475*44/12</f>
        <v>6.9208946035560671E-10</v>
      </c>
      <c r="BS102" s="24">
        <f t="shared" si="63"/>
        <v>2.8141120532867601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349.9999999999996</v>
      </c>
      <c r="O103" s="14">
        <f>N103*VLOOKUP('Données projet'!$B$9,Paramètres!$A$1:$I$89,3,0)*VLOOKUP('Données projet'!$B$9,Paramètres!$A$1:$I$89,5,0)</f>
        <v>278.4599999999997</v>
      </c>
      <c r="P103" s="14">
        <f t="shared" si="87"/>
        <v>66.641458222154824</v>
      </c>
      <c r="Q103" s="22">
        <f t="shared" si="107"/>
        <v>601.05170640358574</v>
      </c>
      <c r="R103" s="62">
        <f t="shared" si="55"/>
        <v>894.385039736919</v>
      </c>
      <c r="S103" s="62">
        <f ca="1">AVERAGE(OFFSET($R$3,0,0,'Données projet'!$E$9+1,1))-AVERAGE(OFFSET($H$3,0,0,'Données projet'!$E$9+1,1))</f>
        <v>354.56491118410622</v>
      </c>
      <c r="T103" s="62">
        <f t="shared" si="88"/>
        <v>343.77208530767069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3.6860657897889166</v>
      </c>
      <c r="AB103" s="23">
        <f>EXP(-LN(2)/2)*AB102+(1-EXP(-LN(2)/2))/(LN(2)/2)*V103*Y103*VLOOKUP('Données projet'!$B$9,Paramètres!$A$1:$I$89,3,0)*0.475*44/12</f>
        <v>3.9010468270588588E-10</v>
      </c>
      <c r="AC103" s="24">
        <f t="shared" si="57"/>
        <v>3.6860657901790215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417.99999999999972</v>
      </c>
      <c r="AJ103" s="14">
        <f>AI103*VLOOKUP('Données projet'!$B$10,Paramètres!$A$1:$I$89,3,0)*VLOOKUP('Données projet'!$B$10,Paramètres!$A$1:$I$89,5,0)</f>
        <v>306.47759999999982</v>
      </c>
      <c r="AK103" s="14">
        <f t="shared" si="89"/>
        <v>72.532724321633353</v>
      </c>
      <c r="AL103" s="22">
        <f t="shared" si="58"/>
        <v>660.10964819351113</v>
      </c>
      <c r="AM103" s="62">
        <f t="shared" si="59"/>
        <v>953.44298152684451</v>
      </c>
      <c r="AN103" s="62">
        <f ca="1">AVERAGE(OFFSET($AM$3,0,0,'Données projet'!$E$10+1,1))-AVERAGE(OFFSET($H$3,0,0,'Données projet'!$E$10+1,1))</f>
        <v>380.01621935031324</v>
      </c>
      <c r="AO103" s="62">
        <f t="shared" si="90"/>
        <v>365.76175372075869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3.3545886110609762</v>
      </c>
      <c r="AW103" s="23">
        <f>EXP(-LN(2)/2)*AW102+(1-EXP(-LN(2)/2))/(LN(2)/2)*AQ103*AT103*VLOOKUP('Données projet'!$B$10,Paramètres!$A$1:$I$89,3,0)*0.475*44/12</f>
        <v>4.3165013013824475E-10</v>
      </c>
      <c r="AX103" s="23">
        <f t="shared" si="60"/>
        <v>3.3545886114926264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-5.6843418860808015E-14</v>
      </c>
      <c r="BE103" s="14">
        <f>BD103*VLOOKUP('Données projet'!$B$11,Paramètres!$A$1:$I$89,3,0)*VLOOKUP('Données projet'!$B$11,Paramètres!$A$1:$I$89,5,0)</f>
        <v>-4.9658410716801891E-14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303.33040062722074</v>
      </c>
      <c r="BJ103" s="62">
        <f t="shared" si="92"/>
        <v>425.30058672361548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2.7371600105287484</v>
      </c>
      <c r="BR103" s="23">
        <f>EXP(-LN(2)/2)*BR102+(1-EXP(-LN(2)/2))/(LN(2)/2)*BL103*BO103*VLOOKUP('Données projet'!$B$11,Paramètres!$A$1:$I$89,3,0)*0.475*44/12</f>
        <v>4.8938115060518775E-10</v>
      </c>
      <c r="BS103" s="24">
        <f t="shared" si="63"/>
        <v>2.7371600110181293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349.9999999999996</v>
      </c>
      <c r="O104" s="14">
        <f>N104*VLOOKUP('Données projet'!$B$9,Paramètres!$A$1:$I$89,3,0)*VLOOKUP('Données projet'!$B$9,Paramètres!$A$1:$I$89,5,0)</f>
        <v>278.4599999999997</v>
      </c>
      <c r="P104" s="14">
        <f t="shared" si="87"/>
        <v>66.641458222154824</v>
      </c>
      <c r="Q104" s="22">
        <f t="shared" si="107"/>
        <v>601.05170640358574</v>
      </c>
      <c r="R104" s="62">
        <f t="shared" si="55"/>
        <v>894.385039736919</v>
      </c>
      <c r="S104" s="62">
        <f ca="1">AVERAGE(OFFSET($R$3,0,0,'Données projet'!$E$9+1,1))-AVERAGE(OFFSET($H$3,0,0,'Données projet'!$E$9+1,1))</f>
        <v>354.56491118410622</v>
      </c>
      <c r="T104" s="62">
        <f t="shared" si="88"/>
        <v>343.77208530767069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3.5852701269253635</v>
      </c>
      <c r="AB104" s="23">
        <f>EXP(-LN(2)/2)*AB103+(1-EXP(-LN(2)/2))/(LN(2)/2)*V104*Y104*VLOOKUP('Données projet'!$B$9,Paramètres!$A$1:$I$89,3,0)*0.475*44/12</f>
        <v>2.7584566651395839E-10</v>
      </c>
      <c r="AC104" s="24">
        <f t="shared" si="57"/>
        <v>3.5852701272012091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417.99999999999972</v>
      </c>
      <c r="AJ104" s="14">
        <f>AI104*VLOOKUP('Données projet'!$B$10,Paramètres!$A$1:$I$89,3,0)*VLOOKUP('Données projet'!$B$10,Paramètres!$A$1:$I$89,5,0)</f>
        <v>306.47759999999982</v>
      </c>
      <c r="AK104" s="14">
        <f t="shared" si="89"/>
        <v>72.532724321633353</v>
      </c>
      <c r="AL104" s="22">
        <f t="shared" si="58"/>
        <v>660.10964819351113</v>
      </c>
      <c r="AM104" s="62">
        <f t="shared" si="59"/>
        <v>953.44298152684451</v>
      </c>
      <c r="AN104" s="62">
        <f ca="1">AVERAGE(OFFSET($AM$3,0,0,'Données projet'!$E$10+1,1))-AVERAGE(OFFSET($H$3,0,0,'Données projet'!$E$10+1,1))</f>
        <v>380.01621935031324</v>
      </c>
      <c r="AO104" s="62">
        <f t="shared" si="90"/>
        <v>365.76175372075869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3.2628572090813659</v>
      </c>
      <c r="AW104" s="23">
        <f>EXP(-LN(2)/2)*AW103+(1-EXP(-LN(2)/2))/(LN(2)/2)*AQ104*AT104*VLOOKUP('Données projet'!$B$10,Paramètres!$A$1:$I$89,3,0)*0.475*44/12</f>
        <v>3.0522273412080859E-10</v>
      </c>
      <c r="AX104" s="23">
        <f t="shared" si="60"/>
        <v>3.2628572093865884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-5.6843418860808015E-14</v>
      </c>
      <c r="BE104" s="14">
        <f>BD104*VLOOKUP('Données projet'!$B$11,Paramètres!$A$1:$I$89,3,0)*VLOOKUP('Données projet'!$B$11,Paramètres!$A$1:$I$89,5,0)</f>
        <v>-4.9658410716801891E-14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303.33040062722074</v>
      </c>
      <c r="BJ104" s="62">
        <f t="shared" si="92"/>
        <v>425.30058672361548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2.6623122260998509</v>
      </c>
      <c r="BR104" s="23">
        <f>EXP(-LN(2)/2)*BR103+(1-EXP(-LN(2)/2))/(LN(2)/2)*BL104*BO104*VLOOKUP('Données projet'!$B$11,Paramètres!$A$1:$I$89,3,0)*0.475*44/12</f>
        <v>3.4604473017780336E-10</v>
      </c>
      <c r="BS104" s="24">
        <f t="shared" si="63"/>
        <v>2.6623122264458954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349.9999999999996</v>
      </c>
      <c r="O105" s="14">
        <f>N105*VLOOKUP('Données projet'!$B$9,Paramètres!$A$1:$I$89,3,0)*VLOOKUP('Données projet'!$B$9,Paramètres!$A$1:$I$89,5,0)</f>
        <v>278.4599999999997</v>
      </c>
      <c r="P105" s="14">
        <f t="shared" si="87"/>
        <v>66.641458222154824</v>
      </c>
      <c r="Q105" s="22">
        <f t="shared" si="107"/>
        <v>601.05170640358574</v>
      </c>
      <c r="R105" s="62">
        <f t="shared" si="55"/>
        <v>894.385039736919</v>
      </c>
      <c r="S105" s="62">
        <f ca="1">AVERAGE(OFFSET($R$3,0,0,'Données projet'!$E$9+1,1))-AVERAGE(OFFSET($H$3,0,0,'Données projet'!$E$9+1,1))</f>
        <v>354.56491118410622</v>
      </c>
      <c r="T105" s="62">
        <f t="shared" si="88"/>
        <v>343.77208530767069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3.4872307267634279</v>
      </c>
      <c r="AB105" s="23">
        <f>EXP(-LN(2)/2)*AB104+(1-EXP(-LN(2)/2))/(LN(2)/2)*V105*Y105*VLOOKUP('Données projet'!$B$9,Paramètres!$A$1:$I$89,3,0)*0.475*44/12</f>
        <v>1.9505234135294294E-10</v>
      </c>
      <c r="AC105" s="24">
        <f t="shared" si="57"/>
        <v>3.4872307269584804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417.99999999999972</v>
      </c>
      <c r="AJ105" s="14">
        <f>AI105*VLOOKUP('Données projet'!$B$10,Paramètres!$A$1:$I$89,3,0)*VLOOKUP('Données projet'!$B$10,Paramètres!$A$1:$I$89,5,0)</f>
        <v>306.47759999999982</v>
      </c>
      <c r="AK105" s="14">
        <f t="shared" si="89"/>
        <v>72.532724321633353</v>
      </c>
      <c r="AL105" s="22">
        <f t="shared" si="58"/>
        <v>660.10964819351113</v>
      </c>
      <c r="AM105" s="62">
        <f t="shared" si="59"/>
        <v>953.44298152684451</v>
      </c>
      <c r="AN105" s="62">
        <f ca="1">AVERAGE(OFFSET($AM$3,0,0,'Données projet'!$E$10+1,1))-AVERAGE(OFFSET($H$3,0,0,'Données projet'!$E$10+1,1))</f>
        <v>380.01621935031324</v>
      </c>
      <c r="AO105" s="62">
        <f t="shared" si="90"/>
        <v>365.76175372075869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3.1736342071128325</v>
      </c>
      <c r="AW105" s="23">
        <f>EXP(-LN(2)/2)*AW104+(1-EXP(-LN(2)/2))/(LN(2)/2)*AQ105*AT105*VLOOKUP('Données projet'!$B$10,Paramètres!$A$1:$I$89,3,0)*0.475*44/12</f>
        <v>2.1582506506912237E-10</v>
      </c>
      <c r="AX105" s="23">
        <f t="shared" si="60"/>
        <v>3.1736342073286576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-5.6843418860808015E-14</v>
      </c>
      <c r="BE105" s="14">
        <f>BD105*VLOOKUP('Données projet'!$B$11,Paramètres!$A$1:$I$89,3,0)*VLOOKUP('Données projet'!$B$11,Paramètres!$A$1:$I$89,5,0)</f>
        <v>-4.9658410716801891E-14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303.33040062722074</v>
      </c>
      <c r="BJ105" s="62">
        <f t="shared" si="92"/>
        <v>425.30058672361548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2.5895111582722352</v>
      </c>
      <c r="BR105" s="23">
        <f>EXP(-LN(2)/2)*BR104+(1-EXP(-LN(2)/2))/(LN(2)/2)*BL105*BO105*VLOOKUP('Données projet'!$B$11,Paramètres!$A$1:$I$89,3,0)*0.475*44/12</f>
        <v>2.4469057530259387E-10</v>
      </c>
      <c r="BS105" s="24">
        <f t="shared" si="63"/>
        <v>2.5895111585169257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349.9999999999996</v>
      </c>
      <c r="O106" s="14">
        <f>N106*VLOOKUP('Données projet'!$B$9,Paramètres!$A$1:$I$89,3,0)*VLOOKUP('Données projet'!$B$9,Paramètres!$A$1:$I$89,5,0)</f>
        <v>278.4599999999997</v>
      </c>
      <c r="P106" s="14">
        <f t="shared" si="87"/>
        <v>66.641458222154824</v>
      </c>
      <c r="Q106" s="22">
        <f t="shared" si="107"/>
        <v>601.05170640358574</v>
      </c>
      <c r="R106" s="62">
        <f t="shared" si="55"/>
        <v>894.385039736919</v>
      </c>
      <c r="S106" s="62">
        <f ca="1">AVERAGE(OFFSET($R$3,0,0,'Données projet'!$E$9+1,1))-AVERAGE(OFFSET($H$3,0,0,'Données projet'!$E$9+1,1))</f>
        <v>354.56491118410622</v>
      </c>
      <c r="T106" s="62">
        <f t="shared" si="88"/>
        <v>343.77208530767069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3.391872219154588</v>
      </c>
      <c r="AB106" s="23">
        <f>EXP(-LN(2)/2)*AB105+(1-EXP(-LN(2)/2))/(LN(2)/2)*V106*Y106*VLOOKUP('Données projet'!$B$9,Paramètres!$A$1:$I$89,3,0)*0.475*44/12</f>
        <v>1.3792283325697919E-10</v>
      </c>
      <c r="AC106" s="24">
        <f t="shared" si="57"/>
        <v>3.391872219292511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417.99999999999972</v>
      </c>
      <c r="AJ106" s="14">
        <f>AI106*VLOOKUP('Données projet'!$B$10,Paramètres!$A$1:$I$89,3,0)*VLOOKUP('Données projet'!$B$10,Paramètres!$A$1:$I$89,5,0)</f>
        <v>306.47759999999982</v>
      </c>
      <c r="AK106" s="14">
        <f t="shared" si="89"/>
        <v>72.532724321633353</v>
      </c>
      <c r="AL106" s="22">
        <f t="shared" si="58"/>
        <v>660.10964819351113</v>
      </c>
      <c r="AM106" s="62">
        <f t="shared" si="59"/>
        <v>953.44298152684451</v>
      </c>
      <c r="AN106" s="62">
        <f ca="1">AVERAGE(OFFSET($AM$3,0,0,'Données projet'!$E$10+1,1))-AVERAGE(OFFSET($H$3,0,0,'Données projet'!$E$10+1,1))</f>
        <v>380.01621935031324</v>
      </c>
      <c r="AO106" s="62">
        <f t="shared" si="90"/>
        <v>365.76175372075869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3.0868510128251625</v>
      </c>
      <c r="AW106" s="23">
        <f>EXP(-LN(2)/2)*AW105+(1-EXP(-LN(2)/2))/(LN(2)/2)*AQ106*AT106*VLOOKUP('Données projet'!$B$10,Paramètres!$A$1:$I$89,3,0)*0.475*44/12</f>
        <v>1.5261136706040429E-10</v>
      </c>
      <c r="AX106" s="23">
        <f t="shared" si="60"/>
        <v>3.0868510129777738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-5.6843418860808015E-14</v>
      </c>
      <c r="BE106" s="14">
        <f>BD106*VLOOKUP('Données projet'!$B$11,Paramètres!$A$1:$I$89,3,0)*VLOOKUP('Données projet'!$B$11,Paramètres!$A$1:$I$89,5,0)</f>
        <v>-4.9658410716801891E-14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303.33040062722074</v>
      </c>
      <c r="BJ106" s="62">
        <f t="shared" si="92"/>
        <v>425.30058672361548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2.5187008394728077</v>
      </c>
      <c r="BR106" s="23">
        <f>EXP(-LN(2)/2)*BR105+(1-EXP(-LN(2)/2))/(LN(2)/2)*BL106*BO106*VLOOKUP('Données projet'!$B$11,Paramètres!$A$1:$I$89,3,0)*0.475*44/12</f>
        <v>1.7302236508890168E-10</v>
      </c>
      <c r="BS106" s="24">
        <f t="shared" si="63"/>
        <v>2.5187008396458301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349.9999999999996</v>
      </c>
      <c r="O107" s="14">
        <f>N107*VLOOKUP('Données projet'!$B$9,Paramètres!$A$1:$I$89,3,0)*VLOOKUP('Données projet'!$B$9,Paramètres!$A$1:$I$89,5,0)</f>
        <v>278.4599999999997</v>
      </c>
      <c r="P107" s="14">
        <f t="shared" si="87"/>
        <v>66.641458222154824</v>
      </c>
      <c r="Q107" s="22">
        <f t="shared" si="107"/>
        <v>601.05170640358574</v>
      </c>
      <c r="R107" s="62">
        <f t="shared" si="55"/>
        <v>894.385039736919</v>
      </c>
      <c r="S107" s="62">
        <f ca="1">AVERAGE(OFFSET($R$3,0,0,'Données projet'!$E$9+1,1))-AVERAGE(OFFSET($H$3,0,0,'Données projet'!$E$9+1,1))</f>
        <v>354.56491118410622</v>
      </c>
      <c r="T107" s="62">
        <f t="shared" si="88"/>
        <v>343.77208530767069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3.2991212949509983</v>
      </c>
      <c r="AB107" s="23">
        <f>EXP(-LN(2)/2)*AB106+(1-EXP(-LN(2)/2))/(LN(2)/2)*V107*Y107*VLOOKUP('Données projet'!$B$9,Paramètres!$A$1:$I$89,3,0)*0.475*44/12</f>
        <v>9.7526170676471469E-11</v>
      </c>
      <c r="AC107" s="24">
        <f t="shared" si="57"/>
        <v>3.2991212950485242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417.99999999999972</v>
      </c>
      <c r="AJ107" s="14">
        <f>AI107*VLOOKUP('Données projet'!$B$10,Paramètres!$A$1:$I$89,3,0)*VLOOKUP('Données projet'!$B$10,Paramètres!$A$1:$I$89,5,0)</f>
        <v>306.47759999999982</v>
      </c>
      <c r="AK107" s="14">
        <f t="shared" si="89"/>
        <v>72.532724321633353</v>
      </c>
      <c r="AL107" s="22">
        <f t="shared" si="58"/>
        <v>660.10964819351113</v>
      </c>
      <c r="AM107" s="62">
        <f t="shared" si="59"/>
        <v>953.44298152684451</v>
      </c>
      <c r="AN107" s="62">
        <f ca="1">AVERAGE(OFFSET($AM$3,0,0,'Données projet'!$E$10+1,1))-AVERAGE(OFFSET($H$3,0,0,'Données projet'!$E$10+1,1))</f>
        <v>380.01621935031324</v>
      </c>
      <c r="AO107" s="62">
        <f t="shared" si="90"/>
        <v>365.76175372075869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3.0024409095490188</v>
      </c>
      <c r="AW107" s="23">
        <f>EXP(-LN(2)/2)*AW106+(1-EXP(-LN(2)/2))/(LN(2)/2)*AQ107*AT107*VLOOKUP('Données projet'!$B$10,Paramètres!$A$1:$I$89,3,0)*0.475*44/12</f>
        <v>1.0791253253456119E-10</v>
      </c>
      <c r="AX107" s="23">
        <f t="shared" si="60"/>
        <v>3.0024409096569311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-5.6843418860808015E-14</v>
      </c>
      <c r="BE107" s="14">
        <f>BD107*VLOOKUP('Données projet'!$B$11,Paramètres!$A$1:$I$89,3,0)*VLOOKUP('Données projet'!$B$11,Paramètres!$A$1:$I$89,5,0)</f>
        <v>-4.9658410716801891E-14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303.33040062722074</v>
      </c>
      <c r="BJ107" s="62">
        <f t="shared" si="92"/>
        <v>425.30058672361548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2.4498268325647032</v>
      </c>
      <c r="BR107" s="23">
        <f>EXP(-LN(2)/2)*BR106+(1-EXP(-LN(2)/2))/(LN(2)/2)*BL107*BO107*VLOOKUP('Données projet'!$B$11,Paramètres!$A$1:$I$89,3,0)*0.475*44/12</f>
        <v>1.2234528765129694E-10</v>
      </c>
      <c r="BS107" s="24">
        <f t="shared" si="63"/>
        <v>2.4498268326870485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349.9999999999996</v>
      </c>
      <c r="O108" s="14">
        <f>N108*VLOOKUP('Données projet'!$B$9,Paramètres!$A$1:$I$89,3,0)*VLOOKUP('Données projet'!$B$9,Paramètres!$A$1:$I$89,5,0)</f>
        <v>278.4599999999997</v>
      </c>
      <c r="P108" s="14">
        <f t="shared" si="87"/>
        <v>66.641458222154824</v>
      </c>
      <c r="Q108" s="22">
        <f t="shared" si="107"/>
        <v>601.05170640358574</v>
      </c>
      <c r="R108" s="62">
        <f t="shared" si="55"/>
        <v>894.385039736919</v>
      </c>
      <c r="S108" s="62">
        <f ca="1">AVERAGE(OFFSET($R$3,0,0,'Données projet'!$E$9+1,1))-AVERAGE(OFFSET($H$3,0,0,'Données projet'!$E$9+1,1))</f>
        <v>354.56491118410622</v>
      </c>
      <c r="T108" s="62">
        <f t="shared" si="88"/>
        <v>343.77208530767069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3.2089066496473144</v>
      </c>
      <c r="AB108" s="23">
        <f>EXP(-LN(2)/2)*AB107+(1-EXP(-LN(2)/2))/(LN(2)/2)*V108*Y108*VLOOKUP('Données projet'!$B$9,Paramètres!$A$1:$I$89,3,0)*0.475*44/12</f>
        <v>6.8961416628489597E-11</v>
      </c>
      <c r="AC108" s="24">
        <f t="shared" si="57"/>
        <v>3.2089066497162757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417.99999999999972</v>
      </c>
      <c r="AJ108" s="14">
        <f>AI108*VLOOKUP('Données projet'!$B$10,Paramètres!$A$1:$I$89,3,0)*VLOOKUP('Données projet'!$B$10,Paramètres!$A$1:$I$89,5,0)</f>
        <v>306.47759999999982</v>
      </c>
      <c r="AK108" s="14">
        <f t="shared" si="89"/>
        <v>72.532724321633353</v>
      </c>
      <c r="AL108" s="22">
        <f t="shared" si="58"/>
        <v>660.10964819351113</v>
      </c>
      <c r="AM108" s="62">
        <f t="shared" si="59"/>
        <v>953.44298152684451</v>
      </c>
      <c r="AN108" s="62">
        <f ca="1">AVERAGE(OFFSET($AM$3,0,0,'Données projet'!$E$10+1,1))-AVERAGE(OFFSET($H$3,0,0,'Données projet'!$E$10+1,1))</f>
        <v>380.01621935031324</v>
      </c>
      <c r="AO108" s="62">
        <f t="shared" si="90"/>
        <v>365.76175372075869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2.9203390049858955</v>
      </c>
      <c r="AW108" s="23">
        <f>EXP(-LN(2)/2)*AW107+(1-EXP(-LN(2)/2))/(LN(2)/2)*AQ108*AT108*VLOOKUP('Données projet'!$B$10,Paramètres!$A$1:$I$89,3,0)*0.475*44/12</f>
        <v>7.6305683530202147E-11</v>
      </c>
      <c r="AX108" s="23">
        <f t="shared" si="60"/>
        <v>2.9203390050622011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-5.6843418860808015E-14</v>
      </c>
      <c r="BE108" s="14">
        <f>BD108*VLOOKUP('Données projet'!$B$11,Paramètres!$A$1:$I$89,3,0)*VLOOKUP('Données projet'!$B$11,Paramètres!$A$1:$I$89,5,0)</f>
        <v>-4.9658410716801891E-14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303.33040062722074</v>
      </c>
      <c r="BJ108" s="62">
        <f t="shared" si="92"/>
        <v>425.30058672361548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2.3828361889974277</v>
      </c>
      <c r="BR108" s="23">
        <f>EXP(-LN(2)/2)*BR107+(1-EXP(-LN(2)/2))/(LN(2)/2)*BL108*BO108*VLOOKUP('Données projet'!$B$11,Paramètres!$A$1:$I$89,3,0)*0.475*44/12</f>
        <v>8.6511182544450839E-11</v>
      </c>
      <c r="BS108" s="24">
        <f t="shared" si="63"/>
        <v>2.3828361890839389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349.9999999999996</v>
      </c>
      <c r="O109" s="14">
        <f>N109*VLOOKUP('Données projet'!$B$9,Paramètres!$A$1:$I$89,3,0)*VLOOKUP('Données projet'!$B$9,Paramètres!$A$1:$I$89,5,0)</f>
        <v>278.4599999999997</v>
      </c>
      <c r="P109" s="14">
        <f t="shared" si="87"/>
        <v>66.641458222154824</v>
      </c>
      <c r="Q109" s="22">
        <f t="shared" si="107"/>
        <v>601.05170640358574</v>
      </c>
      <c r="R109" s="62">
        <f t="shared" si="55"/>
        <v>894.385039736919</v>
      </c>
      <c r="S109" s="62">
        <f ca="1">AVERAGE(OFFSET($R$3,0,0,'Données projet'!$E$9+1,1))-AVERAGE(OFFSET($H$3,0,0,'Données projet'!$E$9+1,1))</f>
        <v>354.56491118410622</v>
      </c>
      <c r="T109" s="62">
        <f t="shared" si="88"/>
        <v>343.77208530767069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3.1211589285636419</v>
      </c>
      <c r="AB109" s="23">
        <f>EXP(-LN(2)/2)*AB108+(1-EXP(-LN(2)/2))/(LN(2)/2)*V109*Y109*VLOOKUP('Données projet'!$B$9,Paramètres!$A$1:$I$89,3,0)*0.475*44/12</f>
        <v>4.8763085338235734E-11</v>
      </c>
      <c r="AC109" s="24">
        <f t="shared" si="57"/>
        <v>3.1211589286124051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417.99999999999972</v>
      </c>
      <c r="AJ109" s="14">
        <f>AI109*VLOOKUP('Données projet'!$B$10,Paramètres!$A$1:$I$89,3,0)*VLOOKUP('Données projet'!$B$10,Paramètres!$A$1:$I$89,5,0)</f>
        <v>306.47759999999982</v>
      </c>
      <c r="AK109" s="14">
        <f t="shared" si="89"/>
        <v>72.532724321633353</v>
      </c>
      <c r="AL109" s="22">
        <f t="shared" si="58"/>
        <v>660.10964819351113</v>
      </c>
      <c r="AM109" s="62">
        <f t="shared" si="59"/>
        <v>953.44298152684451</v>
      </c>
      <c r="AN109" s="62">
        <f ca="1">AVERAGE(OFFSET($AM$3,0,0,'Données projet'!$E$10+1,1))-AVERAGE(OFFSET($H$3,0,0,'Données projet'!$E$10+1,1))</f>
        <v>380.01621935031324</v>
      </c>
      <c r="AO109" s="62">
        <f t="shared" si="90"/>
        <v>365.76175372075869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2.8404821813206023</v>
      </c>
      <c r="AW109" s="23">
        <f>EXP(-LN(2)/2)*AW108+(1-EXP(-LN(2)/2))/(LN(2)/2)*AQ109*AT109*VLOOKUP('Données projet'!$B$10,Paramètres!$A$1:$I$89,3,0)*0.475*44/12</f>
        <v>5.3956266267280593E-11</v>
      </c>
      <c r="AX109" s="23">
        <f t="shared" si="60"/>
        <v>2.8404821813745587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-5.6843418860808015E-14</v>
      </c>
      <c r="BE109" s="14">
        <f>BD109*VLOOKUP('Données projet'!$B$11,Paramètres!$A$1:$I$89,3,0)*VLOOKUP('Données projet'!$B$11,Paramètres!$A$1:$I$89,5,0)</f>
        <v>-4.9658410716801891E-14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303.33040062722074</v>
      </c>
      <c r="BJ109" s="62">
        <f t="shared" si="92"/>
        <v>425.30058672361548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2.317677408101384</v>
      </c>
      <c r="BR109" s="23">
        <f>EXP(-LN(2)/2)*BR108+(1-EXP(-LN(2)/2))/(LN(2)/2)*BL109*BO109*VLOOKUP('Données projet'!$B$11,Paramètres!$A$1:$I$89,3,0)*0.475*44/12</f>
        <v>6.1172643825648468E-11</v>
      </c>
      <c r="BS109" s="24">
        <f t="shared" si="63"/>
        <v>2.3176774081625569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349.9999999999996</v>
      </c>
      <c r="O110" s="14">
        <f>N110*VLOOKUP('Données projet'!$B$9,Paramètres!$A$1:$I$89,3,0)*VLOOKUP('Données projet'!$B$9,Paramètres!$A$1:$I$89,5,0)</f>
        <v>278.4599999999997</v>
      </c>
      <c r="P110" s="14">
        <f t="shared" si="87"/>
        <v>66.641458222154824</v>
      </c>
      <c r="Q110" s="22">
        <f t="shared" si="107"/>
        <v>601.05170640358574</v>
      </c>
      <c r="R110" s="62">
        <f t="shared" si="55"/>
        <v>894.385039736919</v>
      </c>
      <c r="S110" s="62">
        <f ca="1">AVERAGE(OFFSET($R$3,0,0,'Données projet'!$E$9+1,1))-AVERAGE(OFFSET($H$3,0,0,'Données projet'!$E$9+1,1))</f>
        <v>354.56491118410622</v>
      </c>
      <c r="T110" s="62">
        <f t="shared" si="88"/>
        <v>343.77208530767069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3.0358106735274544</v>
      </c>
      <c r="AB110" s="23">
        <f>EXP(-LN(2)/2)*AB109+(1-EXP(-LN(2)/2))/(LN(2)/2)*V110*Y110*VLOOKUP('Données projet'!$B$9,Paramètres!$A$1:$I$89,3,0)*0.475*44/12</f>
        <v>3.4480708314244798E-11</v>
      </c>
      <c r="AC110" s="24">
        <f t="shared" si="57"/>
        <v>3.0358106735619352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417.99999999999972</v>
      </c>
      <c r="AJ110" s="14">
        <f>AI110*VLOOKUP('Données projet'!$B$10,Paramètres!$A$1:$I$89,3,0)*VLOOKUP('Données projet'!$B$10,Paramètres!$A$1:$I$89,5,0)</f>
        <v>306.47759999999982</v>
      </c>
      <c r="AK110" s="14">
        <f t="shared" si="89"/>
        <v>72.532724321633353</v>
      </c>
      <c r="AL110" s="22">
        <f t="shared" si="58"/>
        <v>660.10964819351113</v>
      </c>
      <c r="AM110" s="62">
        <f t="shared" si="59"/>
        <v>953.44298152684451</v>
      </c>
      <c r="AN110" s="62">
        <f ca="1">AVERAGE(OFFSET($AM$3,0,0,'Données projet'!$E$10+1,1))-AVERAGE(OFFSET($H$3,0,0,'Données projet'!$E$10+1,1))</f>
        <v>380.01621935031324</v>
      </c>
      <c r="AO110" s="62">
        <f t="shared" si="90"/>
        <v>365.76175372075869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2.7628090466979245</v>
      </c>
      <c r="AW110" s="23">
        <f>EXP(-LN(2)/2)*AW109+(1-EXP(-LN(2)/2))/(LN(2)/2)*AQ110*AT110*VLOOKUP('Données projet'!$B$10,Paramètres!$A$1:$I$89,3,0)*0.475*44/12</f>
        <v>3.8152841765101073E-11</v>
      </c>
      <c r="AX110" s="23">
        <f t="shared" si="60"/>
        <v>2.7628090467360775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-5.6843418860808015E-14</v>
      </c>
      <c r="BE110" s="14">
        <f>BD110*VLOOKUP('Données projet'!$B$11,Paramètres!$A$1:$I$89,3,0)*VLOOKUP('Données projet'!$B$11,Paramètres!$A$1:$I$89,5,0)</f>
        <v>-4.9658410716801891E-14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303.33040062722074</v>
      </c>
      <c r="BJ110" s="62">
        <f t="shared" si="92"/>
        <v>425.30058672361548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2.254300397495494</v>
      </c>
      <c r="BR110" s="23">
        <f>EXP(-LN(2)/2)*BR109+(1-EXP(-LN(2)/2))/(LN(2)/2)*BL110*BO110*VLOOKUP('Données projet'!$B$11,Paramètres!$A$1:$I$89,3,0)*0.475*44/12</f>
        <v>4.325559127222542E-11</v>
      </c>
      <c r="BS110" s="24">
        <f t="shared" si="63"/>
        <v>2.2543003975387497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349.9999999999996</v>
      </c>
      <c r="O111" s="14">
        <f>N111*VLOOKUP('Données projet'!$B$9,Paramètres!$A$1:$I$89,3,0)*VLOOKUP('Données projet'!$B$9,Paramètres!$A$1:$I$89,5,0)</f>
        <v>278.4599999999997</v>
      </c>
      <c r="P111" s="14">
        <f t="shared" si="87"/>
        <v>66.641458222154824</v>
      </c>
      <c r="Q111" s="22">
        <f t="shared" si="107"/>
        <v>601.05170640358574</v>
      </c>
      <c r="R111" s="62">
        <f t="shared" si="55"/>
        <v>894.385039736919</v>
      </c>
      <c r="S111" s="62">
        <f ca="1">AVERAGE(OFFSET($R$3,0,0,'Données projet'!$E$9+1,1))-AVERAGE(OFFSET($H$3,0,0,'Données projet'!$E$9+1,1))</f>
        <v>354.56491118410622</v>
      </c>
      <c r="T111" s="62">
        <f t="shared" si="88"/>
        <v>343.77208530767069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2.9527962710135012</v>
      </c>
      <c r="AB111" s="23">
        <f>EXP(-LN(2)/2)*AB110+(1-EXP(-LN(2)/2))/(LN(2)/2)*V111*Y111*VLOOKUP('Données projet'!$B$9,Paramètres!$A$1:$I$89,3,0)*0.475*44/12</f>
        <v>2.4381542669117867E-11</v>
      </c>
      <c r="AC111" s="24">
        <f t="shared" si="57"/>
        <v>2.9527962710378826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417.99999999999972</v>
      </c>
      <c r="AJ111" s="14">
        <f>AI111*VLOOKUP('Données projet'!$B$10,Paramètres!$A$1:$I$89,3,0)*VLOOKUP('Données projet'!$B$10,Paramètres!$A$1:$I$89,5,0)</f>
        <v>306.47759999999982</v>
      </c>
      <c r="AK111" s="14">
        <f t="shared" si="89"/>
        <v>72.532724321633353</v>
      </c>
      <c r="AL111" s="22">
        <f t="shared" si="58"/>
        <v>660.10964819351113</v>
      </c>
      <c r="AM111" s="62">
        <f t="shared" si="59"/>
        <v>953.44298152684451</v>
      </c>
      <c r="AN111" s="62">
        <f ca="1">AVERAGE(OFFSET($AM$3,0,0,'Données projet'!$E$10+1,1))-AVERAGE(OFFSET($H$3,0,0,'Données projet'!$E$10+1,1))</f>
        <v>380.01621935031324</v>
      </c>
      <c r="AO111" s="62">
        <f t="shared" si="90"/>
        <v>365.76175372075869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2.6872598880261567</v>
      </c>
      <c r="AW111" s="23">
        <f>EXP(-LN(2)/2)*AW110+(1-EXP(-LN(2)/2))/(LN(2)/2)*AQ111*AT111*VLOOKUP('Données projet'!$B$10,Paramètres!$A$1:$I$89,3,0)*0.475*44/12</f>
        <v>2.6978133133640297E-11</v>
      </c>
      <c r="AX111" s="23">
        <f t="shared" si="60"/>
        <v>2.6872598880531346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-5.6843418860808015E-14</v>
      </c>
      <c r="BE111" s="14">
        <f>BD111*VLOOKUP('Données projet'!$B$11,Paramètres!$A$1:$I$89,3,0)*VLOOKUP('Données projet'!$B$11,Paramètres!$A$1:$I$89,5,0)</f>
        <v>-4.9658410716801891E-14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303.33040062722074</v>
      </c>
      <c r="BJ111" s="62">
        <f t="shared" si="92"/>
        <v>425.30058672361548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2.1926564345774739</v>
      </c>
      <c r="BR111" s="23">
        <f>EXP(-LN(2)/2)*BR110+(1-EXP(-LN(2)/2))/(LN(2)/2)*BL111*BO111*VLOOKUP('Données projet'!$B$11,Paramètres!$A$1:$I$89,3,0)*0.475*44/12</f>
        <v>3.0586321912824234E-11</v>
      </c>
      <c r="BS111" s="24">
        <f t="shared" si="63"/>
        <v>2.1926564346080601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349.9999999999996</v>
      </c>
      <c r="O112" s="14">
        <f>N112*VLOOKUP('Données projet'!$B$9,Paramètres!$A$1:$I$89,3,0)*VLOOKUP('Données projet'!$B$9,Paramètres!$A$1:$I$89,5,0)</f>
        <v>278.4599999999997</v>
      </c>
      <c r="P112" s="14">
        <f t="shared" si="87"/>
        <v>66.641458222154824</v>
      </c>
      <c r="Q112" s="22">
        <f t="shared" si="107"/>
        <v>601.05170640358574</v>
      </c>
      <c r="R112" s="62">
        <f t="shared" si="55"/>
        <v>894.385039736919</v>
      </c>
      <c r="S112" s="62">
        <f ca="1">AVERAGE(OFFSET($R$3,0,0,'Données projet'!$E$9+1,1))-AVERAGE(OFFSET($H$3,0,0,'Données projet'!$E$9+1,1))</f>
        <v>354.56491118410622</v>
      </c>
      <c r="T112" s="62">
        <f t="shared" si="88"/>
        <v>343.77208530767069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2.87205190170183</v>
      </c>
      <c r="AB112" s="23">
        <f>EXP(-LN(2)/2)*AB111+(1-EXP(-LN(2)/2))/(LN(2)/2)*V112*Y112*VLOOKUP('Données projet'!$B$9,Paramètres!$A$1:$I$89,3,0)*0.475*44/12</f>
        <v>1.7240354157122399E-11</v>
      </c>
      <c r="AC112" s="24">
        <f t="shared" si="57"/>
        <v>2.8720519017190704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417.99999999999972</v>
      </c>
      <c r="AJ112" s="14">
        <f>AI112*VLOOKUP('Données projet'!$B$10,Paramètres!$A$1:$I$89,3,0)*VLOOKUP('Données projet'!$B$10,Paramètres!$A$1:$I$89,5,0)</f>
        <v>306.47759999999982</v>
      </c>
      <c r="AK112" s="14">
        <f t="shared" si="89"/>
        <v>72.532724321633353</v>
      </c>
      <c r="AL112" s="22">
        <f t="shared" si="58"/>
        <v>660.10964819351113</v>
      </c>
      <c r="AM112" s="62">
        <f t="shared" si="59"/>
        <v>953.44298152684451</v>
      </c>
      <c r="AN112" s="62">
        <f ca="1">AVERAGE(OFFSET($AM$3,0,0,'Données projet'!$E$10+1,1))-AVERAGE(OFFSET($H$3,0,0,'Données projet'!$E$10+1,1))</f>
        <v>380.01621935031324</v>
      </c>
      <c r="AO112" s="62">
        <f t="shared" si="90"/>
        <v>365.76175372075869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2.6137766250712255</v>
      </c>
      <c r="AW112" s="23">
        <f>EXP(-LN(2)/2)*AW111+(1-EXP(-LN(2)/2))/(LN(2)/2)*AQ112*AT112*VLOOKUP('Données projet'!$B$10,Paramètres!$A$1:$I$89,3,0)*0.475*44/12</f>
        <v>1.9076420882550537E-11</v>
      </c>
      <c r="AX112" s="23">
        <f t="shared" si="60"/>
        <v>2.6137766250903018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-5.6843418860808015E-14</v>
      </c>
      <c r="BE112" s="14">
        <f>BD112*VLOOKUP('Données projet'!$B$11,Paramètres!$A$1:$I$89,3,0)*VLOOKUP('Données projet'!$B$11,Paramètres!$A$1:$I$89,5,0)</f>
        <v>-4.9658410716801891E-14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303.33040062722074</v>
      </c>
      <c r="BJ112" s="62">
        <f t="shared" si="92"/>
        <v>425.30058672361548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2.1326981290671623</v>
      </c>
      <c r="BR112" s="23">
        <f>EXP(-LN(2)/2)*BR111+(1-EXP(-LN(2)/2))/(LN(2)/2)*BL112*BO112*VLOOKUP('Données projet'!$B$11,Paramètres!$A$1:$I$89,3,0)*0.475*44/12</f>
        <v>2.162779563611271E-11</v>
      </c>
      <c r="BS112" s="24">
        <f t="shared" si="63"/>
        <v>2.1326981290887899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349.9999999999996</v>
      </c>
      <c r="O113" s="14">
        <f>N113*VLOOKUP('Données projet'!$B$9,Paramètres!$A$1:$I$89,3,0)*VLOOKUP('Données projet'!$B$9,Paramètres!$A$1:$I$89,5,0)</f>
        <v>278.4599999999997</v>
      </c>
      <c r="P113" s="14">
        <f t="shared" si="87"/>
        <v>66.641458222154824</v>
      </c>
      <c r="Q113" s="22">
        <f t="shared" si="107"/>
        <v>601.05170640358574</v>
      </c>
      <c r="R113" s="62">
        <f t="shared" si="55"/>
        <v>894.385039736919</v>
      </c>
      <c r="S113" s="62">
        <f ca="1">AVERAGE(OFFSET($R$3,0,0,'Données projet'!$E$9+1,1))-AVERAGE(OFFSET($H$3,0,0,'Données projet'!$E$9+1,1))</f>
        <v>354.56491118410622</v>
      </c>
      <c r="T113" s="62">
        <f t="shared" si="88"/>
        <v>343.77208530767069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2.7935154914151483</v>
      </c>
      <c r="AB113" s="23">
        <f>EXP(-LN(2)/2)*AB112+(1-EXP(-LN(2)/2))/(LN(2)/2)*V113*Y113*VLOOKUP('Données projet'!$B$9,Paramètres!$A$1:$I$89,3,0)*0.475*44/12</f>
        <v>1.2190771334558934E-11</v>
      </c>
      <c r="AC113" s="24">
        <f t="shared" si="57"/>
        <v>2.793515491427339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417.99999999999972</v>
      </c>
      <c r="AJ113" s="14">
        <f>AI113*VLOOKUP('Données projet'!$B$10,Paramètres!$A$1:$I$89,3,0)*VLOOKUP('Données projet'!$B$10,Paramètres!$A$1:$I$89,5,0)</f>
        <v>306.47759999999982</v>
      </c>
      <c r="AK113" s="14">
        <f t="shared" si="89"/>
        <v>72.532724321633353</v>
      </c>
      <c r="AL113" s="22">
        <f t="shared" si="58"/>
        <v>660.10964819351113</v>
      </c>
      <c r="AM113" s="62">
        <f t="shared" si="59"/>
        <v>953.44298152684451</v>
      </c>
      <c r="AN113" s="62">
        <f ca="1">AVERAGE(OFFSET($AM$3,0,0,'Données projet'!$E$10+1,1))-AVERAGE(OFFSET($H$3,0,0,'Données projet'!$E$10+1,1))</f>
        <v>380.01621935031324</v>
      </c>
      <c r="AO113" s="62">
        <f t="shared" si="90"/>
        <v>365.76175372075869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2.5423027658061139</v>
      </c>
      <c r="AW113" s="23">
        <f>EXP(-LN(2)/2)*AW112+(1-EXP(-LN(2)/2))/(LN(2)/2)*AQ113*AT113*VLOOKUP('Données projet'!$B$10,Paramètres!$A$1:$I$89,3,0)*0.475*44/12</f>
        <v>1.3489066566820148E-11</v>
      </c>
      <c r="AX113" s="23">
        <f t="shared" si="60"/>
        <v>2.5423027658196031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-5.6843418860808015E-14</v>
      </c>
      <c r="BE113" s="14">
        <f>BD113*VLOOKUP('Données projet'!$B$11,Paramètres!$A$1:$I$89,3,0)*VLOOKUP('Données projet'!$B$11,Paramètres!$A$1:$I$89,5,0)</f>
        <v>-4.9658410716801891E-14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303.33040062722074</v>
      </c>
      <c r="BJ113" s="62">
        <f t="shared" si="92"/>
        <v>425.30058672361548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2.0743793865741003</v>
      </c>
      <c r="BR113" s="23">
        <f>EXP(-LN(2)/2)*BR112+(1-EXP(-LN(2)/2))/(LN(2)/2)*BL113*BO113*VLOOKUP('Données projet'!$B$11,Paramètres!$A$1:$I$89,3,0)*0.475*44/12</f>
        <v>1.5293160956412117E-11</v>
      </c>
      <c r="BS113" s="24">
        <f t="shared" si="63"/>
        <v>2.0743793865893934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349.9999999999996</v>
      </c>
      <c r="O114" s="14">
        <f>N114*VLOOKUP('Données projet'!$B$9,Paramètres!$A$1:$I$89,3,0)*VLOOKUP('Données projet'!$B$9,Paramètres!$A$1:$I$89,5,0)</f>
        <v>278.4599999999997</v>
      </c>
      <c r="P114" s="14">
        <f t="shared" si="87"/>
        <v>66.641458222154824</v>
      </c>
      <c r="Q114" s="22">
        <f t="shared" si="107"/>
        <v>601.05170640358574</v>
      </c>
      <c r="R114" s="62">
        <f t="shared" si="55"/>
        <v>894.385039736919</v>
      </c>
      <c r="S114" s="62">
        <f ca="1">AVERAGE(OFFSET($R$3,0,0,'Données projet'!$E$9+1,1))-AVERAGE(OFFSET($H$3,0,0,'Données projet'!$E$9+1,1))</f>
        <v>354.56491118410622</v>
      </c>
      <c r="T114" s="62">
        <f t="shared" si="88"/>
        <v>343.77208530767069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2.717126663397806</v>
      </c>
      <c r="AB114" s="23">
        <f>EXP(-LN(2)/2)*AB113+(1-EXP(-LN(2)/2))/(LN(2)/2)*V114*Y114*VLOOKUP('Données projet'!$B$9,Paramètres!$A$1:$I$89,3,0)*0.475*44/12</f>
        <v>8.6201770785611996E-12</v>
      </c>
      <c r="AC114" s="24">
        <f t="shared" si="57"/>
        <v>2.7171266634064262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417.99999999999972</v>
      </c>
      <c r="AJ114" s="14">
        <f>AI114*VLOOKUP('Données projet'!$B$10,Paramètres!$A$1:$I$89,3,0)*VLOOKUP('Données projet'!$B$10,Paramètres!$A$1:$I$89,5,0)</f>
        <v>306.47759999999982</v>
      </c>
      <c r="AK114" s="14">
        <f t="shared" si="89"/>
        <v>72.532724321633353</v>
      </c>
      <c r="AL114" s="22">
        <f t="shared" si="58"/>
        <v>660.10964819351113</v>
      </c>
      <c r="AM114" s="62">
        <f t="shared" si="59"/>
        <v>953.44298152684451</v>
      </c>
      <c r="AN114" s="62">
        <f ca="1">AVERAGE(OFFSET($AM$3,0,0,'Données projet'!$E$10+1,1))-AVERAGE(OFFSET($H$3,0,0,'Données projet'!$E$10+1,1))</f>
        <v>380.01621935031324</v>
      </c>
      <c r="AO114" s="62">
        <f t="shared" si="90"/>
        <v>365.76175372075869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2.4727833629812537</v>
      </c>
      <c r="AW114" s="23">
        <f>EXP(-LN(2)/2)*AW113+(1-EXP(-LN(2)/2))/(LN(2)/2)*AQ114*AT114*VLOOKUP('Données projet'!$B$10,Paramètres!$A$1:$I$89,3,0)*0.475*44/12</f>
        <v>9.5382104412752683E-12</v>
      </c>
      <c r="AX114" s="23">
        <f t="shared" si="60"/>
        <v>2.4727833629907918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-5.6843418860808015E-14</v>
      </c>
      <c r="BE114" s="14">
        <f>BD114*VLOOKUP('Données projet'!$B$11,Paramètres!$A$1:$I$89,3,0)*VLOOKUP('Données projet'!$B$11,Paramètres!$A$1:$I$89,5,0)</f>
        <v>-4.9658410716801891E-14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303.33040062722074</v>
      </c>
      <c r="BJ114" s="62">
        <f t="shared" si="92"/>
        <v>425.30058672361548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2.0176553731613605</v>
      </c>
      <c r="BR114" s="23">
        <f>EXP(-LN(2)/2)*BR113+(1-EXP(-LN(2)/2))/(LN(2)/2)*BL114*BO114*VLOOKUP('Données projet'!$B$11,Paramètres!$A$1:$I$89,3,0)*0.475*44/12</f>
        <v>1.0813897818056355E-11</v>
      </c>
      <c r="BS114" s="24">
        <f t="shared" si="63"/>
        <v>2.0176553731721745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349.9999999999996</v>
      </c>
      <c r="O115" s="14">
        <f>N115*VLOOKUP('Données projet'!$B$9,Paramètres!$A$1:$I$89,3,0)*VLOOKUP('Données projet'!$B$9,Paramètres!$A$1:$I$89,5,0)</f>
        <v>278.4599999999997</v>
      </c>
      <c r="P115" s="14">
        <f t="shared" si="87"/>
        <v>66.641458222154824</v>
      </c>
      <c r="Q115" s="22">
        <f t="shared" si="107"/>
        <v>601.05170640358574</v>
      </c>
      <c r="R115" s="62">
        <f t="shared" si="55"/>
        <v>894.385039736919</v>
      </c>
      <c r="S115" s="62">
        <f ca="1">AVERAGE(OFFSET($R$3,0,0,'Données projet'!$E$9+1,1))-AVERAGE(OFFSET($H$3,0,0,'Données projet'!$E$9+1,1))</f>
        <v>354.56491118410622</v>
      </c>
      <c r="T115" s="62">
        <f t="shared" si="88"/>
        <v>343.77208530767069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2.6428266918997116</v>
      </c>
      <c r="AB115" s="23">
        <f>EXP(-LN(2)/2)*AB114+(1-EXP(-LN(2)/2))/(LN(2)/2)*V115*Y115*VLOOKUP('Données projet'!$B$9,Paramètres!$A$1:$I$89,3,0)*0.475*44/12</f>
        <v>6.0953856672794668E-12</v>
      </c>
      <c r="AC115" s="24">
        <f t="shared" si="57"/>
        <v>2.6428266919058072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417.99999999999972</v>
      </c>
      <c r="AJ115" s="14">
        <f>AI115*VLOOKUP('Données projet'!$B$10,Paramètres!$A$1:$I$89,3,0)*VLOOKUP('Données projet'!$B$10,Paramètres!$A$1:$I$89,5,0)</f>
        <v>306.47759999999982</v>
      </c>
      <c r="AK115" s="14">
        <f t="shared" si="89"/>
        <v>72.532724321633353</v>
      </c>
      <c r="AL115" s="22">
        <f t="shared" si="58"/>
        <v>660.10964819351113</v>
      </c>
      <c r="AM115" s="62">
        <f t="shared" si="59"/>
        <v>953.44298152684451</v>
      </c>
      <c r="AN115" s="62">
        <f ca="1">AVERAGE(OFFSET($AM$3,0,0,'Données projet'!$E$10+1,1))-AVERAGE(OFFSET($H$3,0,0,'Données projet'!$E$10+1,1))</f>
        <v>380.01621935031324</v>
      </c>
      <c r="AO115" s="62">
        <f t="shared" si="90"/>
        <v>365.76175372075869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2.4051649718825057</v>
      </c>
      <c r="AW115" s="23">
        <f>EXP(-LN(2)/2)*AW114+(1-EXP(-LN(2)/2))/(LN(2)/2)*AQ115*AT115*VLOOKUP('Données projet'!$B$10,Paramètres!$A$1:$I$89,3,0)*0.475*44/12</f>
        <v>6.7445332834100741E-12</v>
      </c>
      <c r="AX115" s="23">
        <f t="shared" si="60"/>
        <v>2.40516497188925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-5.6843418860808015E-14</v>
      </c>
      <c r="BE115" s="14">
        <f>BD115*VLOOKUP('Données projet'!$B$11,Paramètres!$A$1:$I$89,3,0)*VLOOKUP('Données projet'!$B$11,Paramètres!$A$1:$I$89,5,0)</f>
        <v>-4.9658410716801891E-14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303.33040062722074</v>
      </c>
      <c r="BJ115" s="62">
        <f t="shared" si="92"/>
        <v>425.30058672361548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1.9624824808783783</v>
      </c>
      <c r="BR115" s="23">
        <f>EXP(-LN(2)/2)*BR114+(1-EXP(-LN(2)/2))/(LN(2)/2)*BL115*BO115*VLOOKUP('Données projet'!$B$11,Paramètres!$A$1:$I$89,3,0)*0.475*44/12</f>
        <v>7.6465804782060585E-12</v>
      </c>
      <c r="BS115" s="24">
        <f t="shared" si="63"/>
        <v>1.9624824808860248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349.9999999999996</v>
      </c>
      <c r="O116" s="14">
        <f>N116*VLOOKUP('Données projet'!$B$9,Paramètres!$A$1:$I$89,3,0)*VLOOKUP('Données projet'!$B$9,Paramètres!$A$1:$I$89,5,0)</f>
        <v>278.4599999999997</v>
      </c>
      <c r="P116" s="14">
        <f t="shared" si="87"/>
        <v>66.641458222154824</v>
      </c>
      <c r="Q116" s="22">
        <f t="shared" si="107"/>
        <v>601.05170640358574</v>
      </c>
      <c r="R116" s="62">
        <f t="shared" si="55"/>
        <v>894.385039736919</v>
      </c>
      <c r="S116" s="62">
        <f ca="1">AVERAGE(OFFSET($R$3,0,0,'Données projet'!$E$9+1,1))-AVERAGE(OFFSET($H$3,0,0,'Données projet'!$E$9+1,1))</f>
        <v>354.56491118410622</v>
      </c>
      <c r="T116" s="62">
        <f t="shared" si="88"/>
        <v>343.77208530767069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2.5705584570294984</v>
      </c>
      <c r="AB116" s="23">
        <f>EXP(-LN(2)/2)*AB115+(1-EXP(-LN(2)/2))/(LN(2)/2)*V116*Y116*VLOOKUP('Données projet'!$B$9,Paramètres!$A$1:$I$89,3,0)*0.475*44/12</f>
        <v>4.3100885392805998E-12</v>
      </c>
      <c r="AC116" s="24">
        <f t="shared" si="57"/>
        <v>2.5705584570338083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417.99999999999972</v>
      </c>
      <c r="AJ116" s="14">
        <f>AI116*VLOOKUP('Données projet'!$B$10,Paramètres!$A$1:$I$89,3,0)*VLOOKUP('Données projet'!$B$10,Paramètres!$A$1:$I$89,5,0)</f>
        <v>306.47759999999982</v>
      </c>
      <c r="AK116" s="14">
        <f t="shared" si="89"/>
        <v>72.532724321633353</v>
      </c>
      <c r="AL116" s="22">
        <f t="shared" si="58"/>
        <v>660.10964819351113</v>
      </c>
      <c r="AM116" s="62">
        <f t="shared" si="59"/>
        <v>953.44298152684451</v>
      </c>
      <c r="AN116" s="62">
        <f ca="1">AVERAGE(OFFSET($AM$3,0,0,'Données projet'!$E$10+1,1))-AVERAGE(OFFSET($H$3,0,0,'Données projet'!$E$10+1,1))</f>
        <v>380.01621935031324</v>
      </c>
      <c r="AO116" s="62">
        <f t="shared" si="90"/>
        <v>365.76175372075869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2.3393956092442498</v>
      </c>
      <c r="AW116" s="23">
        <f>EXP(-LN(2)/2)*AW115+(1-EXP(-LN(2)/2))/(LN(2)/2)*AQ116*AT116*VLOOKUP('Données projet'!$B$10,Paramètres!$A$1:$I$89,3,0)*0.475*44/12</f>
        <v>4.7691052206376342E-12</v>
      </c>
      <c r="AX116" s="23">
        <f t="shared" si="60"/>
        <v>2.3393956092490189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-5.6843418860808015E-14</v>
      </c>
      <c r="BE116" s="14">
        <f>BD116*VLOOKUP('Données projet'!$B$11,Paramètres!$A$1:$I$89,3,0)*VLOOKUP('Données projet'!$B$11,Paramètres!$A$1:$I$89,5,0)</f>
        <v>-4.9658410716801891E-14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303.33040062722074</v>
      </c>
      <c r="BJ116" s="62">
        <f t="shared" si="92"/>
        <v>425.30058672361548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1.9088182942362906</v>
      </c>
      <c r="BR116" s="23">
        <f>EXP(-LN(2)/2)*BR115+(1-EXP(-LN(2)/2))/(LN(2)/2)*BL116*BO116*VLOOKUP('Données projet'!$B$11,Paramètres!$A$1:$I$89,3,0)*0.475*44/12</f>
        <v>5.4069489090281774E-12</v>
      </c>
      <c r="BS116" s="24">
        <f t="shared" si="63"/>
        <v>1.9088182942416976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349.9999999999996</v>
      </c>
      <c r="O117" s="14">
        <f>N117*VLOOKUP('Données projet'!$B$9,Paramètres!$A$1:$I$89,3,0)*VLOOKUP('Données projet'!$B$9,Paramètres!$A$1:$I$89,5,0)</f>
        <v>278.4599999999997</v>
      </c>
      <c r="P117" s="14">
        <f t="shared" si="87"/>
        <v>66.641458222154824</v>
      </c>
      <c r="Q117" s="22">
        <f t="shared" si="107"/>
        <v>601.05170640358574</v>
      </c>
      <c r="R117" s="62">
        <f t="shared" si="55"/>
        <v>894.385039736919</v>
      </c>
      <c r="S117" s="62">
        <f ca="1">AVERAGE(OFFSET($R$3,0,0,'Données projet'!$E$9+1,1))-AVERAGE(OFFSET($H$3,0,0,'Données projet'!$E$9+1,1))</f>
        <v>354.56491118410622</v>
      </c>
      <c r="T117" s="62">
        <f t="shared" si="88"/>
        <v>343.77208530767069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2.5002664008422326</v>
      </c>
      <c r="AB117" s="23">
        <f>EXP(-LN(2)/2)*AB116+(1-EXP(-LN(2)/2))/(LN(2)/2)*V117*Y117*VLOOKUP('Données projet'!$B$9,Paramètres!$A$1:$I$89,3,0)*0.475*44/12</f>
        <v>3.0476928336397334E-12</v>
      </c>
      <c r="AC117" s="24">
        <f t="shared" si="57"/>
        <v>2.5002664008452804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417.99999999999972</v>
      </c>
      <c r="AJ117" s="14">
        <f>AI117*VLOOKUP('Données projet'!$B$10,Paramètres!$A$1:$I$89,3,0)*VLOOKUP('Données projet'!$B$10,Paramètres!$A$1:$I$89,5,0)</f>
        <v>306.47759999999982</v>
      </c>
      <c r="AK117" s="14">
        <f t="shared" si="89"/>
        <v>72.532724321633353</v>
      </c>
      <c r="AL117" s="22">
        <f t="shared" si="58"/>
        <v>660.10964819351113</v>
      </c>
      <c r="AM117" s="62">
        <f t="shared" si="59"/>
        <v>953.44298152684451</v>
      </c>
      <c r="AN117" s="62">
        <f ca="1">AVERAGE(OFFSET($AM$3,0,0,'Données projet'!$E$10+1,1))-AVERAGE(OFFSET($H$3,0,0,'Données projet'!$E$10+1,1))</f>
        <v>380.01621935031324</v>
      </c>
      <c r="AO117" s="62">
        <f t="shared" si="90"/>
        <v>365.76175372075869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2.2754247132859975</v>
      </c>
      <c r="AW117" s="23">
        <f>EXP(-LN(2)/2)*AW116+(1-EXP(-LN(2)/2))/(LN(2)/2)*AQ117*AT117*VLOOKUP('Données projet'!$B$10,Paramètres!$A$1:$I$89,3,0)*0.475*44/12</f>
        <v>3.3722666417050371E-12</v>
      </c>
      <c r="AX117" s="23">
        <f t="shared" si="60"/>
        <v>2.2754247132893699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-5.6843418860808015E-14</v>
      </c>
      <c r="BE117" s="14">
        <f>BD117*VLOOKUP('Données projet'!$B$11,Paramètres!$A$1:$I$89,3,0)*VLOOKUP('Données projet'!$B$11,Paramètres!$A$1:$I$89,5,0)</f>
        <v>-4.9658410716801891E-14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303.33040062722074</v>
      </c>
      <c r="BJ117" s="62">
        <f t="shared" si="92"/>
        <v>425.30058672361548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1.8566215576000078</v>
      </c>
      <c r="BR117" s="23">
        <f>EXP(-LN(2)/2)*BR116+(1-EXP(-LN(2)/2))/(LN(2)/2)*BL117*BO117*VLOOKUP('Données projet'!$B$11,Paramètres!$A$1:$I$89,3,0)*0.475*44/12</f>
        <v>3.8232902391030293E-12</v>
      </c>
      <c r="BS117" s="24">
        <f t="shared" si="63"/>
        <v>1.8566215576038312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349.9999999999996</v>
      </c>
      <c r="O118" s="14">
        <f>N118*VLOOKUP('Données projet'!$B$9,Paramètres!$A$1:$I$89,3,0)*VLOOKUP('Données projet'!$B$9,Paramètres!$A$1:$I$89,5,0)</f>
        <v>278.4599999999997</v>
      </c>
      <c r="P118" s="14">
        <f t="shared" si="87"/>
        <v>66.641458222154824</v>
      </c>
      <c r="Q118" s="22">
        <f t="shared" si="107"/>
        <v>601.05170640358574</v>
      </c>
      <c r="R118" s="62">
        <f t="shared" si="55"/>
        <v>894.385039736919</v>
      </c>
      <c r="S118" s="62">
        <f ca="1">AVERAGE(OFFSET($R$3,0,0,'Données projet'!$E$9+1,1))-AVERAGE(OFFSET($H$3,0,0,'Données projet'!$E$9+1,1))</f>
        <v>354.56491118410622</v>
      </c>
      <c r="T118" s="62">
        <f t="shared" si="88"/>
        <v>343.77208530767069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2.4318964846279063</v>
      </c>
      <c r="AB118" s="23">
        <f>EXP(-LN(2)/2)*AB117+(1-EXP(-LN(2)/2))/(LN(2)/2)*V118*Y118*VLOOKUP('Données projet'!$B$9,Paramètres!$A$1:$I$89,3,0)*0.475*44/12</f>
        <v>2.1550442696402999E-12</v>
      </c>
      <c r="AC118" s="24">
        <f t="shared" si="57"/>
        <v>2.4318964846300615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417.99999999999972</v>
      </c>
      <c r="AJ118" s="14">
        <f>AI118*VLOOKUP('Données projet'!$B$10,Paramètres!$A$1:$I$89,3,0)*VLOOKUP('Données projet'!$B$10,Paramètres!$A$1:$I$89,5,0)</f>
        <v>306.47759999999982</v>
      </c>
      <c r="AK118" s="14">
        <f t="shared" si="89"/>
        <v>72.532724321633353</v>
      </c>
      <c r="AL118" s="22">
        <f t="shared" si="58"/>
        <v>660.10964819351113</v>
      </c>
      <c r="AM118" s="62">
        <f t="shared" si="59"/>
        <v>953.44298152684451</v>
      </c>
      <c r="AN118" s="62">
        <f ca="1">AVERAGE(OFFSET($AM$3,0,0,'Données projet'!$E$10+1,1))-AVERAGE(OFFSET($H$3,0,0,'Données projet'!$E$10+1,1))</f>
        <v>380.01621935031324</v>
      </c>
      <c r="AO118" s="62">
        <f t="shared" si="90"/>
        <v>365.76175372075869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2.2132031048418068</v>
      </c>
      <c r="AW118" s="23">
        <f>EXP(-LN(2)/2)*AW117+(1-EXP(-LN(2)/2))/(LN(2)/2)*AQ118*AT118*VLOOKUP('Données projet'!$B$10,Paramètres!$A$1:$I$89,3,0)*0.475*44/12</f>
        <v>2.3845526103188171E-12</v>
      </c>
      <c r="AX118" s="23">
        <f t="shared" si="60"/>
        <v>2.2132031048441916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-5.6843418860808015E-14</v>
      </c>
      <c r="BE118" s="14">
        <f>BD118*VLOOKUP('Données projet'!$B$11,Paramètres!$A$1:$I$89,3,0)*VLOOKUP('Données projet'!$B$11,Paramètres!$A$1:$I$89,5,0)</f>
        <v>-4.9658410716801891E-14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303.33040062722074</v>
      </c>
      <c r="BJ118" s="62">
        <f t="shared" si="92"/>
        <v>425.30058672361548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1.8058521434719512</v>
      </c>
      <c r="BR118" s="23">
        <f>EXP(-LN(2)/2)*BR117+(1-EXP(-LN(2)/2))/(LN(2)/2)*BL118*BO118*VLOOKUP('Données projet'!$B$11,Paramètres!$A$1:$I$89,3,0)*0.475*44/12</f>
        <v>2.7034744545140887E-12</v>
      </c>
      <c r="BS118" s="24">
        <f t="shared" si="63"/>
        <v>1.8058521434746546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349.9999999999996</v>
      </c>
      <c r="O119" s="14">
        <f>N119*VLOOKUP('Données projet'!$B$9,Paramètres!$A$1:$I$89,3,0)*VLOOKUP('Données projet'!$B$9,Paramètres!$A$1:$I$89,5,0)</f>
        <v>278.4599999999997</v>
      </c>
      <c r="P119" s="14">
        <f t="shared" si="87"/>
        <v>66.641458222154824</v>
      </c>
      <c r="Q119" s="22">
        <f t="shared" si="107"/>
        <v>601.05170640358574</v>
      </c>
      <c r="R119" s="62">
        <f t="shared" si="55"/>
        <v>894.385039736919</v>
      </c>
      <c r="S119" s="62">
        <f ca="1">AVERAGE(OFFSET($R$3,0,0,'Données projet'!$E$9+1,1))-AVERAGE(OFFSET($H$3,0,0,'Données projet'!$E$9+1,1))</f>
        <v>354.56491118410622</v>
      </c>
      <c r="T119" s="62">
        <f t="shared" si="88"/>
        <v>343.77208530767069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2.3653961473678784</v>
      </c>
      <c r="AB119" s="23">
        <f>EXP(-LN(2)/2)*AB118+(1-EXP(-LN(2)/2))/(LN(2)/2)*V119*Y119*VLOOKUP('Données projet'!$B$9,Paramètres!$A$1:$I$89,3,0)*0.475*44/12</f>
        <v>1.5238464168198667E-12</v>
      </c>
      <c r="AC119" s="24">
        <f t="shared" si="57"/>
        <v>2.3653961473694021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417.99999999999972</v>
      </c>
      <c r="AJ119" s="14">
        <f>AI119*VLOOKUP('Données projet'!$B$10,Paramètres!$A$1:$I$89,3,0)*VLOOKUP('Données projet'!$B$10,Paramètres!$A$1:$I$89,5,0)</f>
        <v>306.47759999999982</v>
      </c>
      <c r="AK119" s="14">
        <f t="shared" si="89"/>
        <v>72.532724321633353</v>
      </c>
      <c r="AL119" s="22">
        <f t="shared" si="58"/>
        <v>660.10964819351113</v>
      </c>
      <c r="AM119" s="62">
        <f t="shared" si="59"/>
        <v>953.44298152684451</v>
      </c>
      <c r="AN119" s="62">
        <f ca="1">AVERAGE(OFFSET($AM$3,0,0,'Données projet'!$E$10+1,1))-AVERAGE(OFFSET($H$3,0,0,'Données projet'!$E$10+1,1))</f>
        <v>380.01621935031324</v>
      </c>
      <c r="AO119" s="62">
        <f t="shared" si="90"/>
        <v>365.76175372075869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2.1526829495526147</v>
      </c>
      <c r="AW119" s="23">
        <f>EXP(-LN(2)/2)*AW118+(1-EXP(-LN(2)/2))/(LN(2)/2)*AQ119*AT119*VLOOKUP('Données projet'!$B$10,Paramètres!$A$1:$I$89,3,0)*0.475*44/12</f>
        <v>1.6861333208525185E-12</v>
      </c>
      <c r="AX119" s="23">
        <f t="shared" si="60"/>
        <v>2.152682949554301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-5.6843418860808015E-14</v>
      </c>
      <c r="BE119" s="14">
        <f>BD119*VLOOKUP('Données projet'!$B$11,Paramètres!$A$1:$I$89,3,0)*VLOOKUP('Données projet'!$B$11,Paramètres!$A$1:$I$89,5,0)</f>
        <v>-4.9658410716801891E-14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303.33040062722074</v>
      </c>
      <c r="BJ119" s="62">
        <f t="shared" si="92"/>
        <v>425.30058672361548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1.7564710216430739</v>
      </c>
      <c r="BR119" s="23">
        <f>EXP(-LN(2)/2)*BR118+(1-EXP(-LN(2)/2))/(LN(2)/2)*BL119*BO119*VLOOKUP('Données projet'!$B$11,Paramètres!$A$1:$I$89,3,0)*0.475*44/12</f>
        <v>1.9116451195515146E-12</v>
      </c>
      <c r="BS119" s="24">
        <f t="shared" si="63"/>
        <v>1.7564710216449855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349.9999999999996</v>
      </c>
      <c r="O120" s="14">
        <f>N120*VLOOKUP('Données projet'!$B$9,Paramètres!$A$1:$I$89,3,0)*VLOOKUP('Données projet'!$B$9,Paramètres!$A$1:$I$89,5,0)</f>
        <v>278.4599999999997</v>
      </c>
      <c r="P120" s="14">
        <f t="shared" si="87"/>
        <v>66.641458222154824</v>
      </c>
      <c r="Q120" s="22">
        <f t="shared" si="107"/>
        <v>601.05170640358574</v>
      </c>
      <c r="R120" s="62">
        <f t="shared" si="55"/>
        <v>894.385039736919</v>
      </c>
      <c r="S120" s="62">
        <f ca="1">AVERAGE(OFFSET($R$3,0,0,'Données projet'!$E$9+1,1))-AVERAGE(OFFSET($H$3,0,0,'Données projet'!$E$9+1,1))</f>
        <v>354.56491118410622</v>
      </c>
      <c r="T120" s="62">
        <f t="shared" si="88"/>
        <v>343.77208530767069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2.3007142653273265</v>
      </c>
      <c r="AB120" s="23">
        <f>EXP(-LN(2)/2)*AB119+(1-EXP(-LN(2)/2))/(LN(2)/2)*V120*Y120*VLOOKUP('Données projet'!$B$9,Paramètres!$A$1:$I$89,3,0)*0.475*44/12</f>
        <v>1.0775221348201499E-12</v>
      </c>
      <c r="AC120" s="24">
        <f t="shared" si="57"/>
        <v>2.3007142653284038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417.99999999999972</v>
      </c>
      <c r="AJ120" s="14">
        <f>AI120*VLOOKUP('Données projet'!$B$10,Paramètres!$A$1:$I$89,3,0)*VLOOKUP('Données projet'!$B$10,Paramètres!$A$1:$I$89,5,0)</f>
        <v>306.47759999999982</v>
      </c>
      <c r="AK120" s="14">
        <f t="shared" si="89"/>
        <v>72.532724321633353</v>
      </c>
      <c r="AL120" s="22">
        <f t="shared" si="58"/>
        <v>660.10964819351113</v>
      </c>
      <c r="AM120" s="62">
        <f t="shared" si="59"/>
        <v>953.44298152684451</v>
      </c>
      <c r="AN120" s="62">
        <f ca="1">AVERAGE(OFFSET($AM$3,0,0,'Données projet'!$E$10+1,1))-AVERAGE(OFFSET($H$3,0,0,'Données projet'!$E$10+1,1))</f>
        <v>380.01621935031324</v>
      </c>
      <c r="AO120" s="62">
        <f t="shared" si="90"/>
        <v>365.76175372075869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2.0938177210924223</v>
      </c>
      <c r="AW120" s="23">
        <f>EXP(-LN(2)/2)*AW119+(1-EXP(-LN(2)/2))/(LN(2)/2)*AQ120*AT120*VLOOKUP('Données projet'!$B$10,Paramètres!$A$1:$I$89,3,0)*0.475*44/12</f>
        <v>1.1922763051594085E-12</v>
      </c>
      <c r="AX120" s="23">
        <f t="shared" si="60"/>
        <v>2.0938177210936146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-5.6843418860808015E-14</v>
      </c>
      <c r="BE120" s="14">
        <f>BD120*VLOOKUP('Données projet'!$B$11,Paramètres!$A$1:$I$89,3,0)*VLOOKUP('Données projet'!$B$11,Paramètres!$A$1:$I$89,5,0)</f>
        <v>-4.9658410716801891E-14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303.33040062722074</v>
      </c>
      <c r="BJ120" s="62">
        <f t="shared" si="92"/>
        <v>425.30058672361548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1.7084402291874474</v>
      </c>
      <c r="BR120" s="23">
        <f>EXP(-LN(2)/2)*BR119+(1-EXP(-LN(2)/2))/(LN(2)/2)*BL120*BO120*VLOOKUP('Données projet'!$B$11,Paramètres!$A$1:$I$89,3,0)*0.475*44/12</f>
        <v>1.3517372272570444E-12</v>
      </c>
      <c r="BS120" s="24">
        <f t="shared" si="63"/>
        <v>1.7084402291887992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349.9999999999996</v>
      </c>
      <c r="O121" s="14">
        <f>N121*VLOOKUP('Données projet'!$B$9,Paramètres!$A$1:$I$89,3,0)*VLOOKUP('Données projet'!$B$9,Paramètres!$A$1:$I$89,5,0)</f>
        <v>278.4599999999997</v>
      </c>
      <c r="P121" s="14">
        <f t="shared" si="87"/>
        <v>66.641458222154824</v>
      </c>
      <c r="Q121" s="22">
        <f t="shared" si="107"/>
        <v>601.05170640358574</v>
      </c>
      <c r="R121" s="62">
        <f t="shared" si="55"/>
        <v>894.385039736919</v>
      </c>
      <c r="S121" s="62">
        <f ca="1">AVERAGE(OFFSET($R$3,0,0,'Données projet'!$E$9+1,1))-AVERAGE(OFFSET($H$3,0,0,'Données projet'!$E$9+1,1))</f>
        <v>354.56491118410622</v>
      </c>
      <c r="T121" s="62">
        <f t="shared" si="88"/>
        <v>343.77208530767069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2.237801112752646</v>
      </c>
      <c r="AB121" s="23">
        <f>EXP(-LN(2)/2)*AB120+(1-EXP(-LN(2)/2))/(LN(2)/2)*V121*Y121*VLOOKUP('Données projet'!$B$9,Paramètres!$A$1:$I$89,3,0)*0.475*44/12</f>
        <v>7.6192320840993335E-13</v>
      </c>
      <c r="AC121" s="24">
        <f t="shared" si="57"/>
        <v>2.2378011127534081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417.99999999999972</v>
      </c>
      <c r="AJ121" s="14">
        <f>AI121*VLOOKUP('Données projet'!$B$10,Paramètres!$A$1:$I$89,3,0)*VLOOKUP('Données projet'!$B$10,Paramètres!$A$1:$I$89,5,0)</f>
        <v>306.47759999999982</v>
      </c>
      <c r="AK121" s="14">
        <f t="shared" si="89"/>
        <v>72.532724321633353</v>
      </c>
      <c r="AL121" s="22">
        <f t="shared" si="58"/>
        <v>660.10964819351113</v>
      </c>
      <c r="AM121" s="62">
        <f t="shared" si="59"/>
        <v>953.44298152684451</v>
      </c>
      <c r="AN121" s="62">
        <f ca="1">AVERAGE(OFFSET($AM$3,0,0,'Données projet'!$E$10+1,1))-AVERAGE(OFFSET($H$3,0,0,'Données projet'!$E$10+1,1))</f>
        <v>380.01621935031324</v>
      </c>
      <c r="AO121" s="62">
        <f t="shared" si="90"/>
        <v>365.76175372075869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2.0365621654000616</v>
      </c>
      <c r="AW121" s="23">
        <f>EXP(-LN(2)/2)*AW120+(1-EXP(-LN(2)/2))/(LN(2)/2)*AQ121*AT121*VLOOKUP('Données projet'!$B$10,Paramètres!$A$1:$I$89,3,0)*0.475*44/12</f>
        <v>8.4306666042625927E-13</v>
      </c>
      <c r="AX121" s="23">
        <f t="shared" si="60"/>
        <v>2.0365621654009045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-5.6843418860808015E-14</v>
      </c>
      <c r="BE121" s="14">
        <f>BD121*VLOOKUP('Données projet'!$B$11,Paramètres!$A$1:$I$89,3,0)*VLOOKUP('Données projet'!$B$11,Paramètres!$A$1:$I$89,5,0)</f>
        <v>-4.9658410716801891E-14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303.33040062722074</v>
      </c>
      <c r="BJ121" s="62">
        <f t="shared" si="92"/>
        <v>425.30058672361548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1.6617228412773497</v>
      </c>
      <c r="BR121" s="23">
        <f>EXP(-LN(2)/2)*BR120+(1-EXP(-LN(2)/2))/(LN(2)/2)*BL121*BO121*VLOOKUP('Données projet'!$B$11,Paramètres!$A$1:$I$89,3,0)*0.475*44/12</f>
        <v>9.5582255977575732E-13</v>
      </c>
      <c r="BS121" s="24">
        <f t="shared" si="63"/>
        <v>1.6617228412783056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349.9999999999996</v>
      </c>
      <c r="O122" s="14">
        <f>N122*VLOOKUP('Données projet'!$B$9,Paramètres!$A$1:$I$89,3,0)*VLOOKUP('Données projet'!$B$9,Paramètres!$A$1:$I$89,5,0)</f>
        <v>278.4599999999997</v>
      </c>
      <c r="P122" s="14">
        <f t="shared" si="87"/>
        <v>66.641458222154824</v>
      </c>
      <c r="Q122" s="22">
        <f t="shared" si="107"/>
        <v>601.05170640358574</v>
      </c>
      <c r="R122" s="62">
        <f t="shared" si="55"/>
        <v>894.385039736919</v>
      </c>
      <c r="S122" s="62">
        <f ca="1">AVERAGE(OFFSET($R$3,0,0,'Données projet'!$E$9+1,1))-AVERAGE(OFFSET($H$3,0,0,'Données projet'!$E$9+1,1))</f>
        <v>354.56491118410622</v>
      </c>
      <c r="T122" s="62">
        <f t="shared" si="88"/>
        <v>343.77208530767069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2.1766083236435789</v>
      </c>
      <c r="AB122" s="23">
        <f>EXP(-LN(2)/2)*AB121+(1-EXP(-LN(2)/2))/(LN(2)/2)*V122*Y122*VLOOKUP('Données projet'!$B$9,Paramètres!$A$1:$I$89,3,0)*0.475*44/12</f>
        <v>5.3876106741007497E-13</v>
      </c>
      <c r="AC122" s="24">
        <f t="shared" si="57"/>
        <v>2.1766083236441176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417.99999999999972</v>
      </c>
      <c r="AJ122" s="14">
        <f>AI122*VLOOKUP('Données projet'!$B$10,Paramètres!$A$1:$I$89,3,0)*VLOOKUP('Données projet'!$B$10,Paramètres!$A$1:$I$89,5,0)</f>
        <v>306.47759999999982</v>
      </c>
      <c r="AK122" s="14">
        <f t="shared" si="89"/>
        <v>72.532724321633353</v>
      </c>
      <c r="AL122" s="22">
        <f t="shared" si="58"/>
        <v>660.10964819351113</v>
      </c>
      <c r="AM122" s="62">
        <f t="shared" si="59"/>
        <v>953.44298152684451</v>
      </c>
      <c r="AN122" s="62">
        <f ca="1">AVERAGE(OFFSET($AM$3,0,0,'Données projet'!$E$10+1,1))-AVERAGE(OFFSET($H$3,0,0,'Données projet'!$E$10+1,1))</f>
        <v>380.01621935031324</v>
      </c>
      <c r="AO122" s="62">
        <f t="shared" si="90"/>
        <v>365.76175372075869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1.9808722658890472</v>
      </c>
      <c r="AW122" s="23">
        <f>EXP(-LN(2)/2)*AW121+(1-EXP(-LN(2)/2))/(LN(2)/2)*AQ122*AT122*VLOOKUP('Données projet'!$B$10,Paramètres!$A$1:$I$89,3,0)*0.475*44/12</f>
        <v>5.9613815257970427E-13</v>
      </c>
      <c r="AX122" s="23">
        <f t="shared" si="60"/>
        <v>1.9808722658896434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-5.6843418860808015E-14</v>
      </c>
      <c r="BE122" s="14">
        <f>BD122*VLOOKUP('Données projet'!$B$11,Paramètres!$A$1:$I$89,3,0)*VLOOKUP('Données projet'!$B$11,Paramètres!$A$1:$I$89,5,0)</f>
        <v>-4.9658410716801891E-14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303.33040062722074</v>
      </c>
      <c r="BJ122" s="62">
        <f t="shared" si="92"/>
        <v>425.30058672361548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1.6162829427964143</v>
      </c>
      <c r="BR122" s="23">
        <f>EXP(-LN(2)/2)*BR121+(1-EXP(-LN(2)/2))/(LN(2)/2)*BL122*BO122*VLOOKUP('Données projet'!$B$11,Paramètres!$A$1:$I$89,3,0)*0.475*44/12</f>
        <v>6.7586861362852218E-13</v>
      </c>
      <c r="BS122" s="24">
        <f t="shared" si="63"/>
        <v>1.6162829427970902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349.9999999999996</v>
      </c>
      <c r="O123" s="14">
        <f>N123*VLOOKUP('Données projet'!$B$9,Paramètres!$A$1:$I$89,3,0)*VLOOKUP('Données projet'!$B$9,Paramètres!$A$1:$I$89,5,0)</f>
        <v>278.4599999999997</v>
      </c>
      <c r="P123" s="14">
        <f t="shared" si="87"/>
        <v>66.641458222154824</v>
      </c>
      <c r="Q123" s="22">
        <f t="shared" si="107"/>
        <v>601.05170640358574</v>
      </c>
      <c r="R123" s="62">
        <f t="shared" si="55"/>
        <v>894.385039736919</v>
      </c>
      <c r="S123" s="62">
        <f ca="1">AVERAGE(OFFSET($R$3,0,0,'Données projet'!$E$9+1,1))-AVERAGE(OFFSET($H$3,0,0,'Données projet'!$E$9+1,1))</f>
        <v>354.56491118410622</v>
      </c>
      <c r="T123" s="62">
        <f t="shared" si="88"/>
        <v>343.77208530767069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2.1170888545706883</v>
      </c>
      <c r="AB123" s="23">
        <f>EXP(-LN(2)/2)*AB122+(1-EXP(-LN(2)/2))/(LN(2)/2)*V123*Y123*VLOOKUP('Données projet'!$B$9,Paramètres!$A$1:$I$89,3,0)*0.475*44/12</f>
        <v>3.8096160420496668E-13</v>
      </c>
      <c r="AC123" s="24">
        <f t="shared" si="57"/>
        <v>2.1170888545710693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417.99999999999972</v>
      </c>
      <c r="AJ123" s="14">
        <f>AI123*VLOOKUP('Données projet'!$B$10,Paramètres!$A$1:$I$89,3,0)*VLOOKUP('Données projet'!$B$10,Paramètres!$A$1:$I$89,5,0)</f>
        <v>306.47759999999982</v>
      </c>
      <c r="AK123" s="14">
        <f t="shared" si="89"/>
        <v>72.532724321633353</v>
      </c>
      <c r="AL123" s="22">
        <f t="shared" si="58"/>
        <v>660.10964819351113</v>
      </c>
      <c r="AM123" s="62">
        <f t="shared" si="59"/>
        <v>953.44298152684451</v>
      </c>
      <c r="AN123" s="62">
        <f ca="1">AVERAGE(OFFSET($AM$3,0,0,'Données projet'!$E$10+1,1))-AVERAGE(OFFSET($H$3,0,0,'Données projet'!$E$10+1,1))</f>
        <v>380.01621935031324</v>
      </c>
      <c r="AO123" s="62">
        <f t="shared" si="90"/>
        <v>365.76175372075869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1.926705209608766</v>
      </c>
      <c r="AW123" s="23">
        <f>EXP(-LN(2)/2)*AW122+(1-EXP(-LN(2)/2))/(LN(2)/2)*AQ123*AT123*VLOOKUP('Données projet'!$B$10,Paramètres!$A$1:$I$89,3,0)*0.475*44/12</f>
        <v>4.2153333021312963E-13</v>
      </c>
      <c r="AX123" s="23">
        <f t="shared" si="60"/>
        <v>1.9267052096091875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-5.6843418860808015E-14</v>
      </c>
      <c r="BE123" s="14">
        <f>BD123*VLOOKUP('Données projet'!$B$11,Paramètres!$A$1:$I$89,3,0)*VLOOKUP('Données projet'!$B$11,Paramètres!$A$1:$I$89,5,0)</f>
        <v>-4.9658410716801891E-14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303.33040062722074</v>
      </c>
      <c r="BJ123" s="62">
        <f t="shared" si="92"/>
        <v>425.30058672361548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1.5720856007290205</v>
      </c>
      <c r="BR123" s="23">
        <f>EXP(-LN(2)/2)*BR122+(1-EXP(-LN(2)/2))/(LN(2)/2)*BL123*BO123*VLOOKUP('Données projet'!$B$11,Paramètres!$A$1:$I$89,3,0)*0.475*44/12</f>
        <v>4.7791127988787866E-13</v>
      </c>
      <c r="BS123" s="24">
        <f t="shared" si="63"/>
        <v>1.5720856007294983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349.9999999999996</v>
      </c>
      <c r="O124" s="14">
        <f>N124*VLOOKUP('Données projet'!$B$9,Paramètres!$A$1:$I$89,3,0)*VLOOKUP('Données projet'!$B$9,Paramètres!$A$1:$I$89,5,0)</f>
        <v>278.4599999999997</v>
      </c>
      <c r="P124" s="14">
        <f t="shared" si="87"/>
        <v>66.641458222154824</v>
      </c>
      <c r="Q124" s="22">
        <f t="shared" si="107"/>
        <v>601.05170640358574</v>
      </c>
      <c r="R124" s="62">
        <f t="shared" si="55"/>
        <v>894.385039736919</v>
      </c>
      <c r="S124" s="62">
        <f ca="1">AVERAGE(OFFSET($R$3,0,0,'Données projet'!$E$9+1,1))-AVERAGE(OFFSET($H$3,0,0,'Données projet'!$E$9+1,1))</f>
        <v>354.56491118410622</v>
      </c>
      <c r="T124" s="62">
        <f t="shared" si="88"/>
        <v>343.77208530767069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2.0591969485095887</v>
      </c>
      <c r="AB124" s="23">
        <f>EXP(-LN(2)/2)*AB123+(1-EXP(-LN(2)/2))/(LN(2)/2)*V124*Y124*VLOOKUP('Données projet'!$B$9,Paramètres!$A$1:$I$89,3,0)*0.475*44/12</f>
        <v>2.6938053370503749E-13</v>
      </c>
      <c r="AC124" s="24">
        <f t="shared" si="57"/>
        <v>2.0591969485098582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417.99999999999972</v>
      </c>
      <c r="AJ124" s="14">
        <f>AI124*VLOOKUP('Données projet'!$B$10,Paramètres!$A$1:$I$89,3,0)*VLOOKUP('Données projet'!$B$10,Paramètres!$A$1:$I$89,5,0)</f>
        <v>306.47759999999982</v>
      </c>
      <c r="AK124" s="14">
        <f t="shared" si="89"/>
        <v>72.532724321633353</v>
      </c>
      <c r="AL124" s="22">
        <f t="shared" si="58"/>
        <v>660.10964819351113</v>
      </c>
      <c r="AM124" s="62">
        <f t="shared" si="59"/>
        <v>953.44298152684451</v>
      </c>
      <c r="AN124" s="62">
        <f ca="1">AVERAGE(OFFSET($AM$3,0,0,'Données projet'!$E$10+1,1))-AVERAGE(OFFSET($H$3,0,0,'Données projet'!$E$10+1,1))</f>
        <v>380.01621935031324</v>
      </c>
      <c r="AO124" s="62">
        <f t="shared" si="90"/>
        <v>365.76175372075869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1.8740193543309909</v>
      </c>
      <c r="AW124" s="23">
        <f>EXP(-LN(2)/2)*AW123+(1-EXP(-LN(2)/2))/(LN(2)/2)*AQ124*AT124*VLOOKUP('Données projet'!$B$10,Paramètres!$A$1:$I$89,3,0)*0.475*44/12</f>
        <v>2.9806907628985214E-13</v>
      </c>
      <c r="AX124" s="23">
        <f t="shared" si="60"/>
        <v>1.8740193543312889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-5.6843418860808015E-14</v>
      </c>
      <c r="BE124" s="14">
        <f>BD124*VLOOKUP('Données projet'!$B$11,Paramètres!$A$1:$I$89,3,0)*VLOOKUP('Données projet'!$B$11,Paramètres!$A$1:$I$89,5,0)</f>
        <v>-4.9658410716801891E-14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303.33040062722074</v>
      </c>
      <c r="BJ124" s="62">
        <f t="shared" si="92"/>
        <v>425.30058672361548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1.5290968373046967</v>
      </c>
      <c r="BR124" s="23">
        <f>EXP(-LN(2)/2)*BR123+(1-EXP(-LN(2)/2))/(LN(2)/2)*BL124*BO124*VLOOKUP('Données projet'!$B$11,Paramètres!$A$1:$I$89,3,0)*0.475*44/12</f>
        <v>3.3793430681426109E-13</v>
      </c>
      <c r="BS124" s="24">
        <f t="shared" si="63"/>
        <v>1.5290968373050347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349.9999999999996</v>
      </c>
      <c r="O125" s="14">
        <f>N125*VLOOKUP('Données projet'!$B$9,Paramètres!$A$1:$I$89,3,0)*VLOOKUP('Données projet'!$B$9,Paramètres!$A$1:$I$89,5,0)</f>
        <v>278.4599999999997</v>
      </c>
      <c r="P125" s="14">
        <f t="shared" si="87"/>
        <v>66.641458222154824</v>
      </c>
      <c r="Q125" s="22">
        <f t="shared" si="107"/>
        <v>601.05170640358574</v>
      </c>
      <c r="R125" s="62">
        <f t="shared" si="55"/>
        <v>894.385039736919</v>
      </c>
      <c r="S125" s="62">
        <f ca="1">AVERAGE(OFFSET($R$3,0,0,'Données projet'!$E$9+1,1))-AVERAGE(OFFSET($H$3,0,0,'Données projet'!$E$9+1,1))</f>
        <v>354.56491118410622</v>
      </c>
      <c r="T125" s="62">
        <f t="shared" si="88"/>
        <v>343.77208530767069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2.0028880996641329</v>
      </c>
      <c r="AB125" s="23">
        <f>EXP(-LN(2)/2)*AB124+(1-EXP(-LN(2)/2))/(LN(2)/2)*V125*Y125*VLOOKUP('Données projet'!$B$9,Paramètres!$A$1:$I$89,3,0)*0.475*44/12</f>
        <v>1.9048080210248334E-13</v>
      </c>
      <c r="AC125" s="24">
        <f t="shared" si="57"/>
        <v>2.0028880996643235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417.99999999999972</v>
      </c>
      <c r="AJ125" s="14">
        <f>AI125*VLOOKUP('Données projet'!$B$10,Paramètres!$A$1:$I$89,3,0)*VLOOKUP('Données projet'!$B$10,Paramètres!$A$1:$I$89,5,0)</f>
        <v>306.47759999999982</v>
      </c>
      <c r="AK125" s="14">
        <f t="shared" si="89"/>
        <v>72.532724321633353</v>
      </c>
      <c r="AL125" s="22">
        <f t="shared" si="58"/>
        <v>660.10964819351113</v>
      </c>
      <c r="AM125" s="62">
        <f t="shared" si="59"/>
        <v>953.44298152684451</v>
      </c>
      <c r="AN125" s="62">
        <f ca="1">AVERAGE(OFFSET($AM$3,0,0,'Données projet'!$E$10+1,1))-AVERAGE(OFFSET($H$3,0,0,'Données projet'!$E$10+1,1))</f>
        <v>380.01621935031324</v>
      </c>
      <c r="AO125" s="62">
        <f t="shared" si="90"/>
        <v>365.76175372075869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1.8227741965364153</v>
      </c>
      <c r="AW125" s="23">
        <f>EXP(-LN(2)/2)*AW124+(1-EXP(-LN(2)/2))/(LN(2)/2)*AQ125*AT125*VLOOKUP('Données projet'!$B$10,Paramètres!$A$1:$I$89,3,0)*0.475*44/12</f>
        <v>2.1076666510656482E-13</v>
      </c>
      <c r="AX125" s="23">
        <f t="shared" si="60"/>
        <v>1.822774196536626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-5.6843418860808015E-14</v>
      </c>
      <c r="BE125" s="14">
        <f>BD125*VLOOKUP('Données projet'!$B$11,Paramètres!$A$1:$I$89,3,0)*VLOOKUP('Données projet'!$B$11,Paramètres!$A$1:$I$89,5,0)</f>
        <v>-4.9658410716801891E-14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303.33040062722074</v>
      </c>
      <c r="BJ125" s="62">
        <f t="shared" si="92"/>
        <v>425.30058672361548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1.487283603876892</v>
      </c>
      <c r="BR125" s="23">
        <f>EXP(-LN(2)/2)*BR124+(1-EXP(-LN(2)/2))/(LN(2)/2)*BL125*BO125*VLOOKUP('Données projet'!$B$11,Paramètres!$A$1:$I$89,3,0)*0.475*44/12</f>
        <v>2.3895563994393933E-13</v>
      </c>
      <c r="BS125" s="24">
        <f t="shared" si="63"/>
        <v>1.4872836038771309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349.9999999999996</v>
      </c>
      <c r="O126" s="14">
        <f>N126*VLOOKUP('Données projet'!$B$9,Paramètres!$A$1:$I$89,3,0)*VLOOKUP('Données projet'!$B$9,Paramètres!$A$1:$I$89,5,0)</f>
        <v>278.4599999999997</v>
      </c>
      <c r="P126" s="14">
        <f t="shared" si="87"/>
        <v>66.641458222154824</v>
      </c>
      <c r="Q126" s="22">
        <f t="shared" si="107"/>
        <v>601.05170640358574</v>
      </c>
      <c r="R126" s="62">
        <f t="shared" si="55"/>
        <v>894.385039736919</v>
      </c>
      <c r="S126" s="62">
        <f ca="1">AVERAGE(OFFSET($R$3,0,0,'Données projet'!$E$9+1,1))-AVERAGE(OFFSET($H$3,0,0,'Données projet'!$E$9+1,1))</f>
        <v>354.56491118410622</v>
      </c>
      <c r="T126" s="62">
        <f t="shared" si="88"/>
        <v>343.77208530767069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1.9481190192515097</v>
      </c>
      <c r="AB126" s="23">
        <f>EXP(-LN(2)/2)*AB125+(1-EXP(-LN(2)/2))/(LN(2)/2)*V126*Y126*VLOOKUP('Données projet'!$B$9,Paramètres!$A$1:$I$89,3,0)*0.475*44/12</f>
        <v>1.3469026685251874E-13</v>
      </c>
      <c r="AC126" s="24">
        <f t="shared" si="57"/>
        <v>1.9481190192516444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417.99999999999972</v>
      </c>
      <c r="AJ126" s="14">
        <f>AI126*VLOOKUP('Données projet'!$B$10,Paramètres!$A$1:$I$89,3,0)*VLOOKUP('Données projet'!$B$10,Paramètres!$A$1:$I$89,5,0)</f>
        <v>306.47759999999982</v>
      </c>
      <c r="AK126" s="14">
        <f t="shared" si="89"/>
        <v>72.532724321633353</v>
      </c>
      <c r="AL126" s="22">
        <f t="shared" si="58"/>
        <v>660.10964819351113</v>
      </c>
      <c r="AM126" s="62">
        <f t="shared" si="59"/>
        <v>953.44298152684451</v>
      </c>
      <c r="AN126" s="62">
        <f ca="1">AVERAGE(OFFSET($AM$3,0,0,'Données projet'!$E$10+1,1))-AVERAGE(OFFSET($H$3,0,0,'Données projet'!$E$10+1,1))</f>
        <v>380.01621935031324</v>
      </c>
      <c r="AO126" s="62">
        <f t="shared" si="90"/>
        <v>365.76175372075869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1.7729303402765979</v>
      </c>
      <c r="AW126" s="23">
        <f>EXP(-LN(2)/2)*AW125+(1-EXP(-LN(2)/2))/(LN(2)/2)*AQ126*AT126*VLOOKUP('Données projet'!$B$10,Paramètres!$A$1:$I$89,3,0)*0.475*44/12</f>
        <v>1.4903453814492607E-13</v>
      </c>
      <c r="AX126" s="23">
        <f t="shared" si="60"/>
        <v>1.7729303402767469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-5.6843418860808015E-14</v>
      </c>
      <c r="BE126" s="14">
        <f>BD126*VLOOKUP('Données projet'!$B$11,Paramètres!$A$1:$I$89,3,0)*VLOOKUP('Données projet'!$B$11,Paramètres!$A$1:$I$89,5,0)</f>
        <v>-4.9658410716801891E-14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303.33040062722074</v>
      </c>
      <c r="BJ126" s="62">
        <f t="shared" si="92"/>
        <v>425.30058672361548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1.4466137555160328</v>
      </c>
      <c r="BR126" s="23">
        <f>EXP(-LN(2)/2)*BR125+(1-EXP(-LN(2)/2))/(LN(2)/2)*BL126*BO126*VLOOKUP('Données projet'!$B$11,Paramètres!$A$1:$I$89,3,0)*0.475*44/12</f>
        <v>1.6896715340713055E-13</v>
      </c>
      <c r="BS126" s="24">
        <f t="shared" si="63"/>
        <v>1.4466137555162017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349.9999999999996</v>
      </c>
      <c r="O127" s="14">
        <f>N127*VLOOKUP('Données projet'!$B$9,Paramètres!$A$1:$I$89,3,0)*VLOOKUP('Données projet'!$B$9,Paramètres!$A$1:$I$89,5,0)</f>
        <v>278.4599999999997</v>
      </c>
      <c r="P127" s="14">
        <f t="shared" si="87"/>
        <v>66.641458222154824</v>
      </c>
      <c r="Q127" s="22">
        <f t="shared" si="107"/>
        <v>601.05170640358574</v>
      </c>
      <c r="R127" s="62">
        <f t="shared" si="55"/>
        <v>894.385039736919</v>
      </c>
      <c r="S127" s="62">
        <f ca="1">AVERAGE(OFFSET($R$3,0,0,'Données projet'!$E$9+1,1))-AVERAGE(OFFSET($H$3,0,0,'Données projet'!$E$9+1,1))</f>
        <v>354.56491118410622</v>
      </c>
      <c r="T127" s="62">
        <f t="shared" si="88"/>
        <v>343.77208530767069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1.8948476022229503</v>
      </c>
      <c r="AB127" s="23">
        <f>EXP(-LN(2)/2)*AB126+(1-EXP(-LN(2)/2))/(LN(2)/2)*V127*Y127*VLOOKUP('Données projet'!$B$9,Paramètres!$A$1:$I$89,3,0)*0.475*44/12</f>
        <v>9.5240401051241669E-14</v>
      </c>
      <c r="AC127" s="24">
        <f t="shared" si="57"/>
        <v>1.8948476022230456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417.99999999999972</v>
      </c>
      <c r="AJ127" s="14">
        <f>AI127*VLOOKUP('Données projet'!$B$10,Paramètres!$A$1:$I$89,3,0)*VLOOKUP('Données projet'!$B$10,Paramètres!$A$1:$I$89,5,0)</f>
        <v>306.47759999999982</v>
      </c>
      <c r="AK127" s="14">
        <f t="shared" si="89"/>
        <v>72.532724321633353</v>
      </c>
      <c r="AL127" s="22">
        <f t="shared" si="58"/>
        <v>660.10964819351113</v>
      </c>
      <c r="AM127" s="62">
        <f t="shared" si="59"/>
        <v>953.44298152684451</v>
      </c>
      <c r="AN127" s="62">
        <f ca="1">AVERAGE(OFFSET($AM$3,0,0,'Données projet'!$E$10+1,1))-AVERAGE(OFFSET($H$3,0,0,'Données projet'!$E$10+1,1))</f>
        <v>380.01621935031324</v>
      </c>
      <c r="AO127" s="62">
        <f t="shared" si="90"/>
        <v>365.76175372075869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1.7244494668873798</v>
      </c>
      <c r="AW127" s="23">
        <f>EXP(-LN(2)/2)*AW126+(1-EXP(-LN(2)/2))/(LN(2)/2)*AQ127*AT127*VLOOKUP('Données projet'!$B$10,Paramètres!$A$1:$I$89,3,0)*0.475*44/12</f>
        <v>1.0538333255328241E-13</v>
      </c>
      <c r="AX127" s="23">
        <f t="shared" si="60"/>
        <v>1.7244494668874852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-5.6843418860808015E-14</v>
      </c>
      <c r="BE127" s="14">
        <f>BD127*VLOOKUP('Données projet'!$B$11,Paramètres!$A$1:$I$89,3,0)*VLOOKUP('Données projet'!$B$11,Paramètres!$A$1:$I$89,5,0)</f>
        <v>-4.9658410716801891E-14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303.33040062722074</v>
      </c>
      <c r="BJ127" s="62">
        <f t="shared" si="92"/>
        <v>425.30058672361548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1.4070560262973357</v>
      </c>
      <c r="BR127" s="23">
        <f>EXP(-LN(2)/2)*BR126+(1-EXP(-LN(2)/2))/(LN(2)/2)*BL127*BO127*VLOOKUP('Données projet'!$B$11,Paramètres!$A$1:$I$89,3,0)*0.475*44/12</f>
        <v>1.1947781997196966E-13</v>
      </c>
      <c r="BS127" s="24">
        <f t="shared" si="63"/>
        <v>1.4070560262974552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349.9999999999996</v>
      </c>
      <c r="O128" s="14">
        <f>N128*VLOOKUP('Données projet'!$B$9,Paramètres!$A$1:$I$89,3,0)*VLOOKUP('Données projet'!$B$9,Paramètres!$A$1:$I$89,5,0)</f>
        <v>278.4599999999997</v>
      </c>
      <c r="P128" s="14">
        <f t="shared" si="87"/>
        <v>66.641458222154824</v>
      </c>
      <c r="Q128" s="22">
        <f t="shared" si="107"/>
        <v>601.05170640358574</v>
      </c>
      <c r="R128" s="62">
        <f t="shared" si="55"/>
        <v>894.385039736919</v>
      </c>
      <c r="S128" s="62">
        <f ca="1">AVERAGE(OFFSET($R$3,0,0,'Données projet'!$E$9+1,1))-AVERAGE(OFFSET($H$3,0,0,'Données projet'!$E$9+1,1))</f>
        <v>354.56491118410622</v>
      </c>
      <c r="T128" s="62">
        <f t="shared" si="88"/>
        <v>343.77208530767069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1.8430328948944592</v>
      </c>
      <c r="AB128" s="23">
        <f>EXP(-LN(2)/2)*AB127+(1-EXP(-LN(2)/2))/(LN(2)/2)*V128*Y128*VLOOKUP('Données projet'!$B$9,Paramètres!$A$1:$I$89,3,0)*0.475*44/12</f>
        <v>6.7345133426259372E-14</v>
      </c>
      <c r="AC128" s="24">
        <f t="shared" si="57"/>
        <v>1.8430328948945265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417.99999999999972</v>
      </c>
      <c r="AJ128" s="14">
        <f>AI128*VLOOKUP('Données projet'!$B$10,Paramètres!$A$1:$I$89,3,0)*VLOOKUP('Données projet'!$B$10,Paramètres!$A$1:$I$89,5,0)</f>
        <v>306.47759999999982</v>
      </c>
      <c r="AK128" s="14">
        <f t="shared" si="89"/>
        <v>72.532724321633353</v>
      </c>
      <c r="AL128" s="22">
        <f t="shared" si="58"/>
        <v>660.10964819351113</v>
      </c>
      <c r="AM128" s="62">
        <f t="shared" si="59"/>
        <v>953.44298152684451</v>
      </c>
      <c r="AN128" s="62">
        <f ca="1">AVERAGE(OFFSET($AM$3,0,0,'Données projet'!$E$10+1,1))-AVERAGE(OFFSET($H$3,0,0,'Données projet'!$E$10+1,1))</f>
        <v>380.01621935031324</v>
      </c>
      <c r="AO128" s="62">
        <f t="shared" si="90"/>
        <v>365.76175372075869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1.6772943055304881</v>
      </c>
      <c r="AW128" s="23">
        <f>EXP(-LN(2)/2)*AW127+(1-EXP(-LN(2)/2))/(LN(2)/2)*AQ128*AT128*VLOOKUP('Données projet'!$B$10,Paramètres!$A$1:$I$89,3,0)*0.475*44/12</f>
        <v>7.4517269072463034E-14</v>
      </c>
      <c r="AX128" s="23">
        <f t="shared" si="60"/>
        <v>1.6772943055305627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-5.6843418860808015E-14</v>
      </c>
      <c r="BE128" s="14">
        <f>BD128*VLOOKUP('Données projet'!$B$11,Paramètres!$A$1:$I$89,3,0)*VLOOKUP('Données projet'!$B$11,Paramètres!$A$1:$I$89,5,0)</f>
        <v>-4.9658410716801891E-14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303.33040062722074</v>
      </c>
      <c r="BJ128" s="62">
        <f t="shared" si="92"/>
        <v>425.30058672361548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1.3685800052643746</v>
      </c>
      <c r="BR128" s="23">
        <f>EXP(-LN(2)/2)*BR127+(1-EXP(-LN(2)/2))/(LN(2)/2)*BL128*BO128*VLOOKUP('Données projet'!$B$11,Paramètres!$A$1:$I$89,3,0)*0.475*44/12</f>
        <v>8.4483576703565273E-14</v>
      </c>
      <c r="BS128" s="24">
        <f t="shared" si="63"/>
        <v>1.368580005264459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349.9999999999996</v>
      </c>
      <c r="O129" s="14">
        <f>N129*VLOOKUP('Données projet'!$B$9,Paramètres!$A$1:$I$89,3,0)*VLOOKUP('Données projet'!$B$9,Paramètres!$A$1:$I$89,5,0)</f>
        <v>278.4599999999997</v>
      </c>
      <c r="P129" s="14">
        <f t="shared" si="87"/>
        <v>66.641458222154824</v>
      </c>
      <c r="Q129" s="22">
        <f t="shared" si="107"/>
        <v>601.05170640358574</v>
      </c>
      <c r="R129" s="62">
        <f t="shared" si="55"/>
        <v>894.385039736919</v>
      </c>
      <c r="S129" s="62">
        <f ca="1">AVERAGE(OFFSET($R$3,0,0,'Données projet'!$E$9+1,1))-AVERAGE(OFFSET($H$3,0,0,'Données projet'!$E$9+1,1))</f>
        <v>354.56491118410622</v>
      </c>
      <c r="T129" s="62">
        <f t="shared" si="88"/>
        <v>343.77208530767069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1.7926350634626826</v>
      </c>
      <c r="AB129" s="23">
        <f>EXP(-LN(2)/2)*AB128+(1-EXP(-LN(2)/2))/(LN(2)/2)*V129*Y129*VLOOKUP('Données projet'!$B$9,Paramètres!$A$1:$I$89,3,0)*0.475*44/12</f>
        <v>4.7620200525620834E-14</v>
      </c>
      <c r="AC129" s="24">
        <f t="shared" si="57"/>
        <v>1.7926350634627302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417.99999999999972</v>
      </c>
      <c r="AJ129" s="14">
        <f>AI129*VLOOKUP('Données projet'!$B$10,Paramètres!$A$1:$I$89,3,0)*VLOOKUP('Données projet'!$B$10,Paramètres!$A$1:$I$89,5,0)</f>
        <v>306.47759999999982</v>
      </c>
      <c r="AK129" s="14">
        <f t="shared" si="89"/>
        <v>72.532724321633353</v>
      </c>
      <c r="AL129" s="22">
        <f t="shared" si="58"/>
        <v>660.10964819351113</v>
      </c>
      <c r="AM129" s="62">
        <f t="shared" si="59"/>
        <v>953.44298152684451</v>
      </c>
      <c r="AN129" s="62">
        <f ca="1">AVERAGE(OFFSET($AM$3,0,0,'Données projet'!$E$10+1,1))-AVERAGE(OFFSET($H$3,0,0,'Données projet'!$E$10+1,1))</f>
        <v>380.01621935031324</v>
      </c>
      <c r="AO129" s="62">
        <f t="shared" si="90"/>
        <v>365.76175372075869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1.6314286045406829</v>
      </c>
      <c r="AW129" s="23">
        <f>EXP(-LN(2)/2)*AW128+(1-EXP(-LN(2)/2))/(LN(2)/2)*AQ129*AT129*VLOOKUP('Données projet'!$B$10,Paramètres!$A$1:$I$89,3,0)*0.475*44/12</f>
        <v>5.2691666276641204E-14</v>
      </c>
      <c r="AX129" s="23">
        <f t="shared" si="60"/>
        <v>1.6314286045407356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-5.6843418860808015E-14</v>
      </c>
      <c r="BE129" s="14">
        <f>BD129*VLOOKUP('Données projet'!$B$11,Paramètres!$A$1:$I$89,3,0)*VLOOKUP('Données projet'!$B$11,Paramètres!$A$1:$I$89,5,0)</f>
        <v>-4.9658410716801891E-14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303.33040062722074</v>
      </c>
      <c r="BJ129" s="62">
        <f t="shared" si="92"/>
        <v>425.30058672361548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1.3311561130499256</v>
      </c>
      <c r="BR129" s="23">
        <f>EXP(-LN(2)/2)*BR128+(1-EXP(-LN(2)/2))/(LN(2)/2)*BL129*BO129*VLOOKUP('Données projet'!$B$11,Paramètres!$A$1:$I$89,3,0)*0.475*44/12</f>
        <v>5.9738909985984832E-14</v>
      </c>
      <c r="BS129" s="24">
        <f t="shared" si="63"/>
        <v>1.3311561130499854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349.9999999999996</v>
      </c>
      <c r="O130" s="14">
        <f>N130*VLOOKUP('Données projet'!$B$9,Paramètres!$A$1:$I$89,3,0)*VLOOKUP('Données projet'!$B$9,Paramètres!$A$1:$I$89,5,0)</f>
        <v>278.4599999999997</v>
      </c>
      <c r="P130" s="14">
        <f t="shared" si="87"/>
        <v>66.641458222154824</v>
      </c>
      <c r="Q130" s="22">
        <f t="shared" si="107"/>
        <v>601.05170640358574</v>
      </c>
      <c r="R130" s="62">
        <f t="shared" si="55"/>
        <v>894.385039736919</v>
      </c>
      <c r="S130" s="62">
        <f ca="1">AVERAGE(OFFSET($R$3,0,0,'Données projet'!$E$9+1,1))-AVERAGE(OFFSET($H$3,0,0,'Données projet'!$E$9+1,1))</f>
        <v>354.56491118410622</v>
      </c>
      <c r="T130" s="62">
        <f t="shared" si="88"/>
        <v>343.77208530767069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1.7436153633817146</v>
      </c>
      <c r="AB130" s="23">
        <f>EXP(-LN(2)/2)*AB129+(1-EXP(-LN(2)/2))/(LN(2)/2)*V130*Y130*VLOOKUP('Données projet'!$B$9,Paramètres!$A$1:$I$89,3,0)*0.475*44/12</f>
        <v>3.3672566713129686E-14</v>
      </c>
      <c r="AC130" s="24">
        <f t="shared" si="57"/>
        <v>1.7436153633817484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417.99999999999972</v>
      </c>
      <c r="AJ130" s="14">
        <f>AI130*VLOOKUP('Données projet'!$B$10,Paramètres!$A$1:$I$89,3,0)*VLOOKUP('Données projet'!$B$10,Paramètres!$A$1:$I$89,5,0)</f>
        <v>306.47759999999982</v>
      </c>
      <c r="AK130" s="14">
        <f t="shared" si="89"/>
        <v>72.532724321633353</v>
      </c>
      <c r="AL130" s="22">
        <f t="shared" si="58"/>
        <v>660.10964819351113</v>
      </c>
      <c r="AM130" s="62">
        <f t="shared" si="59"/>
        <v>953.44298152684451</v>
      </c>
      <c r="AN130" s="62">
        <f ca="1">AVERAGE(OFFSET($AM$3,0,0,'Données projet'!$E$10+1,1))-AVERAGE(OFFSET($H$3,0,0,'Données projet'!$E$10+1,1))</f>
        <v>380.01621935031324</v>
      </c>
      <c r="AO130" s="62">
        <f t="shared" si="90"/>
        <v>365.76175372075869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1.5868171035564163</v>
      </c>
      <c r="AW130" s="23">
        <f>EXP(-LN(2)/2)*AW129+(1-EXP(-LN(2)/2))/(LN(2)/2)*AQ130*AT130*VLOOKUP('Données projet'!$B$10,Paramètres!$A$1:$I$89,3,0)*0.475*44/12</f>
        <v>3.7258634536231517E-14</v>
      </c>
      <c r="AX130" s="23">
        <f t="shared" si="60"/>
        <v>1.5868171035564536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-5.6843418860808015E-14</v>
      </c>
      <c r="BE130" s="14">
        <f>BD130*VLOOKUP('Données projet'!$B$11,Paramètres!$A$1:$I$89,3,0)*VLOOKUP('Données projet'!$B$11,Paramètres!$A$1:$I$89,5,0)</f>
        <v>-4.9658410716801891E-14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303.33040062722074</v>
      </c>
      <c r="BJ130" s="62">
        <f t="shared" si="92"/>
        <v>425.30058672361548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1.2947555791361178</v>
      </c>
      <c r="BR130" s="23">
        <f>EXP(-LN(2)/2)*BR129+(1-EXP(-LN(2)/2))/(LN(2)/2)*BL130*BO130*VLOOKUP('Données projet'!$B$11,Paramètres!$A$1:$I$89,3,0)*0.475*44/12</f>
        <v>4.2241788351782636E-14</v>
      </c>
      <c r="BS130" s="24">
        <f t="shared" si="63"/>
        <v>1.29475557913616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349.9999999999996</v>
      </c>
      <c r="O131" s="14">
        <f>N131*VLOOKUP('Données projet'!$B$9,Paramètres!$A$1:$I$89,3,0)*VLOOKUP('Données projet'!$B$9,Paramètres!$A$1:$I$89,5,0)</f>
        <v>278.4599999999997</v>
      </c>
      <c r="P131" s="14">
        <f t="shared" si="87"/>
        <v>66.641458222154824</v>
      </c>
      <c r="Q131" s="22">
        <f t="shared" ref="Q131:Q153" si="108">(O131+P131)*0.475*44/12</f>
        <v>601.05170640358574</v>
      </c>
      <c r="R131" s="62">
        <f t="shared" ref="R131:R194" si="109">Q131+(I131+J131)*44/12</f>
        <v>894.385039736919</v>
      </c>
      <c r="S131" s="62">
        <f ca="1">AVERAGE(OFFSET($R$3,0,0,'Données projet'!$E$9+1,1))-AVERAGE(OFFSET($H$3,0,0,'Données projet'!$E$9+1,1))</f>
        <v>354.56491118410622</v>
      </c>
      <c r="T131" s="62">
        <f t="shared" si="88"/>
        <v>343.77208530767069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1.6959361095772947</v>
      </c>
      <c r="AB131" s="23">
        <f>EXP(-LN(2)/2)*AB130+(1-EXP(-LN(2)/2))/(LN(2)/2)*V131*Y131*VLOOKUP('Données projet'!$B$9,Paramètres!$A$1:$I$89,3,0)*0.475*44/12</f>
        <v>2.3810100262810417E-14</v>
      </c>
      <c r="AC131" s="24">
        <f t="shared" si="57"/>
        <v>1.6959361095773184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417.99999999999972</v>
      </c>
      <c r="AJ131" s="14">
        <f>AI131*VLOOKUP('Données projet'!$B$10,Paramètres!$A$1:$I$89,3,0)*VLOOKUP('Données projet'!$B$10,Paramètres!$A$1:$I$89,5,0)</f>
        <v>306.47759999999982</v>
      </c>
      <c r="AK131" s="14">
        <f t="shared" si="89"/>
        <v>72.532724321633353</v>
      </c>
      <c r="AL131" s="22">
        <f t="shared" si="58"/>
        <v>660.10964819351113</v>
      </c>
      <c r="AM131" s="62">
        <f t="shared" si="59"/>
        <v>953.44298152684451</v>
      </c>
      <c r="AN131" s="62">
        <f ca="1">AVERAGE(OFFSET($AM$3,0,0,'Données projet'!$E$10+1,1))-AVERAGE(OFFSET($H$3,0,0,'Données projet'!$E$10+1,1))</f>
        <v>380.01621935031324</v>
      </c>
      <c r="AO131" s="62">
        <f t="shared" si="90"/>
        <v>365.76175372075869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1.5434255064125812</v>
      </c>
      <c r="AW131" s="23">
        <f>EXP(-LN(2)/2)*AW130+(1-EXP(-LN(2)/2))/(LN(2)/2)*AQ131*AT131*VLOOKUP('Données projet'!$B$10,Paramètres!$A$1:$I$89,3,0)*0.475*44/12</f>
        <v>2.6345833138320602E-14</v>
      </c>
      <c r="AX131" s="23">
        <f t="shared" si="60"/>
        <v>1.5434255064126077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-5.6843418860808015E-14</v>
      </c>
      <c r="BE131" s="14">
        <f>BD131*VLOOKUP('Données projet'!$B$11,Paramètres!$A$1:$I$89,3,0)*VLOOKUP('Données projet'!$B$11,Paramètres!$A$1:$I$89,5,0)</f>
        <v>-4.9658410716801891E-14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303.33040062722074</v>
      </c>
      <c r="BJ131" s="62">
        <f t="shared" si="92"/>
        <v>425.30058672361548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1.259350419736404</v>
      </c>
      <c r="BR131" s="23">
        <f>EXP(-LN(2)/2)*BR130+(1-EXP(-LN(2)/2))/(LN(2)/2)*BL131*BO131*VLOOKUP('Données projet'!$B$11,Paramètres!$A$1:$I$89,3,0)*0.475*44/12</f>
        <v>2.9869454992992416E-14</v>
      </c>
      <c r="BS131" s="24">
        <f t="shared" si="63"/>
        <v>1.259350419736434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349.9999999999996</v>
      </c>
      <c r="O132" s="14">
        <f>N132*VLOOKUP('Données projet'!$B$9,Paramètres!$A$1:$I$89,3,0)*VLOOKUP('Données projet'!$B$9,Paramètres!$A$1:$I$89,5,0)</f>
        <v>278.4599999999997</v>
      </c>
      <c r="P132" s="14">
        <f t="shared" si="87"/>
        <v>66.641458222154824</v>
      </c>
      <c r="Q132" s="22">
        <f t="shared" si="108"/>
        <v>601.05170640358574</v>
      </c>
      <c r="R132" s="62">
        <f t="shared" si="109"/>
        <v>894.385039736919</v>
      </c>
      <c r="S132" s="62">
        <f ca="1">AVERAGE(OFFSET($R$3,0,0,'Données projet'!$E$9+1,1))-AVERAGE(OFFSET($H$3,0,0,'Données projet'!$E$9+1,1))</f>
        <v>354.56491118410622</v>
      </c>
      <c r="T132" s="62">
        <f t="shared" si="88"/>
        <v>343.77208530767069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1.6495606474754996</v>
      </c>
      <c r="AB132" s="23">
        <f>EXP(-LN(2)/2)*AB131+(1-EXP(-LN(2)/2))/(LN(2)/2)*V132*Y132*VLOOKUP('Données projet'!$B$9,Paramètres!$A$1:$I$89,3,0)*0.475*44/12</f>
        <v>1.6836283356564843E-14</v>
      </c>
      <c r="AC132" s="24">
        <f t="shared" ref="AC132:AC153" si="111">SUM(Z132:AB132)</f>
        <v>1.6495606474755165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417.99999999999972</v>
      </c>
      <c r="AJ132" s="14">
        <f>AI132*VLOOKUP('Données projet'!$B$10,Paramètres!$A$1:$I$89,3,0)*VLOOKUP('Données projet'!$B$10,Paramètres!$A$1:$I$89,5,0)</f>
        <v>306.47759999999982</v>
      </c>
      <c r="AK132" s="14">
        <f t="shared" si="89"/>
        <v>72.532724321633353</v>
      </c>
      <c r="AL132" s="22">
        <f t="shared" ref="AL132:AL153" si="112">(AJ132+AK132)*0.475*44/12</f>
        <v>660.10964819351113</v>
      </c>
      <c r="AM132" s="62">
        <f t="shared" ref="AM132:AM195" si="113">AL132+(AD132+AE132)*44/12</f>
        <v>953.44298152684451</v>
      </c>
      <c r="AN132" s="62">
        <f ca="1">AVERAGE(OFFSET($AM$3,0,0,'Données projet'!$E$10+1,1))-AVERAGE(OFFSET($H$3,0,0,'Données projet'!$E$10+1,1))</f>
        <v>380.01621935031324</v>
      </c>
      <c r="AO132" s="62">
        <f t="shared" si="90"/>
        <v>365.76175372075869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1.5012204547745094</v>
      </c>
      <c r="AW132" s="23">
        <f>EXP(-LN(2)/2)*AW131+(1-EXP(-LN(2)/2))/(LN(2)/2)*AQ132*AT132*VLOOKUP('Données projet'!$B$10,Paramètres!$A$1:$I$89,3,0)*0.475*44/12</f>
        <v>1.8629317268115758E-14</v>
      </c>
      <c r="AX132" s="23">
        <f t="shared" ref="AX132:AX153" si="114">SUM(AU132:AW132)</f>
        <v>1.501220454774528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-5.6843418860808015E-14</v>
      </c>
      <c r="BE132" s="14">
        <f>BD132*VLOOKUP('Données projet'!$B$11,Paramètres!$A$1:$I$89,3,0)*VLOOKUP('Données projet'!$B$11,Paramètres!$A$1:$I$89,5,0)</f>
        <v>-4.9658410716801891E-14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303.33040062722074</v>
      </c>
      <c r="BJ132" s="62">
        <f t="shared" si="92"/>
        <v>425.30058672361548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1.2249134162823518</v>
      </c>
      <c r="BR132" s="23">
        <f>EXP(-LN(2)/2)*BR131+(1-EXP(-LN(2)/2))/(LN(2)/2)*BL132*BO132*VLOOKUP('Données projet'!$B$11,Paramètres!$A$1:$I$89,3,0)*0.475*44/12</f>
        <v>2.1120894175891318E-14</v>
      </c>
      <c r="BS132" s="24">
        <f t="shared" ref="BS132:BS153" si="117">SUM(BP132:BR132)</f>
        <v>1.2249134162823729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349.9999999999996</v>
      </c>
      <c r="O133" s="14">
        <f>N133*VLOOKUP('Données projet'!$B$9,Paramètres!$A$1:$I$89,3,0)*VLOOKUP('Données projet'!$B$9,Paramètres!$A$1:$I$89,5,0)</f>
        <v>278.4599999999997</v>
      </c>
      <c r="P133" s="14">
        <f t="shared" ref="P133:P196" si="141">EXP(-1.0587+0.8836*LN(O133)+0.284)</f>
        <v>66.641458222154824</v>
      </c>
      <c r="Q133" s="22">
        <f t="shared" si="108"/>
        <v>601.05170640358574</v>
      </c>
      <c r="R133" s="62">
        <f t="shared" si="109"/>
        <v>894.385039736919</v>
      </c>
      <c r="S133" s="62">
        <f ca="1">AVERAGE(OFFSET($R$3,0,0,'Données projet'!$E$9+1,1))-AVERAGE(OFFSET($H$3,0,0,'Données projet'!$E$9+1,1))</f>
        <v>354.56491118410622</v>
      </c>
      <c r="T133" s="62">
        <f t="shared" ref="T133:T196" si="142">$T$3</f>
        <v>343.77208530767069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1.6044533248236577</v>
      </c>
      <c r="AB133" s="23">
        <f>EXP(-LN(2)/2)*AB132+(1-EXP(-LN(2)/2))/(LN(2)/2)*V133*Y133*VLOOKUP('Données projet'!$B$9,Paramètres!$A$1:$I$89,3,0)*0.475*44/12</f>
        <v>1.1905050131405209E-14</v>
      </c>
      <c r="AC133" s="24">
        <f t="shared" si="111"/>
        <v>1.6044533248236696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417.99999999999972</v>
      </c>
      <c r="AJ133" s="14">
        <f>AI133*VLOOKUP('Données projet'!$B$10,Paramètres!$A$1:$I$89,3,0)*VLOOKUP('Données projet'!$B$10,Paramètres!$A$1:$I$89,5,0)</f>
        <v>306.47759999999982</v>
      </c>
      <c r="AK133" s="14">
        <f t="shared" ref="AK133:AK153" si="143">EXP(-1.0587+0.8836*LN(AJ133)+0.284)</f>
        <v>72.532724321633353</v>
      </c>
      <c r="AL133" s="22">
        <f t="shared" si="112"/>
        <v>660.10964819351113</v>
      </c>
      <c r="AM133" s="62">
        <f t="shared" si="113"/>
        <v>953.44298152684451</v>
      </c>
      <c r="AN133" s="62">
        <f ca="1">AVERAGE(OFFSET($AM$3,0,0,'Données projet'!$E$10+1,1))-AVERAGE(OFFSET($H$3,0,0,'Données projet'!$E$10+1,1))</f>
        <v>380.01621935031324</v>
      </c>
      <c r="AO133" s="62">
        <f t="shared" ref="AO133:AO196" si="144">$AO$3</f>
        <v>365.76175372075869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1.4601695024929477</v>
      </c>
      <c r="AW133" s="23">
        <f>EXP(-LN(2)/2)*AW132+(1-EXP(-LN(2)/2))/(LN(2)/2)*AQ133*AT133*VLOOKUP('Données projet'!$B$10,Paramètres!$A$1:$I$89,3,0)*0.475*44/12</f>
        <v>1.3172916569160301E-14</v>
      </c>
      <c r="AX133" s="23">
        <f t="shared" si="114"/>
        <v>1.4601695024929608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-5.6843418860808015E-14</v>
      </c>
      <c r="BE133" s="14">
        <f>BD133*VLOOKUP('Données projet'!$B$11,Paramètres!$A$1:$I$89,3,0)*VLOOKUP('Données projet'!$B$11,Paramètres!$A$1:$I$89,5,0)</f>
        <v>-4.9658410716801891E-14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303.33040062722074</v>
      </c>
      <c r="BJ133" s="62">
        <f t="shared" ref="BJ133:BJ196" si="146">$BJ$3</f>
        <v>425.30058672361548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1.1914180944987141</v>
      </c>
      <c r="BR133" s="23">
        <f>EXP(-LN(2)/2)*BR132+(1-EXP(-LN(2)/2))/(LN(2)/2)*BL133*BO133*VLOOKUP('Données projet'!$B$11,Paramètres!$A$1:$I$89,3,0)*0.475*44/12</f>
        <v>1.4934727496496208E-14</v>
      </c>
      <c r="BS133" s="24">
        <f t="shared" si="117"/>
        <v>1.1914180944987289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349.9999999999996</v>
      </c>
      <c r="O134" s="14">
        <f>N134*VLOOKUP('Données projet'!$B$9,Paramètres!$A$1:$I$89,3,0)*VLOOKUP('Données projet'!$B$9,Paramètres!$A$1:$I$89,5,0)</f>
        <v>278.4599999999997</v>
      </c>
      <c r="P134" s="14">
        <f t="shared" si="141"/>
        <v>66.641458222154824</v>
      </c>
      <c r="Q134" s="22">
        <f t="shared" si="108"/>
        <v>601.05170640358574</v>
      </c>
      <c r="R134" s="62">
        <f t="shared" si="109"/>
        <v>894.385039736919</v>
      </c>
      <c r="S134" s="62">
        <f ca="1">AVERAGE(OFFSET($R$3,0,0,'Données projet'!$E$9+1,1))-AVERAGE(OFFSET($H$3,0,0,'Données projet'!$E$9+1,1))</f>
        <v>354.56491118410622</v>
      </c>
      <c r="T134" s="62">
        <f t="shared" si="142"/>
        <v>343.77208530767069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1.5605794642818214</v>
      </c>
      <c r="AB134" s="23">
        <f>EXP(-LN(2)/2)*AB133+(1-EXP(-LN(2)/2))/(LN(2)/2)*V134*Y134*VLOOKUP('Données projet'!$B$9,Paramètres!$A$1:$I$89,3,0)*0.475*44/12</f>
        <v>8.4181416782824215E-15</v>
      </c>
      <c r="AC134" s="24">
        <f t="shared" si="111"/>
        <v>1.5605794642818298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417.99999999999972</v>
      </c>
      <c r="AJ134" s="14">
        <f>AI134*VLOOKUP('Données projet'!$B$10,Paramètres!$A$1:$I$89,3,0)*VLOOKUP('Données projet'!$B$10,Paramètres!$A$1:$I$89,5,0)</f>
        <v>306.47759999999982</v>
      </c>
      <c r="AK134" s="14">
        <f t="shared" si="143"/>
        <v>72.532724321633353</v>
      </c>
      <c r="AL134" s="22">
        <f t="shared" si="112"/>
        <v>660.10964819351113</v>
      </c>
      <c r="AM134" s="62">
        <f t="shared" si="113"/>
        <v>953.44298152684451</v>
      </c>
      <c r="AN134" s="62">
        <f ca="1">AVERAGE(OFFSET($AM$3,0,0,'Données projet'!$E$10+1,1))-AVERAGE(OFFSET($H$3,0,0,'Données projet'!$E$10+1,1))</f>
        <v>380.01621935031324</v>
      </c>
      <c r="AO134" s="62">
        <f t="shared" si="144"/>
        <v>365.76175372075869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1.4202410906603011</v>
      </c>
      <c r="AW134" s="23">
        <f>EXP(-LN(2)/2)*AW133+(1-EXP(-LN(2)/2))/(LN(2)/2)*AQ134*AT134*VLOOKUP('Données projet'!$B$10,Paramètres!$A$1:$I$89,3,0)*0.475*44/12</f>
        <v>9.3146586340578792E-15</v>
      </c>
      <c r="AX134" s="23">
        <f t="shared" si="114"/>
        <v>1.4202410906603105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-5.6843418860808015E-14</v>
      </c>
      <c r="BE134" s="14">
        <f>BD134*VLOOKUP('Données projet'!$B$11,Paramètres!$A$1:$I$89,3,0)*VLOOKUP('Données projet'!$B$11,Paramètres!$A$1:$I$89,5,0)</f>
        <v>-4.9658410716801891E-14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303.33040062722074</v>
      </c>
      <c r="BJ134" s="62">
        <f t="shared" si="146"/>
        <v>425.30058672361548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1.1588387040506922</v>
      </c>
      <c r="BR134" s="23">
        <f>EXP(-LN(2)/2)*BR133+(1-EXP(-LN(2)/2))/(LN(2)/2)*BL134*BO134*VLOOKUP('Données projet'!$B$11,Paramètres!$A$1:$I$89,3,0)*0.475*44/12</f>
        <v>1.0560447087945659E-14</v>
      </c>
      <c r="BS134" s="24">
        <f t="shared" si="117"/>
        <v>1.1588387040507029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349.9999999999996</v>
      </c>
      <c r="O135" s="14">
        <f>N135*VLOOKUP('Données projet'!$B$9,Paramètres!$A$1:$I$89,3,0)*VLOOKUP('Données projet'!$B$9,Paramètres!$A$1:$I$89,5,0)</f>
        <v>278.4599999999997</v>
      </c>
      <c r="P135" s="14">
        <f t="shared" si="141"/>
        <v>66.641458222154824</v>
      </c>
      <c r="Q135" s="22">
        <f t="shared" si="108"/>
        <v>601.05170640358574</v>
      </c>
      <c r="R135" s="62">
        <f t="shared" si="109"/>
        <v>894.385039736919</v>
      </c>
      <c r="S135" s="62">
        <f ca="1">AVERAGE(OFFSET($R$3,0,0,'Données projet'!$E$9+1,1))-AVERAGE(OFFSET($H$3,0,0,'Données projet'!$E$9+1,1))</f>
        <v>354.56491118410622</v>
      </c>
      <c r="T135" s="62">
        <f t="shared" si="142"/>
        <v>343.77208530767069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1.5179053367637276</v>
      </c>
      <c r="AB135" s="23">
        <f>EXP(-LN(2)/2)*AB134+(1-EXP(-LN(2)/2))/(LN(2)/2)*V135*Y135*VLOOKUP('Données projet'!$B$9,Paramètres!$A$1:$I$89,3,0)*0.475*44/12</f>
        <v>5.9525250657026043E-15</v>
      </c>
      <c r="AC135" s="24">
        <f t="shared" si="111"/>
        <v>1.5179053367637336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417.99999999999972</v>
      </c>
      <c r="AJ135" s="14">
        <f>AI135*VLOOKUP('Données projet'!$B$10,Paramètres!$A$1:$I$89,3,0)*VLOOKUP('Données projet'!$B$10,Paramètres!$A$1:$I$89,5,0)</f>
        <v>306.47759999999982</v>
      </c>
      <c r="AK135" s="14">
        <f t="shared" si="143"/>
        <v>72.532724321633353</v>
      </c>
      <c r="AL135" s="22">
        <f t="shared" si="112"/>
        <v>660.10964819351113</v>
      </c>
      <c r="AM135" s="62">
        <f t="shared" si="113"/>
        <v>953.44298152684451</v>
      </c>
      <c r="AN135" s="62">
        <f ca="1">AVERAGE(OFFSET($AM$3,0,0,'Données projet'!$E$10+1,1))-AVERAGE(OFFSET($H$3,0,0,'Données projet'!$E$10+1,1))</f>
        <v>380.01621935031324</v>
      </c>
      <c r="AO135" s="62">
        <f t="shared" si="144"/>
        <v>365.76175372075869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1.3814045233489622</v>
      </c>
      <c r="AW135" s="23">
        <f>EXP(-LN(2)/2)*AW134+(1-EXP(-LN(2)/2))/(LN(2)/2)*AQ135*AT135*VLOOKUP('Données projet'!$B$10,Paramètres!$A$1:$I$89,3,0)*0.475*44/12</f>
        <v>6.5864582845801505E-15</v>
      </c>
      <c r="AX135" s="23">
        <f t="shared" si="114"/>
        <v>1.3814045233489689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-5.6843418860808015E-14</v>
      </c>
      <c r="BE135" s="14">
        <f>BD135*VLOOKUP('Données projet'!$B$11,Paramètres!$A$1:$I$89,3,0)*VLOOKUP('Données projet'!$B$11,Paramètres!$A$1:$I$89,5,0)</f>
        <v>-4.9658410716801891E-14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303.33040062722074</v>
      </c>
      <c r="BJ135" s="62">
        <f t="shared" si="146"/>
        <v>425.30058672361548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1.1271501987477472</v>
      </c>
      <c r="BR135" s="23">
        <f>EXP(-LN(2)/2)*BR134+(1-EXP(-LN(2)/2))/(LN(2)/2)*BL135*BO135*VLOOKUP('Données projet'!$B$11,Paramètres!$A$1:$I$89,3,0)*0.475*44/12</f>
        <v>7.467363748248104E-15</v>
      </c>
      <c r="BS135" s="24">
        <f t="shared" si="117"/>
        <v>1.1271501987477548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349.9999999999996</v>
      </c>
      <c r="O136" s="14">
        <f>N136*VLOOKUP('Données projet'!$B$9,Paramètres!$A$1:$I$89,3,0)*VLOOKUP('Données projet'!$B$9,Paramètres!$A$1:$I$89,5,0)</f>
        <v>278.4599999999997</v>
      </c>
      <c r="P136" s="14">
        <f t="shared" si="141"/>
        <v>66.641458222154824</v>
      </c>
      <c r="Q136" s="22">
        <f t="shared" si="108"/>
        <v>601.05170640358574</v>
      </c>
      <c r="R136" s="62">
        <f t="shared" si="109"/>
        <v>894.385039736919</v>
      </c>
      <c r="S136" s="62">
        <f ca="1">AVERAGE(OFFSET($R$3,0,0,'Données projet'!$E$9+1,1))-AVERAGE(OFFSET($H$3,0,0,'Données projet'!$E$9+1,1))</f>
        <v>354.56491118410622</v>
      </c>
      <c r="T136" s="62">
        <f t="shared" si="142"/>
        <v>343.77208530767069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1.476398135506751</v>
      </c>
      <c r="AB136" s="23">
        <f>EXP(-LN(2)/2)*AB135+(1-EXP(-LN(2)/2))/(LN(2)/2)*V136*Y136*VLOOKUP('Données projet'!$B$9,Paramètres!$A$1:$I$89,3,0)*0.475*44/12</f>
        <v>4.2090708391412107E-15</v>
      </c>
      <c r="AC136" s="24">
        <f t="shared" si="111"/>
        <v>1.4763981355067552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417.99999999999972</v>
      </c>
      <c r="AJ136" s="14">
        <f>AI136*VLOOKUP('Données projet'!$B$10,Paramètres!$A$1:$I$89,3,0)*VLOOKUP('Données projet'!$B$10,Paramètres!$A$1:$I$89,5,0)</f>
        <v>306.47759999999982</v>
      </c>
      <c r="AK136" s="14">
        <f t="shared" si="143"/>
        <v>72.532724321633353</v>
      </c>
      <c r="AL136" s="22">
        <f t="shared" si="112"/>
        <v>660.10964819351113</v>
      </c>
      <c r="AM136" s="62">
        <f t="shared" si="113"/>
        <v>953.44298152684451</v>
      </c>
      <c r="AN136" s="62">
        <f ca="1">AVERAGE(OFFSET($AM$3,0,0,'Données projet'!$E$10+1,1))-AVERAGE(OFFSET($H$3,0,0,'Données projet'!$E$10+1,1))</f>
        <v>380.01621935031324</v>
      </c>
      <c r="AO136" s="62">
        <f t="shared" si="144"/>
        <v>365.76175372075869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1.3436299440130783</v>
      </c>
      <c r="AW136" s="23">
        <f>EXP(-LN(2)/2)*AW135+(1-EXP(-LN(2)/2))/(LN(2)/2)*AQ136*AT136*VLOOKUP('Données projet'!$B$10,Paramètres!$A$1:$I$89,3,0)*0.475*44/12</f>
        <v>4.6573293170289396E-15</v>
      </c>
      <c r="AX136" s="23">
        <f t="shared" si="114"/>
        <v>1.343629944013083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-5.6843418860808015E-14</v>
      </c>
      <c r="BE136" s="14">
        <f>BD136*VLOOKUP('Données projet'!$B$11,Paramètres!$A$1:$I$89,3,0)*VLOOKUP('Données projet'!$B$11,Paramètres!$A$1:$I$89,5,0)</f>
        <v>-4.9658410716801891E-14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303.33040062722074</v>
      </c>
      <c r="BJ136" s="62">
        <f t="shared" si="146"/>
        <v>425.30058672361548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1.0963282172887372</v>
      </c>
      <c r="BR136" s="23">
        <f>EXP(-LN(2)/2)*BR135+(1-EXP(-LN(2)/2))/(LN(2)/2)*BL136*BO136*VLOOKUP('Données projet'!$B$11,Paramètres!$A$1:$I$89,3,0)*0.475*44/12</f>
        <v>5.2802235439728295E-15</v>
      </c>
      <c r="BS136" s="24">
        <f t="shared" si="117"/>
        <v>1.0963282172887425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349.9999999999996</v>
      </c>
      <c r="O137" s="14">
        <f>N137*VLOOKUP('Données projet'!$B$9,Paramètres!$A$1:$I$89,3,0)*VLOOKUP('Données projet'!$B$9,Paramètres!$A$1:$I$89,5,0)</f>
        <v>278.4599999999997</v>
      </c>
      <c r="P137" s="14">
        <f t="shared" si="141"/>
        <v>66.641458222154824</v>
      </c>
      <c r="Q137" s="22">
        <f t="shared" si="108"/>
        <v>601.05170640358574</v>
      </c>
      <c r="R137" s="62">
        <f t="shared" si="109"/>
        <v>894.385039736919</v>
      </c>
      <c r="S137" s="62">
        <f ca="1">AVERAGE(OFFSET($R$3,0,0,'Données projet'!$E$9+1,1))-AVERAGE(OFFSET($H$3,0,0,'Données projet'!$E$9+1,1))</f>
        <v>354.56491118410622</v>
      </c>
      <c r="T137" s="62">
        <f t="shared" si="142"/>
        <v>343.77208530767069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1.4360259508509152</v>
      </c>
      <c r="AB137" s="23">
        <f>EXP(-LN(2)/2)*AB136+(1-EXP(-LN(2)/2))/(LN(2)/2)*V137*Y137*VLOOKUP('Données projet'!$B$9,Paramètres!$A$1:$I$89,3,0)*0.475*44/12</f>
        <v>2.9762625328513022E-15</v>
      </c>
      <c r="AC137" s="24">
        <f t="shared" si="111"/>
        <v>1.4360259508509181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417.99999999999972</v>
      </c>
      <c r="AJ137" s="14">
        <f>AI137*VLOOKUP('Données projet'!$B$10,Paramètres!$A$1:$I$89,3,0)*VLOOKUP('Données projet'!$B$10,Paramètres!$A$1:$I$89,5,0)</f>
        <v>306.47759999999982</v>
      </c>
      <c r="AK137" s="14">
        <f t="shared" si="143"/>
        <v>72.532724321633353</v>
      </c>
      <c r="AL137" s="22">
        <f t="shared" si="112"/>
        <v>660.10964819351113</v>
      </c>
      <c r="AM137" s="62">
        <f t="shared" si="113"/>
        <v>953.44298152684451</v>
      </c>
      <c r="AN137" s="62">
        <f ca="1">AVERAGE(OFFSET($AM$3,0,0,'Données projet'!$E$10+1,1))-AVERAGE(OFFSET($H$3,0,0,'Données projet'!$E$10+1,1))</f>
        <v>380.01621935031324</v>
      </c>
      <c r="AO137" s="62">
        <f t="shared" si="144"/>
        <v>365.76175372075869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1.3068883125356128</v>
      </c>
      <c r="AW137" s="23">
        <f>EXP(-LN(2)/2)*AW136+(1-EXP(-LN(2)/2))/(LN(2)/2)*AQ137*AT137*VLOOKUP('Données projet'!$B$10,Paramètres!$A$1:$I$89,3,0)*0.475*44/12</f>
        <v>3.2932291422900753E-15</v>
      </c>
      <c r="AX137" s="23">
        <f t="shared" si="114"/>
        <v>1.3068883125356161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-5.6843418860808015E-14</v>
      </c>
      <c r="BE137" s="14">
        <f>BD137*VLOOKUP('Données projet'!$B$11,Paramètres!$A$1:$I$89,3,0)*VLOOKUP('Données projet'!$B$11,Paramètres!$A$1:$I$89,5,0)</f>
        <v>-4.9658410716801891E-14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303.33040062722074</v>
      </c>
      <c r="BJ137" s="62">
        <f t="shared" si="146"/>
        <v>425.30058672361548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1.0663490645335814</v>
      </c>
      <c r="BR137" s="23">
        <f>EXP(-LN(2)/2)*BR136+(1-EXP(-LN(2)/2))/(LN(2)/2)*BL137*BO137*VLOOKUP('Données projet'!$B$11,Paramètres!$A$1:$I$89,3,0)*0.475*44/12</f>
        <v>3.733681874124052E-15</v>
      </c>
      <c r="BS137" s="24">
        <f t="shared" si="117"/>
        <v>1.0663490645335851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349.9999999999996</v>
      </c>
      <c r="O138" s="14">
        <f>N138*VLOOKUP('Données projet'!$B$9,Paramètres!$A$1:$I$89,3,0)*VLOOKUP('Données projet'!$B$9,Paramètres!$A$1:$I$89,5,0)</f>
        <v>278.4599999999997</v>
      </c>
      <c r="P138" s="14">
        <f t="shared" si="141"/>
        <v>66.641458222154824</v>
      </c>
      <c r="Q138" s="22">
        <f t="shared" si="108"/>
        <v>601.05170640358574</v>
      </c>
      <c r="R138" s="62">
        <f t="shared" si="109"/>
        <v>894.385039736919</v>
      </c>
      <c r="S138" s="62">
        <f ca="1">AVERAGE(OFFSET($R$3,0,0,'Données projet'!$E$9+1,1))-AVERAGE(OFFSET($H$3,0,0,'Données projet'!$E$9+1,1))</f>
        <v>354.56491118410622</v>
      </c>
      <c r="T138" s="62">
        <f t="shared" si="142"/>
        <v>343.77208530767069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1.3967577457075744</v>
      </c>
      <c r="AB138" s="23">
        <f>EXP(-LN(2)/2)*AB137+(1-EXP(-LN(2)/2))/(LN(2)/2)*V138*Y138*VLOOKUP('Données projet'!$B$9,Paramètres!$A$1:$I$89,3,0)*0.475*44/12</f>
        <v>2.1045354195706054E-15</v>
      </c>
      <c r="AC138" s="24">
        <f t="shared" si="111"/>
        <v>1.3967577457075764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417.99999999999972</v>
      </c>
      <c r="AJ138" s="14">
        <f>AI138*VLOOKUP('Données projet'!$B$10,Paramètres!$A$1:$I$89,3,0)*VLOOKUP('Données projet'!$B$10,Paramètres!$A$1:$I$89,5,0)</f>
        <v>306.47759999999982</v>
      </c>
      <c r="AK138" s="14">
        <f t="shared" si="143"/>
        <v>72.532724321633353</v>
      </c>
      <c r="AL138" s="22">
        <f t="shared" si="112"/>
        <v>660.10964819351113</v>
      </c>
      <c r="AM138" s="62">
        <f t="shared" si="113"/>
        <v>953.44298152684451</v>
      </c>
      <c r="AN138" s="62">
        <f ca="1">AVERAGE(OFFSET($AM$3,0,0,'Données projet'!$E$10+1,1))-AVERAGE(OFFSET($H$3,0,0,'Données projet'!$E$10+1,1))</f>
        <v>380.01621935031324</v>
      </c>
      <c r="AO138" s="62">
        <f t="shared" si="144"/>
        <v>365.76175372075869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1.271151382903057</v>
      </c>
      <c r="AW138" s="23">
        <f>EXP(-LN(2)/2)*AW137+(1-EXP(-LN(2)/2))/(LN(2)/2)*AQ138*AT138*VLOOKUP('Données projet'!$B$10,Paramètres!$A$1:$I$89,3,0)*0.475*44/12</f>
        <v>2.3286646585144698E-15</v>
      </c>
      <c r="AX138" s="23">
        <f t="shared" si="114"/>
        <v>1.2711513829030592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-5.6843418860808015E-14</v>
      </c>
      <c r="BE138" s="14">
        <f>BD138*VLOOKUP('Données projet'!$B$11,Paramètres!$A$1:$I$89,3,0)*VLOOKUP('Données projet'!$B$11,Paramètres!$A$1:$I$89,5,0)</f>
        <v>-4.9658410716801891E-14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303.33040062722074</v>
      </c>
      <c r="BJ138" s="62">
        <f t="shared" si="146"/>
        <v>425.30058672361548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1.0371896932870504</v>
      </c>
      <c r="BR138" s="23">
        <f>EXP(-LN(2)/2)*BR137+(1-EXP(-LN(2)/2))/(LN(2)/2)*BL138*BO138*VLOOKUP('Données projet'!$B$11,Paramètres!$A$1:$I$89,3,0)*0.475*44/12</f>
        <v>2.6401117719864148E-15</v>
      </c>
      <c r="BS138" s="24">
        <f t="shared" si="117"/>
        <v>1.037189693287053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349.9999999999996</v>
      </c>
      <c r="O139" s="14">
        <f>N139*VLOOKUP('Données projet'!$B$9,Paramètres!$A$1:$I$89,3,0)*VLOOKUP('Données projet'!$B$9,Paramètres!$A$1:$I$89,5,0)</f>
        <v>278.4599999999997</v>
      </c>
      <c r="P139" s="14">
        <f t="shared" si="141"/>
        <v>66.641458222154824</v>
      </c>
      <c r="Q139" s="22">
        <f t="shared" si="108"/>
        <v>601.05170640358574</v>
      </c>
      <c r="R139" s="62">
        <f t="shared" si="109"/>
        <v>894.385039736919</v>
      </c>
      <c r="S139" s="62">
        <f ca="1">AVERAGE(OFFSET($R$3,0,0,'Données projet'!$E$9+1,1))-AVERAGE(OFFSET($H$3,0,0,'Données projet'!$E$9+1,1))</f>
        <v>354.56491118410622</v>
      </c>
      <c r="T139" s="62">
        <f t="shared" si="142"/>
        <v>343.77208530767069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1.3585633316989032</v>
      </c>
      <c r="AB139" s="23">
        <f>EXP(-LN(2)/2)*AB138+(1-EXP(-LN(2)/2))/(LN(2)/2)*V139*Y139*VLOOKUP('Données projet'!$B$9,Paramètres!$A$1:$I$89,3,0)*0.475*44/12</f>
        <v>1.4881312664256511E-15</v>
      </c>
      <c r="AC139" s="24">
        <f t="shared" si="111"/>
        <v>1.3585633316989048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417.99999999999972</v>
      </c>
      <c r="AJ139" s="14">
        <f>AI139*VLOOKUP('Données projet'!$B$10,Paramètres!$A$1:$I$89,3,0)*VLOOKUP('Données projet'!$B$10,Paramètres!$A$1:$I$89,5,0)</f>
        <v>306.47759999999982</v>
      </c>
      <c r="AK139" s="14">
        <f t="shared" si="143"/>
        <v>72.532724321633353</v>
      </c>
      <c r="AL139" s="22">
        <f t="shared" si="112"/>
        <v>660.10964819351113</v>
      </c>
      <c r="AM139" s="62">
        <f t="shared" si="113"/>
        <v>953.44298152684451</v>
      </c>
      <c r="AN139" s="62">
        <f ca="1">AVERAGE(OFFSET($AM$3,0,0,'Données projet'!$E$10+1,1))-AVERAGE(OFFSET($H$3,0,0,'Données projet'!$E$10+1,1))</f>
        <v>380.01621935031324</v>
      </c>
      <c r="AO139" s="62">
        <f t="shared" si="144"/>
        <v>365.76175372075869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1.2363916814906268</v>
      </c>
      <c r="AW139" s="23">
        <f>EXP(-LN(2)/2)*AW138+(1-EXP(-LN(2)/2))/(LN(2)/2)*AQ139*AT139*VLOOKUP('Données projet'!$B$10,Paramètres!$A$1:$I$89,3,0)*0.475*44/12</f>
        <v>1.6466145711450376E-15</v>
      </c>
      <c r="AX139" s="23">
        <f t="shared" si="114"/>
        <v>1.2363916814906284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-5.6843418860808015E-14</v>
      </c>
      <c r="BE139" s="14">
        <f>BD139*VLOOKUP('Données projet'!$B$11,Paramètres!$A$1:$I$89,3,0)*VLOOKUP('Données projet'!$B$11,Paramètres!$A$1:$I$89,5,0)</f>
        <v>-4.9658410716801891E-14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303.33040062722074</v>
      </c>
      <c r="BJ139" s="62">
        <f t="shared" si="146"/>
        <v>425.30058672361548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1.0088276865806804</v>
      </c>
      <c r="BR139" s="23">
        <f>EXP(-LN(2)/2)*BR138+(1-EXP(-LN(2)/2))/(LN(2)/2)*BL139*BO139*VLOOKUP('Données projet'!$B$11,Paramètres!$A$1:$I$89,3,0)*0.475*44/12</f>
        <v>1.866840937062026E-15</v>
      </c>
      <c r="BS139" s="24">
        <f t="shared" si="117"/>
        <v>1.0088276865806822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349.9999999999996</v>
      </c>
      <c r="O140" s="14">
        <f>N140*VLOOKUP('Données projet'!$B$9,Paramètres!$A$1:$I$89,3,0)*VLOOKUP('Données projet'!$B$9,Paramètres!$A$1:$I$89,5,0)</f>
        <v>278.4599999999997</v>
      </c>
      <c r="P140" s="14">
        <f t="shared" si="141"/>
        <v>66.641458222154824</v>
      </c>
      <c r="Q140" s="22">
        <f t="shared" si="108"/>
        <v>601.05170640358574</v>
      </c>
      <c r="R140" s="62">
        <f t="shared" si="109"/>
        <v>894.385039736919</v>
      </c>
      <c r="S140" s="62">
        <f ca="1">AVERAGE(OFFSET($R$3,0,0,'Données projet'!$E$9+1,1))-AVERAGE(OFFSET($H$3,0,0,'Données projet'!$E$9+1,1))</f>
        <v>354.56491118410622</v>
      </c>
      <c r="T140" s="62">
        <f t="shared" si="142"/>
        <v>343.77208530767069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1.321413345949856</v>
      </c>
      <c r="AB140" s="23">
        <f>EXP(-LN(2)/2)*AB139+(1-EXP(-LN(2)/2))/(LN(2)/2)*V140*Y140*VLOOKUP('Données projet'!$B$9,Paramètres!$A$1:$I$89,3,0)*0.475*44/12</f>
        <v>1.0522677097853027E-15</v>
      </c>
      <c r="AC140" s="24">
        <f t="shared" si="111"/>
        <v>1.3214133459498572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417.99999999999972</v>
      </c>
      <c r="AJ140" s="14">
        <f>AI140*VLOOKUP('Données projet'!$B$10,Paramètres!$A$1:$I$89,3,0)*VLOOKUP('Données projet'!$B$10,Paramètres!$A$1:$I$89,5,0)</f>
        <v>306.47759999999982</v>
      </c>
      <c r="AK140" s="14">
        <f t="shared" si="143"/>
        <v>72.532724321633353</v>
      </c>
      <c r="AL140" s="22">
        <f t="shared" si="112"/>
        <v>660.10964819351113</v>
      </c>
      <c r="AM140" s="62">
        <f t="shared" si="113"/>
        <v>953.44298152684451</v>
      </c>
      <c r="AN140" s="62">
        <f ca="1">AVERAGE(OFFSET($AM$3,0,0,'Données projet'!$E$10+1,1))-AVERAGE(OFFSET($H$3,0,0,'Données projet'!$E$10+1,1))</f>
        <v>380.01621935031324</v>
      </c>
      <c r="AO140" s="62">
        <f t="shared" si="144"/>
        <v>365.76175372075869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1.2025824859412528</v>
      </c>
      <c r="AW140" s="23">
        <f>EXP(-LN(2)/2)*AW139+(1-EXP(-LN(2)/2))/(LN(2)/2)*AQ140*AT140*VLOOKUP('Données projet'!$B$10,Paramètres!$A$1:$I$89,3,0)*0.475*44/12</f>
        <v>1.1643323292572349E-15</v>
      </c>
      <c r="AX140" s="23">
        <f t="shared" si="114"/>
        <v>1.2025824859412539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-5.6843418860808015E-14</v>
      </c>
      <c r="BE140" s="14">
        <f>BD140*VLOOKUP('Données projet'!$B$11,Paramètres!$A$1:$I$89,3,0)*VLOOKUP('Données projet'!$B$11,Paramètres!$A$1:$I$89,5,0)</f>
        <v>-4.9658410716801891E-14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303.33040062722074</v>
      </c>
      <c r="BJ140" s="62">
        <f t="shared" si="146"/>
        <v>425.30058672361548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0.98124124043918937</v>
      </c>
      <c r="BR140" s="23">
        <f>EXP(-LN(2)/2)*BR139+(1-EXP(-LN(2)/2))/(LN(2)/2)*BL140*BO140*VLOOKUP('Données projet'!$B$11,Paramètres!$A$1:$I$89,3,0)*0.475*44/12</f>
        <v>1.3200558859932074E-15</v>
      </c>
      <c r="BS140" s="24">
        <f t="shared" si="117"/>
        <v>0.9812412404391907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349.9999999999996</v>
      </c>
      <c r="O141" s="14">
        <f>N141*VLOOKUP('Données projet'!$B$9,Paramètres!$A$1:$I$89,3,0)*VLOOKUP('Données projet'!$B$9,Paramètres!$A$1:$I$89,5,0)</f>
        <v>278.4599999999997</v>
      </c>
      <c r="P141" s="14">
        <f t="shared" si="141"/>
        <v>66.641458222154824</v>
      </c>
      <c r="Q141" s="22">
        <f t="shared" si="108"/>
        <v>601.05170640358574</v>
      </c>
      <c r="R141" s="62">
        <f t="shared" si="109"/>
        <v>894.385039736919</v>
      </c>
      <c r="S141" s="62">
        <f ca="1">AVERAGE(OFFSET($R$3,0,0,'Données projet'!$E$9+1,1))-AVERAGE(OFFSET($H$3,0,0,'Données projet'!$E$9+1,1))</f>
        <v>354.56491118410622</v>
      </c>
      <c r="T141" s="62">
        <f t="shared" si="142"/>
        <v>343.77208530767069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1.2852792285147494</v>
      </c>
      <c r="AB141" s="23">
        <f>EXP(-LN(2)/2)*AB140+(1-EXP(-LN(2)/2))/(LN(2)/2)*V141*Y141*VLOOKUP('Données projet'!$B$9,Paramètres!$A$1:$I$89,3,0)*0.475*44/12</f>
        <v>7.4406563321282554E-16</v>
      </c>
      <c r="AC141" s="24">
        <f t="shared" si="111"/>
        <v>1.2852792285147501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417.99999999999972</v>
      </c>
      <c r="AJ141" s="14">
        <f>AI141*VLOOKUP('Données projet'!$B$10,Paramètres!$A$1:$I$89,3,0)*VLOOKUP('Données projet'!$B$10,Paramètres!$A$1:$I$89,5,0)</f>
        <v>306.47759999999982</v>
      </c>
      <c r="AK141" s="14">
        <f t="shared" si="143"/>
        <v>72.532724321633353</v>
      </c>
      <c r="AL141" s="22">
        <f t="shared" si="112"/>
        <v>660.10964819351113</v>
      </c>
      <c r="AM141" s="62">
        <f t="shared" si="113"/>
        <v>953.44298152684451</v>
      </c>
      <c r="AN141" s="62">
        <f ca="1">AVERAGE(OFFSET($AM$3,0,0,'Données projet'!$E$10+1,1))-AVERAGE(OFFSET($H$3,0,0,'Données projet'!$E$10+1,1))</f>
        <v>380.01621935031324</v>
      </c>
      <c r="AO141" s="62">
        <f t="shared" si="144"/>
        <v>365.76175372075869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1.1696978046221249</v>
      </c>
      <c r="AW141" s="23">
        <f>EXP(-LN(2)/2)*AW140+(1-EXP(-LN(2)/2))/(LN(2)/2)*AQ141*AT141*VLOOKUP('Données projet'!$B$10,Paramètres!$A$1:$I$89,3,0)*0.475*44/12</f>
        <v>8.2330728557251882E-16</v>
      </c>
      <c r="AX141" s="23">
        <f t="shared" si="114"/>
        <v>1.1696978046221258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-5.6843418860808015E-14</v>
      </c>
      <c r="BE141" s="14">
        <f>BD141*VLOOKUP('Données projet'!$B$11,Paramètres!$A$1:$I$89,3,0)*VLOOKUP('Données projet'!$B$11,Paramètres!$A$1:$I$89,5,0)</f>
        <v>-4.9658410716801891E-14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303.33040062722074</v>
      </c>
      <c r="BJ141" s="62">
        <f t="shared" si="146"/>
        <v>425.30058672361548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0.95440914711814551</v>
      </c>
      <c r="BR141" s="23">
        <f>EXP(-LN(2)/2)*BR140+(1-EXP(-LN(2)/2))/(LN(2)/2)*BL141*BO141*VLOOKUP('Données projet'!$B$11,Paramètres!$A$1:$I$89,3,0)*0.475*44/12</f>
        <v>9.3342046853101301E-16</v>
      </c>
      <c r="BS141" s="24">
        <f t="shared" si="117"/>
        <v>0.95440914711814639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349.9999999999996</v>
      </c>
      <c r="O142" s="14">
        <f>N142*VLOOKUP('Données projet'!$B$9,Paramètres!$A$1:$I$89,3,0)*VLOOKUP('Données projet'!$B$9,Paramètres!$A$1:$I$89,5,0)</f>
        <v>278.4599999999997</v>
      </c>
      <c r="P142" s="14">
        <f t="shared" si="141"/>
        <v>66.641458222154824</v>
      </c>
      <c r="Q142" s="22">
        <f t="shared" si="108"/>
        <v>601.05170640358574</v>
      </c>
      <c r="R142" s="62">
        <f t="shared" si="109"/>
        <v>894.385039736919</v>
      </c>
      <c r="S142" s="62">
        <f ca="1">AVERAGE(OFFSET($R$3,0,0,'Données projet'!$E$9+1,1))-AVERAGE(OFFSET($H$3,0,0,'Données projet'!$E$9+1,1))</f>
        <v>354.56491118410622</v>
      </c>
      <c r="T142" s="62">
        <f t="shared" si="142"/>
        <v>343.77208530767069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1.2501332004211165</v>
      </c>
      <c r="AB142" s="23">
        <f>EXP(-LN(2)/2)*AB141+(1-EXP(-LN(2)/2))/(LN(2)/2)*V142*Y142*VLOOKUP('Données projet'!$B$9,Paramètres!$A$1:$I$89,3,0)*0.475*44/12</f>
        <v>5.2613385489265134E-16</v>
      </c>
      <c r="AC142" s="24">
        <f t="shared" si="111"/>
        <v>1.250133200421117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417.99999999999972</v>
      </c>
      <c r="AJ142" s="14">
        <f>AI142*VLOOKUP('Données projet'!$B$10,Paramètres!$A$1:$I$89,3,0)*VLOOKUP('Données projet'!$B$10,Paramètres!$A$1:$I$89,5,0)</f>
        <v>306.47759999999982</v>
      </c>
      <c r="AK142" s="14">
        <f t="shared" si="143"/>
        <v>72.532724321633353</v>
      </c>
      <c r="AL142" s="22">
        <f t="shared" si="112"/>
        <v>660.10964819351113</v>
      </c>
      <c r="AM142" s="62">
        <f t="shared" si="113"/>
        <v>953.44298152684451</v>
      </c>
      <c r="AN142" s="62">
        <f ca="1">AVERAGE(OFFSET($AM$3,0,0,'Données projet'!$E$10+1,1))-AVERAGE(OFFSET($H$3,0,0,'Données projet'!$E$10+1,1))</f>
        <v>380.01621935031324</v>
      </c>
      <c r="AO142" s="62">
        <f t="shared" si="144"/>
        <v>365.76175372075869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1.1377123566429987</v>
      </c>
      <c r="AW142" s="23">
        <f>EXP(-LN(2)/2)*AW141+(1-EXP(-LN(2)/2))/(LN(2)/2)*AQ142*AT142*VLOOKUP('Données projet'!$B$10,Paramètres!$A$1:$I$89,3,0)*0.475*44/12</f>
        <v>5.8216616462861745E-16</v>
      </c>
      <c r="AX142" s="23">
        <f t="shared" si="114"/>
        <v>1.1377123566429994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-5.6843418860808015E-14</v>
      </c>
      <c r="BE142" s="14">
        <f>BD142*VLOOKUP('Données projet'!$B$11,Paramètres!$A$1:$I$89,3,0)*VLOOKUP('Données projet'!$B$11,Paramètres!$A$1:$I$89,5,0)</f>
        <v>-4.9658410716801891E-14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303.33040062722074</v>
      </c>
      <c r="BJ142" s="62">
        <f t="shared" si="146"/>
        <v>425.30058672361548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0.92831077880000412</v>
      </c>
      <c r="BR142" s="23">
        <f>EXP(-LN(2)/2)*BR141+(1-EXP(-LN(2)/2))/(LN(2)/2)*BL142*BO142*VLOOKUP('Données projet'!$B$11,Paramètres!$A$1:$I$89,3,0)*0.475*44/12</f>
        <v>6.6002794299660369E-16</v>
      </c>
      <c r="BS142" s="24">
        <f t="shared" si="117"/>
        <v>0.92831077880000479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349.9999999999996</v>
      </c>
      <c r="O143" s="14">
        <f>N143*VLOOKUP('Données projet'!$B$9,Paramètres!$A$1:$I$89,3,0)*VLOOKUP('Données projet'!$B$9,Paramètres!$A$1:$I$89,5,0)</f>
        <v>278.4599999999997</v>
      </c>
      <c r="P143" s="14">
        <f t="shared" si="141"/>
        <v>66.641458222154824</v>
      </c>
      <c r="Q143" s="22">
        <f t="shared" si="108"/>
        <v>601.05170640358574</v>
      </c>
      <c r="R143" s="62">
        <f t="shared" si="109"/>
        <v>894.385039736919</v>
      </c>
      <c r="S143" s="62">
        <f ca="1">AVERAGE(OFFSET($R$3,0,0,'Données projet'!$E$9+1,1))-AVERAGE(OFFSET($H$3,0,0,'Données projet'!$E$9+1,1))</f>
        <v>354.56491118410622</v>
      </c>
      <c r="T143" s="62">
        <f t="shared" si="142"/>
        <v>343.77208530767069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1.2159482423139534</v>
      </c>
      <c r="AB143" s="23">
        <f>EXP(-LN(2)/2)*AB142+(1-EXP(-LN(2)/2))/(LN(2)/2)*V143*Y143*VLOOKUP('Données projet'!$B$9,Paramètres!$A$1:$I$89,3,0)*0.475*44/12</f>
        <v>3.7203281660641277E-16</v>
      </c>
      <c r="AC143" s="24">
        <f t="shared" si="111"/>
        <v>1.2159482423139538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417.99999999999972</v>
      </c>
      <c r="AJ143" s="14">
        <f>AI143*VLOOKUP('Données projet'!$B$10,Paramètres!$A$1:$I$89,3,0)*VLOOKUP('Données projet'!$B$10,Paramètres!$A$1:$I$89,5,0)</f>
        <v>306.47759999999982</v>
      </c>
      <c r="AK143" s="14">
        <f t="shared" si="143"/>
        <v>72.532724321633353</v>
      </c>
      <c r="AL143" s="22">
        <f t="shared" si="112"/>
        <v>660.10964819351113</v>
      </c>
      <c r="AM143" s="62">
        <f t="shared" si="113"/>
        <v>953.44298152684451</v>
      </c>
      <c r="AN143" s="62">
        <f ca="1">AVERAGE(OFFSET($AM$3,0,0,'Données projet'!$E$10+1,1))-AVERAGE(OFFSET($H$3,0,0,'Données projet'!$E$10+1,1))</f>
        <v>380.01621935031324</v>
      </c>
      <c r="AO143" s="62">
        <f t="shared" si="144"/>
        <v>365.76175372075869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1.1066015524209034</v>
      </c>
      <c r="AW143" s="23">
        <f>EXP(-LN(2)/2)*AW142+(1-EXP(-LN(2)/2))/(LN(2)/2)*AQ143*AT143*VLOOKUP('Données projet'!$B$10,Paramètres!$A$1:$I$89,3,0)*0.475*44/12</f>
        <v>4.1165364278625941E-16</v>
      </c>
      <c r="AX143" s="23">
        <f t="shared" si="114"/>
        <v>1.1066015524209039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-5.6843418860808015E-14</v>
      </c>
      <c r="BE143" s="14">
        <f>BD143*VLOOKUP('Données projet'!$B$11,Paramètres!$A$1:$I$89,3,0)*VLOOKUP('Données projet'!$B$11,Paramètres!$A$1:$I$89,5,0)</f>
        <v>-4.9658410716801891E-14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303.33040062722074</v>
      </c>
      <c r="BJ143" s="62">
        <f t="shared" si="146"/>
        <v>425.30058672361548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0.90292607173597583</v>
      </c>
      <c r="BR143" s="23">
        <f>EXP(-LN(2)/2)*BR142+(1-EXP(-LN(2)/2))/(LN(2)/2)*BL143*BO143*VLOOKUP('Données projet'!$B$11,Paramètres!$A$1:$I$89,3,0)*0.475*44/12</f>
        <v>4.667102342655065E-16</v>
      </c>
      <c r="BS143" s="24">
        <f t="shared" si="117"/>
        <v>0.90292607173597628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349.9999999999996</v>
      </c>
      <c r="O144" s="14">
        <f>N144*VLOOKUP('Données projet'!$B$9,Paramètres!$A$1:$I$89,3,0)*VLOOKUP('Données projet'!$B$9,Paramètres!$A$1:$I$89,5,0)</f>
        <v>278.4599999999997</v>
      </c>
      <c r="P144" s="14">
        <f t="shared" si="141"/>
        <v>66.641458222154824</v>
      </c>
      <c r="Q144" s="22">
        <f t="shared" si="108"/>
        <v>601.05170640358574</v>
      </c>
      <c r="R144" s="62">
        <f t="shared" si="109"/>
        <v>894.385039736919</v>
      </c>
      <c r="S144" s="62">
        <f ca="1">AVERAGE(OFFSET($R$3,0,0,'Données projet'!$E$9+1,1))-AVERAGE(OFFSET($H$3,0,0,'Données projet'!$E$9+1,1))</f>
        <v>354.56491118410622</v>
      </c>
      <c r="T144" s="62">
        <f t="shared" si="142"/>
        <v>343.77208530767069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1.1826980736839394</v>
      </c>
      <c r="AB144" s="23">
        <f>EXP(-LN(2)/2)*AB143+(1-EXP(-LN(2)/2))/(LN(2)/2)*V144*Y144*VLOOKUP('Données projet'!$B$9,Paramètres!$A$1:$I$89,3,0)*0.475*44/12</f>
        <v>2.6306692744632567E-16</v>
      </c>
      <c r="AC144" s="24">
        <f t="shared" si="111"/>
        <v>1.1826980736839396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417.99999999999972</v>
      </c>
      <c r="AJ144" s="14">
        <f>AI144*VLOOKUP('Données projet'!$B$10,Paramètres!$A$1:$I$89,3,0)*VLOOKUP('Données projet'!$B$10,Paramètres!$A$1:$I$89,5,0)</f>
        <v>306.47759999999982</v>
      </c>
      <c r="AK144" s="14">
        <f t="shared" si="143"/>
        <v>72.532724321633353</v>
      </c>
      <c r="AL144" s="22">
        <f t="shared" si="112"/>
        <v>660.10964819351113</v>
      </c>
      <c r="AM144" s="62">
        <f t="shared" si="113"/>
        <v>953.44298152684451</v>
      </c>
      <c r="AN144" s="62">
        <f ca="1">AVERAGE(OFFSET($AM$3,0,0,'Données projet'!$E$10+1,1))-AVERAGE(OFFSET($H$3,0,0,'Données projet'!$E$10+1,1))</f>
        <v>380.01621935031324</v>
      </c>
      <c r="AO144" s="62">
        <f t="shared" si="144"/>
        <v>365.76175372075869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1.0763414747763074</v>
      </c>
      <c r="AW144" s="23">
        <f>EXP(-LN(2)/2)*AW143+(1-EXP(-LN(2)/2))/(LN(2)/2)*AQ144*AT144*VLOOKUP('Données projet'!$B$10,Paramètres!$A$1:$I$89,3,0)*0.475*44/12</f>
        <v>2.9108308231430873E-16</v>
      </c>
      <c r="AX144" s="23">
        <f t="shared" si="114"/>
        <v>1.0763414747763076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-5.6843418860808015E-14</v>
      </c>
      <c r="BE144" s="14">
        <f>BD144*VLOOKUP('Données projet'!$B$11,Paramètres!$A$1:$I$89,3,0)*VLOOKUP('Données projet'!$B$11,Paramètres!$A$1:$I$89,5,0)</f>
        <v>-4.9658410716801891E-14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303.33040062722074</v>
      </c>
      <c r="BJ144" s="62">
        <f t="shared" si="146"/>
        <v>425.30058672361548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0.87823551082153717</v>
      </c>
      <c r="BR144" s="23">
        <f>EXP(-LN(2)/2)*BR143+(1-EXP(-LN(2)/2))/(LN(2)/2)*BL144*BO144*VLOOKUP('Données projet'!$B$11,Paramètres!$A$1:$I$89,3,0)*0.475*44/12</f>
        <v>3.3001397149830185E-16</v>
      </c>
      <c r="BS144" s="24">
        <f t="shared" si="117"/>
        <v>0.8782355108215375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349.9999999999996</v>
      </c>
      <c r="O145" s="14">
        <f>N145*VLOOKUP('Données projet'!$B$9,Paramètres!$A$1:$I$89,3,0)*VLOOKUP('Données projet'!$B$9,Paramètres!$A$1:$I$89,5,0)</f>
        <v>278.4599999999997</v>
      </c>
      <c r="P145" s="14">
        <f t="shared" si="141"/>
        <v>66.641458222154824</v>
      </c>
      <c r="Q145" s="22">
        <f t="shared" si="108"/>
        <v>601.05170640358574</v>
      </c>
      <c r="R145" s="62">
        <f t="shared" si="109"/>
        <v>894.385039736919</v>
      </c>
      <c r="S145" s="62">
        <f ca="1">AVERAGE(OFFSET($R$3,0,0,'Données projet'!$E$9+1,1))-AVERAGE(OFFSET($H$3,0,0,'Données projet'!$E$9+1,1))</f>
        <v>354.56491118410622</v>
      </c>
      <c r="T145" s="62">
        <f t="shared" si="142"/>
        <v>343.77208530767069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1.1503571326636635</v>
      </c>
      <c r="AB145" s="23">
        <f>EXP(-LN(2)/2)*AB144+(1-EXP(-LN(2)/2))/(LN(2)/2)*V145*Y145*VLOOKUP('Données projet'!$B$9,Paramètres!$A$1:$I$89,3,0)*0.475*44/12</f>
        <v>1.8601640830320638E-16</v>
      </c>
      <c r="AC145" s="24">
        <f t="shared" si="111"/>
        <v>1.1503571326636637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417.99999999999972</v>
      </c>
      <c r="AJ145" s="14">
        <f>AI145*VLOOKUP('Données projet'!$B$10,Paramètres!$A$1:$I$89,3,0)*VLOOKUP('Données projet'!$B$10,Paramètres!$A$1:$I$89,5,0)</f>
        <v>306.47759999999982</v>
      </c>
      <c r="AK145" s="14">
        <f t="shared" si="143"/>
        <v>72.532724321633353</v>
      </c>
      <c r="AL145" s="22">
        <f t="shared" si="112"/>
        <v>660.10964819351113</v>
      </c>
      <c r="AM145" s="62">
        <f t="shared" si="113"/>
        <v>953.44298152684451</v>
      </c>
      <c r="AN145" s="62">
        <f ca="1">AVERAGE(OFFSET($AM$3,0,0,'Données projet'!$E$10+1,1))-AVERAGE(OFFSET($H$3,0,0,'Données projet'!$E$10+1,1))</f>
        <v>380.01621935031324</v>
      </c>
      <c r="AO145" s="62">
        <f t="shared" si="144"/>
        <v>365.76175372075869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1.0469088605462111</v>
      </c>
      <c r="AW145" s="23">
        <f>EXP(-LN(2)/2)*AW144+(1-EXP(-LN(2)/2))/(LN(2)/2)*AQ145*AT145*VLOOKUP('Données projet'!$B$10,Paramètres!$A$1:$I$89,3,0)*0.475*44/12</f>
        <v>2.058268213931297E-16</v>
      </c>
      <c r="AX145" s="23">
        <f t="shared" si="114"/>
        <v>1.0469088605462114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-5.6843418860808015E-14</v>
      </c>
      <c r="BE145" s="14">
        <f>BD145*VLOOKUP('Données projet'!$B$11,Paramètres!$A$1:$I$89,3,0)*VLOOKUP('Données projet'!$B$11,Paramètres!$A$1:$I$89,5,0)</f>
        <v>-4.9658410716801891E-14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303.33040062722074</v>
      </c>
      <c r="BJ145" s="62">
        <f t="shared" si="146"/>
        <v>425.30058672361548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0.85422011459372393</v>
      </c>
      <c r="BR145" s="23">
        <f>EXP(-LN(2)/2)*BR144+(1-EXP(-LN(2)/2))/(LN(2)/2)*BL145*BO145*VLOOKUP('Données projet'!$B$11,Paramètres!$A$1:$I$89,3,0)*0.475*44/12</f>
        <v>2.3335511713275325E-16</v>
      </c>
      <c r="BS145" s="24">
        <f t="shared" si="117"/>
        <v>0.85422011459372416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349.9999999999996</v>
      </c>
      <c r="O146" s="14">
        <f>N146*VLOOKUP('Données projet'!$B$9,Paramètres!$A$1:$I$89,3,0)*VLOOKUP('Données projet'!$B$9,Paramètres!$A$1:$I$89,5,0)</f>
        <v>278.4599999999997</v>
      </c>
      <c r="P146" s="14">
        <f t="shared" si="141"/>
        <v>66.641458222154824</v>
      </c>
      <c r="Q146" s="22">
        <f t="shared" si="108"/>
        <v>601.05170640358574</v>
      </c>
      <c r="R146" s="62">
        <f t="shared" si="109"/>
        <v>894.385039736919</v>
      </c>
      <c r="S146" s="62">
        <f ca="1">AVERAGE(OFFSET($R$3,0,0,'Données projet'!$E$9+1,1))-AVERAGE(OFFSET($H$3,0,0,'Données projet'!$E$9+1,1))</f>
        <v>354.56491118410622</v>
      </c>
      <c r="T146" s="62">
        <f t="shared" si="142"/>
        <v>343.77208530767069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1.1189005563763232</v>
      </c>
      <c r="AB146" s="23">
        <f>EXP(-LN(2)/2)*AB145+(1-EXP(-LN(2)/2))/(LN(2)/2)*V146*Y146*VLOOKUP('Données projet'!$B$9,Paramètres!$A$1:$I$89,3,0)*0.475*44/12</f>
        <v>1.3153346372316284E-16</v>
      </c>
      <c r="AC146" s="24">
        <f t="shared" si="111"/>
        <v>1.1189005563763235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417.99999999999972</v>
      </c>
      <c r="AJ146" s="14">
        <f>AI146*VLOOKUP('Données projet'!$B$10,Paramètres!$A$1:$I$89,3,0)*VLOOKUP('Données projet'!$B$10,Paramètres!$A$1:$I$89,5,0)</f>
        <v>306.47759999999982</v>
      </c>
      <c r="AK146" s="14">
        <f t="shared" si="143"/>
        <v>72.532724321633353</v>
      </c>
      <c r="AL146" s="22">
        <f t="shared" si="112"/>
        <v>660.10964819351113</v>
      </c>
      <c r="AM146" s="62">
        <f t="shared" si="113"/>
        <v>953.44298152684451</v>
      </c>
      <c r="AN146" s="62">
        <f ca="1">AVERAGE(OFFSET($AM$3,0,0,'Données projet'!$E$10+1,1))-AVERAGE(OFFSET($H$3,0,0,'Données projet'!$E$10+1,1))</f>
        <v>380.01621935031324</v>
      </c>
      <c r="AO146" s="62">
        <f t="shared" si="144"/>
        <v>365.76175372075869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1.0182810827000308</v>
      </c>
      <c r="AW146" s="23">
        <f>EXP(-LN(2)/2)*AW145+(1-EXP(-LN(2)/2))/(LN(2)/2)*AQ146*AT146*VLOOKUP('Données projet'!$B$10,Paramètres!$A$1:$I$89,3,0)*0.475*44/12</f>
        <v>1.4554154115715436E-16</v>
      </c>
      <c r="AX146" s="23">
        <f t="shared" si="114"/>
        <v>1.018281082700031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-5.6843418860808015E-14</v>
      </c>
      <c r="BE146" s="14">
        <f>BD146*VLOOKUP('Données projet'!$B$11,Paramètres!$A$1:$I$89,3,0)*VLOOKUP('Données projet'!$B$11,Paramètres!$A$1:$I$89,5,0)</f>
        <v>-4.9658410716801891E-14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303.33040062722074</v>
      </c>
      <c r="BJ146" s="62">
        <f t="shared" si="146"/>
        <v>425.30058672361548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0.83086142063867507</v>
      </c>
      <c r="BR146" s="23">
        <f>EXP(-LN(2)/2)*BR145+(1-EXP(-LN(2)/2))/(LN(2)/2)*BL146*BO146*VLOOKUP('Données projet'!$B$11,Paramètres!$A$1:$I$89,3,0)*0.475*44/12</f>
        <v>1.6500698574915092E-16</v>
      </c>
      <c r="BS146" s="24">
        <f t="shared" si="117"/>
        <v>0.83086142063867519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349.9999999999996</v>
      </c>
      <c r="O147" s="14">
        <f>N147*VLOOKUP('Données projet'!$B$9,Paramètres!$A$1:$I$89,3,0)*VLOOKUP('Données projet'!$B$9,Paramètres!$A$1:$I$89,5,0)</f>
        <v>278.4599999999997</v>
      </c>
      <c r="P147" s="14">
        <f t="shared" si="141"/>
        <v>66.641458222154824</v>
      </c>
      <c r="Q147" s="22">
        <f t="shared" si="108"/>
        <v>601.05170640358574</v>
      </c>
      <c r="R147" s="62">
        <f t="shared" si="109"/>
        <v>894.385039736919</v>
      </c>
      <c r="S147" s="62">
        <f ca="1">AVERAGE(OFFSET($R$3,0,0,'Données projet'!$E$9+1,1))-AVERAGE(OFFSET($H$3,0,0,'Données projet'!$E$9+1,1))</f>
        <v>354.56491118410622</v>
      </c>
      <c r="T147" s="62">
        <f t="shared" si="142"/>
        <v>343.77208530767069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1.0883041618217897</v>
      </c>
      <c r="AB147" s="23">
        <f>EXP(-LN(2)/2)*AB146+(1-EXP(-LN(2)/2))/(LN(2)/2)*V147*Y147*VLOOKUP('Données projet'!$B$9,Paramètres!$A$1:$I$89,3,0)*0.475*44/12</f>
        <v>9.3008204151603192E-17</v>
      </c>
      <c r="AC147" s="24">
        <f t="shared" si="111"/>
        <v>1.0883041618217897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417.99999999999972</v>
      </c>
      <c r="AJ147" s="14">
        <f>AI147*VLOOKUP('Données projet'!$B$10,Paramètres!$A$1:$I$89,3,0)*VLOOKUP('Données projet'!$B$10,Paramètres!$A$1:$I$89,5,0)</f>
        <v>306.47759999999982</v>
      </c>
      <c r="AK147" s="14">
        <f t="shared" si="143"/>
        <v>72.532724321633353</v>
      </c>
      <c r="AL147" s="22">
        <f t="shared" si="112"/>
        <v>660.10964819351113</v>
      </c>
      <c r="AM147" s="62">
        <f t="shared" si="113"/>
        <v>953.44298152684451</v>
      </c>
      <c r="AN147" s="62">
        <f ca="1">AVERAGE(OFFSET($AM$3,0,0,'Données projet'!$E$10+1,1))-AVERAGE(OFFSET($H$3,0,0,'Données projet'!$E$10+1,1))</f>
        <v>380.01621935031324</v>
      </c>
      <c r="AO147" s="62">
        <f t="shared" si="144"/>
        <v>365.76175372075869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0.9904361329445236</v>
      </c>
      <c r="AW147" s="23">
        <f>EXP(-LN(2)/2)*AW146+(1-EXP(-LN(2)/2))/(LN(2)/2)*AQ147*AT147*VLOOKUP('Données projet'!$B$10,Paramètres!$A$1:$I$89,3,0)*0.475*44/12</f>
        <v>1.0291341069656485E-16</v>
      </c>
      <c r="AX147" s="23">
        <f t="shared" si="114"/>
        <v>0.99043613294452371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-5.6843418860808015E-14</v>
      </c>
      <c r="BE147" s="14">
        <f>BD147*VLOOKUP('Données projet'!$B$11,Paramètres!$A$1:$I$89,3,0)*VLOOKUP('Données projet'!$B$11,Paramètres!$A$1:$I$89,5,0)</f>
        <v>-4.9658410716801891E-14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303.33040062722074</v>
      </c>
      <c r="BJ147" s="62">
        <f t="shared" si="146"/>
        <v>425.30058672361548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0.80814147139820736</v>
      </c>
      <c r="BR147" s="23">
        <f>EXP(-LN(2)/2)*BR146+(1-EXP(-LN(2)/2))/(LN(2)/2)*BL147*BO147*VLOOKUP('Données projet'!$B$11,Paramètres!$A$1:$I$89,3,0)*0.475*44/12</f>
        <v>1.1667755856637663E-16</v>
      </c>
      <c r="BS147" s="24">
        <f t="shared" si="117"/>
        <v>0.80814147139820747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349.9999999999996</v>
      </c>
      <c r="O148" s="14">
        <f>N148*VLOOKUP('Données projet'!$B$9,Paramètres!$A$1:$I$89,3,0)*VLOOKUP('Données projet'!$B$9,Paramètres!$A$1:$I$89,5,0)</f>
        <v>278.4599999999997</v>
      </c>
      <c r="P148" s="14">
        <f t="shared" si="141"/>
        <v>66.641458222154824</v>
      </c>
      <c r="Q148" s="22">
        <f t="shared" si="108"/>
        <v>601.05170640358574</v>
      </c>
      <c r="R148" s="62">
        <f t="shared" si="109"/>
        <v>894.385039736919</v>
      </c>
      <c r="S148" s="62">
        <f ca="1">AVERAGE(OFFSET($R$3,0,0,'Données projet'!$E$9+1,1))-AVERAGE(OFFSET($H$3,0,0,'Données projet'!$E$9+1,1))</f>
        <v>354.56491118410622</v>
      </c>
      <c r="T148" s="62">
        <f t="shared" si="142"/>
        <v>343.77208530767069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1.0585444272853444</v>
      </c>
      <c r="AB148" s="23">
        <f>EXP(-LN(2)/2)*AB147+(1-EXP(-LN(2)/2))/(LN(2)/2)*V148*Y148*VLOOKUP('Données projet'!$B$9,Paramètres!$A$1:$I$89,3,0)*0.475*44/12</f>
        <v>6.5766731861581418E-17</v>
      </c>
      <c r="AC148" s="24">
        <f t="shared" si="111"/>
        <v>1.0585444272853444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417.99999999999972</v>
      </c>
      <c r="AJ148" s="14">
        <f>AI148*VLOOKUP('Données projet'!$B$10,Paramètres!$A$1:$I$89,3,0)*VLOOKUP('Données projet'!$B$10,Paramètres!$A$1:$I$89,5,0)</f>
        <v>306.47759999999982</v>
      </c>
      <c r="AK148" s="14">
        <f t="shared" si="143"/>
        <v>72.532724321633353</v>
      </c>
      <c r="AL148" s="22">
        <f t="shared" si="112"/>
        <v>660.10964819351113</v>
      </c>
      <c r="AM148" s="62">
        <f t="shared" si="113"/>
        <v>953.44298152684451</v>
      </c>
      <c r="AN148" s="62">
        <f ca="1">AVERAGE(OFFSET($AM$3,0,0,'Données projet'!$E$10+1,1))-AVERAGE(OFFSET($H$3,0,0,'Données projet'!$E$10+1,1))</f>
        <v>380.01621935031324</v>
      </c>
      <c r="AO148" s="62">
        <f t="shared" si="144"/>
        <v>365.76175372075869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0.96335260480438301</v>
      </c>
      <c r="AW148" s="23">
        <f>EXP(-LN(2)/2)*AW147+(1-EXP(-LN(2)/2))/(LN(2)/2)*AQ148*AT148*VLOOKUP('Données projet'!$B$10,Paramètres!$A$1:$I$89,3,0)*0.475*44/12</f>
        <v>7.2770770578577181E-17</v>
      </c>
      <c r="AX148" s="23">
        <f t="shared" si="114"/>
        <v>0.96335260480438312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-5.6843418860808015E-14</v>
      </c>
      <c r="BE148" s="14">
        <f>BD148*VLOOKUP('Données projet'!$B$11,Paramètres!$A$1:$I$89,3,0)*VLOOKUP('Données projet'!$B$11,Paramètres!$A$1:$I$89,5,0)</f>
        <v>-4.9658410716801891E-14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303.33040062722074</v>
      </c>
      <c r="BJ148" s="62">
        <f t="shared" si="146"/>
        <v>425.30058672361548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0.78604280036451046</v>
      </c>
      <c r="BR148" s="23">
        <f>EXP(-LN(2)/2)*BR147+(1-EXP(-LN(2)/2))/(LN(2)/2)*BL148*BO148*VLOOKUP('Données projet'!$B$11,Paramètres!$A$1:$I$89,3,0)*0.475*44/12</f>
        <v>8.2503492874575461E-17</v>
      </c>
      <c r="BS148" s="24">
        <f t="shared" si="117"/>
        <v>0.78604280036451057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349.9999999999996</v>
      </c>
      <c r="O149" s="14">
        <f>N149*VLOOKUP('Données projet'!$B$9,Paramètres!$A$1:$I$89,3,0)*VLOOKUP('Données projet'!$B$9,Paramètres!$A$1:$I$89,5,0)</f>
        <v>278.4599999999997</v>
      </c>
      <c r="P149" s="14">
        <f t="shared" si="141"/>
        <v>66.641458222154824</v>
      </c>
      <c r="Q149" s="22">
        <f t="shared" si="108"/>
        <v>601.05170640358574</v>
      </c>
      <c r="R149" s="62">
        <f t="shared" si="109"/>
        <v>894.385039736919</v>
      </c>
      <c r="S149" s="62">
        <f ca="1">AVERAGE(OFFSET($R$3,0,0,'Données projet'!$E$9+1,1))-AVERAGE(OFFSET($H$3,0,0,'Données projet'!$E$9+1,1))</f>
        <v>354.56491118410622</v>
      </c>
      <c r="T149" s="62">
        <f t="shared" si="142"/>
        <v>343.77208530767069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1.0295984742547946</v>
      </c>
      <c r="AB149" s="23">
        <f>EXP(-LN(2)/2)*AB148+(1-EXP(-LN(2)/2))/(LN(2)/2)*V149*Y149*VLOOKUP('Données projet'!$B$9,Paramètres!$A$1:$I$89,3,0)*0.475*44/12</f>
        <v>4.6504102075801596E-17</v>
      </c>
      <c r="AC149" s="24">
        <f t="shared" si="111"/>
        <v>1.0295984742547946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417.99999999999972</v>
      </c>
      <c r="AJ149" s="14">
        <f>AI149*VLOOKUP('Données projet'!$B$10,Paramètres!$A$1:$I$89,3,0)*VLOOKUP('Données projet'!$B$10,Paramètres!$A$1:$I$89,5,0)</f>
        <v>306.47759999999982</v>
      </c>
      <c r="AK149" s="14">
        <f t="shared" si="143"/>
        <v>72.532724321633353</v>
      </c>
      <c r="AL149" s="22">
        <f t="shared" si="112"/>
        <v>660.10964819351113</v>
      </c>
      <c r="AM149" s="62">
        <f t="shared" si="113"/>
        <v>953.44298152684451</v>
      </c>
      <c r="AN149" s="62">
        <f ca="1">AVERAGE(OFFSET($AM$3,0,0,'Données projet'!$E$10+1,1))-AVERAGE(OFFSET($H$3,0,0,'Données projet'!$E$10+1,1))</f>
        <v>380.01621935031324</v>
      </c>
      <c r="AO149" s="62">
        <f t="shared" si="144"/>
        <v>365.76175372075869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0.93700967716549544</v>
      </c>
      <c r="AW149" s="23">
        <f>EXP(-LN(2)/2)*AW148+(1-EXP(-LN(2)/2))/(LN(2)/2)*AQ149*AT149*VLOOKUP('Données projet'!$B$10,Paramètres!$A$1:$I$89,3,0)*0.475*44/12</f>
        <v>5.1456705348282426E-17</v>
      </c>
      <c r="AX149" s="23">
        <f t="shared" si="114"/>
        <v>0.93700967716549544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-5.6843418860808015E-14</v>
      </c>
      <c r="BE149" s="14">
        <f>BD149*VLOOKUP('Données projet'!$B$11,Paramètres!$A$1:$I$89,3,0)*VLOOKUP('Données projet'!$B$11,Paramètres!$A$1:$I$89,5,0)</f>
        <v>-4.9658410716801891E-14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303.33040062722074</v>
      </c>
      <c r="BJ149" s="62">
        <f t="shared" si="146"/>
        <v>425.30058672361548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0.76454841865234857</v>
      </c>
      <c r="BR149" s="23">
        <f>EXP(-LN(2)/2)*BR148+(1-EXP(-LN(2)/2))/(LN(2)/2)*BL149*BO149*VLOOKUP('Données projet'!$B$11,Paramètres!$A$1:$I$89,3,0)*0.475*44/12</f>
        <v>5.8338779283188313E-17</v>
      </c>
      <c r="BS149" s="24">
        <f t="shared" si="117"/>
        <v>0.76454841865234868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349.9999999999996</v>
      </c>
      <c r="O150" s="14">
        <f>N150*VLOOKUP('Données projet'!$B$9,Paramètres!$A$1:$I$89,3,0)*VLOOKUP('Données projet'!$B$9,Paramètres!$A$1:$I$89,5,0)</f>
        <v>278.4599999999997</v>
      </c>
      <c r="P150" s="14">
        <f t="shared" si="141"/>
        <v>66.641458222154824</v>
      </c>
      <c r="Q150" s="22">
        <f t="shared" si="108"/>
        <v>601.05170640358574</v>
      </c>
      <c r="R150" s="62">
        <f t="shared" si="109"/>
        <v>894.385039736919</v>
      </c>
      <c r="S150" s="62">
        <f ca="1">AVERAGE(OFFSET($R$3,0,0,'Données projet'!$E$9+1,1))-AVERAGE(OFFSET($H$3,0,0,'Données projet'!$E$9+1,1))</f>
        <v>354.56491118410622</v>
      </c>
      <c r="T150" s="62">
        <f t="shared" si="142"/>
        <v>343.77208530767069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1.0014440498320667</v>
      </c>
      <c r="AB150" s="23">
        <f>EXP(-LN(2)/2)*AB149+(1-EXP(-LN(2)/2))/(LN(2)/2)*V150*Y150*VLOOKUP('Données projet'!$B$9,Paramètres!$A$1:$I$89,3,0)*0.475*44/12</f>
        <v>3.2883365930790709E-17</v>
      </c>
      <c r="AC150" s="24">
        <f t="shared" si="111"/>
        <v>1.0014440498320667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417.99999999999972</v>
      </c>
      <c r="AJ150" s="14">
        <f>AI150*VLOOKUP('Données projet'!$B$10,Paramètres!$A$1:$I$89,3,0)*VLOOKUP('Données projet'!$B$10,Paramètres!$A$1:$I$89,5,0)</f>
        <v>306.47759999999982</v>
      </c>
      <c r="AK150" s="14">
        <f t="shared" si="143"/>
        <v>72.532724321633353</v>
      </c>
      <c r="AL150" s="22">
        <f t="shared" si="112"/>
        <v>660.10964819351113</v>
      </c>
      <c r="AM150" s="62">
        <f t="shared" si="113"/>
        <v>953.44298152684451</v>
      </c>
      <c r="AN150" s="62">
        <f ca="1">AVERAGE(OFFSET($AM$3,0,0,'Données projet'!$E$10+1,1))-AVERAGE(OFFSET($H$3,0,0,'Données projet'!$E$10+1,1))</f>
        <v>380.01621935031324</v>
      </c>
      <c r="AO150" s="62">
        <f t="shared" si="144"/>
        <v>365.76175372075869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0.91138709826820763</v>
      </c>
      <c r="AW150" s="23">
        <f>EXP(-LN(2)/2)*AW149+(1-EXP(-LN(2)/2))/(LN(2)/2)*AQ150*AT150*VLOOKUP('Données projet'!$B$10,Paramètres!$A$1:$I$89,3,0)*0.475*44/12</f>
        <v>3.6385385289288591E-17</v>
      </c>
      <c r="AX150" s="23">
        <f t="shared" si="114"/>
        <v>0.91138709826820763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-5.6843418860808015E-14</v>
      </c>
      <c r="BE150" s="14">
        <f>BD150*VLOOKUP('Données projet'!$B$11,Paramètres!$A$1:$I$89,3,0)*VLOOKUP('Données projet'!$B$11,Paramètres!$A$1:$I$89,5,0)</f>
        <v>-4.9658410716801891E-14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303.33040062722074</v>
      </c>
      <c r="BJ150" s="62">
        <f t="shared" si="146"/>
        <v>425.30058672361548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0.7436418019384462</v>
      </c>
      <c r="BR150" s="23">
        <f>EXP(-LN(2)/2)*BR149+(1-EXP(-LN(2)/2))/(LN(2)/2)*BL150*BO150*VLOOKUP('Données projet'!$B$11,Paramètres!$A$1:$I$89,3,0)*0.475*44/12</f>
        <v>4.1251746437287731E-17</v>
      </c>
      <c r="BS150" s="24">
        <f t="shared" si="117"/>
        <v>0.7436418019384462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349.9999999999996</v>
      </c>
      <c r="O151" s="14">
        <f>N151*VLOOKUP('Données projet'!$B$9,Paramètres!$A$1:$I$89,3,0)*VLOOKUP('Données projet'!$B$9,Paramètres!$A$1:$I$89,5,0)</f>
        <v>278.4599999999997</v>
      </c>
      <c r="P151" s="14">
        <f t="shared" si="141"/>
        <v>66.641458222154824</v>
      </c>
      <c r="Q151" s="22">
        <f t="shared" si="108"/>
        <v>601.05170640358574</v>
      </c>
      <c r="R151" s="62">
        <f t="shared" si="109"/>
        <v>894.385039736919</v>
      </c>
      <c r="S151" s="62">
        <f ca="1">AVERAGE(OFFSET($R$3,0,0,'Données projet'!$E$9+1,1))-AVERAGE(OFFSET($H$3,0,0,'Données projet'!$E$9+1,1))</f>
        <v>354.56491118410622</v>
      </c>
      <c r="T151" s="62">
        <f t="shared" si="142"/>
        <v>343.77208530767069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0.97405950962575505</v>
      </c>
      <c r="AB151" s="23">
        <f>EXP(-LN(2)/2)*AB150+(1-EXP(-LN(2)/2))/(LN(2)/2)*V151*Y151*VLOOKUP('Données projet'!$B$9,Paramètres!$A$1:$I$89,3,0)*0.475*44/12</f>
        <v>2.3252051037900798E-17</v>
      </c>
      <c r="AC151" s="24">
        <f t="shared" si="111"/>
        <v>0.97405950962575505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417.99999999999972</v>
      </c>
      <c r="AJ151" s="14">
        <f>AI151*VLOOKUP('Données projet'!$B$10,Paramètres!$A$1:$I$89,3,0)*VLOOKUP('Données projet'!$B$10,Paramètres!$A$1:$I$89,5,0)</f>
        <v>306.47759999999982</v>
      </c>
      <c r="AK151" s="14">
        <f t="shared" si="143"/>
        <v>72.532724321633353</v>
      </c>
      <c r="AL151" s="22">
        <f t="shared" si="112"/>
        <v>660.10964819351113</v>
      </c>
      <c r="AM151" s="62">
        <f t="shared" si="113"/>
        <v>953.44298152684451</v>
      </c>
      <c r="AN151" s="62">
        <f ca="1">AVERAGE(OFFSET($AM$3,0,0,'Données projet'!$E$10+1,1))-AVERAGE(OFFSET($H$3,0,0,'Données projet'!$E$10+1,1))</f>
        <v>380.01621935031324</v>
      </c>
      <c r="AO151" s="62">
        <f t="shared" si="144"/>
        <v>365.76175372075869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0.88646517013829895</v>
      </c>
      <c r="AW151" s="23">
        <f>EXP(-LN(2)/2)*AW150+(1-EXP(-LN(2)/2))/(LN(2)/2)*AQ151*AT151*VLOOKUP('Données projet'!$B$10,Paramètres!$A$1:$I$89,3,0)*0.475*44/12</f>
        <v>2.5728352674141213E-17</v>
      </c>
      <c r="AX151" s="23">
        <f t="shared" si="114"/>
        <v>0.88646517013829895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-5.6843418860808015E-14</v>
      </c>
      <c r="BE151" s="14">
        <f>BD151*VLOOKUP('Données projet'!$B$11,Paramètres!$A$1:$I$89,3,0)*VLOOKUP('Données projet'!$B$11,Paramètres!$A$1:$I$89,5,0)</f>
        <v>-4.9658410716801891E-14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303.33040062722074</v>
      </c>
      <c r="BJ151" s="62">
        <f t="shared" si="146"/>
        <v>425.30058672361548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0.72330687775801661</v>
      </c>
      <c r="BR151" s="23">
        <f>EXP(-LN(2)/2)*BR150+(1-EXP(-LN(2)/2))/(LN(2)/2)*BL151*BO151*VLOOKUP('Données projet'!$B$11,Paramètres!$A$1:$I$89,3,0)*0.475*44/12</f>
        <v>2.9169389641594156E-17</v>
      </c>
      <c r="BS151" s="24">
        <f t="shared" si="117"/>
        <v>0.72330687775801661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349.9999999999996</v>
      </c>
      <c r="O152" s="14">
        <f>N152*VLOOKUP('Données projet'!$B$9,Paramètres!$A$1:$I$89,3,0)*VLOOKUP('Données projet'!$B$9,Paramètres!$A$1:$I$89,5,0)</f>
        <v>278.4599999999997</v>
      </c>
      <c r="P152" s="14">
        <f t="shared" si="141"/>
        <v>66.641458222154824</v>
      </c>
      <c r="Q152" s="22">
        <f t="shared" si="108"/>
        <v>601.05170640358574</v>
      </c>
      <c r="R152" s="62">
        <f t="shared" si="109"/>
        <v>894.385039736919</v>
      </c>
      <c r="S152" s="62">
        <f ca="1">AVERAGE(OFFSET($R$3,0,0,'Données projet'!$E$9+1,1))-AVERAGE(OFFSET($H$3,0,0,'Données projet'!$E$9+1,1))</f>
        <v>354.56491118410622</v>
      </c>
      <c r="T152" s="62">
        <f t="shared" si="142"/>
        <v>343.77208530767069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0.94742380111147539</v>
      </c>
      <c r="AB152" s="23">
        <f>EXP(-LN(2)/2)*AB151+(1-EXP(-LN(2)/2))/(LN(2)/2)*V152*Y152*VLOOKUP('Données projet'!$B$9,Paramètres!$A$1:$I$89,3,0)*0.475*44/12</f>
        <v>1.6441682965395354E-17</v>
      </c>
      <c r="AC152" s="24">
        <f t="shared" si="111"/>
        <v>0.94742380111147539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417.99999999999972</v>
      </c>
      <c r="AJ152" s="14">
        <f>AI152*VLOOKUP('Données projet'!$B$10,Paramètres!$A$1:$I$89,3,0)*VLOOKUP('Données projet'!$B$10,Paramètres!$A$1:$I$89,5,0)</f>
        <v>306.47759999999982</v>
      </c>
      <c r="AK152" s="14">
        <f t="shared" si="143"/>
        <v>72.532724321633353</v>
      </c>
      <c r="AL152" s="22">
        <f t="shared" si="112"/>
        <v>660.10964819351113</v>
      </c>
      <c r="AM152" s="62">
        <f t="shared" si="113"/>
        <v>953.44298152684451</v>
      </c>
      <c r="AN152" s="62">
        <f ca="1">AVERAGE(OFFSET($AM$3,0,0,'Données projet'!$E$10+1,1))-AVERAGE(OFFSET($H$3,0,0,'Données projet'!$E$10+1,1))</f>
        <v>380.01621935031324</v>
      </c>
      <c r="AO152" s="62">
        <f t="shared" si="144"/>
        <v>365.76175372075869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0.86222473344368988</v>
      </c>
      <c r="AW152" s="23">
        <f>EXP(-LN(2)/2)*AW151+(1-EXP(-LN(2)/2))/(LN(2)/2)*AQ152*AT152*VLOOKUP('Données projet'!$B$10,Paramètres!$A$1:$I$89,3,0)*0.475*44/12</f>
        <v>1.8192692644644295E-17</v>
      </c>
      <c r="AX152" s="23">
        <f t="shared" si="114"/>
        <v>0.86222473344368988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-5.6843418860808015E-14</v>
      </c>
      <c r="BE152" s="14">
        <f>BD152*VLOOKUP('Données projet'!$B$11,Paramètres!$A$1:$I$89,3,0)*VLOOKUP('Données projet'!$B$11,Paramètres!$A$1:$I$89,5,0)</f>
        <v>-4.9658410716801891E-14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303.33040062722074</v>
      </c>
      <c r="BJ152" s="62">
        <f t="shared" si="146"/>
        <v>425.30058672361548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0.70352801314866809</v>
      </c>
      <c r="BR152" s="23">
        <f>EXP(-LN(2)/2)*BR151+(1-EXP(-LN(2)/2))/(LN(2)/2)*BL152*BO152*VLOOKUP('Données projet'!$B$11,Paramètres!$A$1:$I$89,3,0)*0.475*44/12</f>
        <v>2.0625873218643865E-17</v>
      </c>
      <c r="BS152" s="24">
        <f t="shared" si="117"/>
        <v>0.70352801314866809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349.9999999999996</v>
      </c>
      <c r="O153" s="14">
        <f>N153*VLOOKUP('Données projet'!$B$9,Paramètres!$A$1:$I$89,3,0)*VLOOKUP('Données projet'!$B$9,Paramètres!$A$1:$I$89,5,0)</f>
        <v>278.4599999999997</v>
      </c>
      <c r="P153" s="14">
        <f t="shared" si="141"/>
        <v>66.641458222154824</v>
      </c>
      <c r="Q153" s="22">
        <f t="shared" si="108"/>
        <v>601.05170640358574</v>
      </c>
      <c r="R153" s="62">
        <f t="shared" si="109"/>
        <v>894.385039736919</v>
      </c>
      <c r="S153" s="62">
        <f ca="1">AVERAGE(OFFSET($R$3,0,0,'Données projet'!$E$9+1,1))-AVERAGE(OFFSET($H$3,0,0,'Données projet'!$E$9+1,1))</f>
        <v>354.56491118410622</v>
      </c>
      <c r="T153" s="62">
        <f t="shared" si="142"/>
        <v>343.77208530767069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0.92151644744722971</v>
      </c>
      <c r="AB153" s="23">
        <f>EXP(-LN(2)/2)*AB152+(1-EXP(-LN(2)/2))/(LN(2)/2)*V153*Y153*VLOOKUP('Données projet'!$B$9,Paramètres!$A$1:$I$89,3,0)*0.475*44/12</f>
        <v>1.1626025518950399E-17</v>
      </c>
      <c r="AC153" s="24">
        <f t="shared" si="111"/>
        <v>0.92151644744722971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417.99999999999972</v>
      </c>
      <c r="AJ153" s="14">
        <f>AI153*VLOOKUP('Données projet'!$B$10,Paramètres!$A$1:$I$89,3,0)*VLOOKUP('Données projet'!$B$10,Paramètres!$A$1:$I$89,5,0)</f>
        <v>306.47759999999982</v>
      </c>
      <c r="AK153" s="14">
        <f t="shared" si="143"/>
        <v>72.532724321633353</v>
      </c>
      <c r="AL153" s="22">
        <f t="shared" si="112"/>
        <v>660.10964819351113</v>
      </c>
      <c r="AM153" s="62">
        <f t="shared" si="113"/>
        <v>953.44298152684451</v>
      </c>
      <c r="AN153" s="62">
        <f ca="1">AVERAGE(OFFSET($AM$3,0,0,'Données projet'!$E$10+1,1))-AVERAGE(OFFSET($H$3,0,0,'Données projet'!$E$10+1,1))</f>
        <v>380.01621935031324</v>
      </c>
      <c r="AO153" s="62">
        <f t="shared" si="144"/>
        <v>365.76175372075869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0.83864715276524404</v>
      </c>
      <c r="AW153" s="23">
        <f>EXP(-LN(2)/2)*AW152+(1-EXP(-LN(2)/2))/(LN(2)/2)*AQ153*AT153*VLOOKUP('Données projet'!$B$10,Paramètres!$A$1:$I$89,3,0)*0.475*44/12</f>
        <v>1.2864176337070607E-17</v>
      </c>
      <c r="AX153" s="23">
        <f t="shared" si="114"/>
        <v>0.83864715276524404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-5.6843418860808015E-14</v>
      </c>
      <c r="BE153" s="14">
        <f>BD153*VLOOKUP('Données projet'!$B$11,Paramètres!$A$1:$I$89,3,0)*VLOOKUP('Données projet'!$B$11,Paramètres!$A$1:$I$89,5,0)</f>
        <v>-4.9658410716801891E-14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303.33040062722074</v>
      </c>
      <c r="BJ153" s="62">
        <f t="shared" si="146"/>
        <v>425.30058672361548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0.68429000263218753</v>
      </c>
      <c r="BR153" s="23">
        <f>EXP(-LN(2)/2)*BR152+(1-EXP(-LN(2)/2))/(LN(2)/2)*BL153*BO153*VLOOKUP('Données projet'!$B$11,Paramètres!$A$1:$I$89,3,0)*0.475*44/12</f>
        <v>1.4584694820797078E-17</v>
      </c>
      <c r="BS153" s="24">
        <f t="shared" si="117"/>
        <v>0.68429000263218753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349.9999999999996</v>
      </c>
      <c r="O154" s="14">
        <f>N154*VLOOKUP('Données projet'!$B$9,Paramètres!$A$1:$I$89,3,0)*VLOOKUP('Données projet'!$B$9,Paramètres!$A$1:$I$89,5,0)</f>
        <v>278.4599999999997</v>
      </c>
      <c r="P154" s="14">
        <f t="shared" si="141"/>
        <v>66.641458222154824</v>
      </c>
      <c r="Q154" s="22">
        <f t="shared" ref="Q154:Q203" si="162">(O154+P154)*0.475*44/12</f>
        <v>601.05170640358574</v>
      </c>
      <c r="R154" s="62">
        <f t="shared" si="109"/>
        <v>894.385039736919</v>
      </c>
      <c r="S154" s="62">
        <f ca="1">AVERAGE(OFFSET($R$3,0,0,'Données projet'!$E$9+1,1))-AVERAGE(OFFSET($H$3,0,0,'Données projet'!$E$9+1,1))</f>
        <v>354.56491118410622</v>
      </c>
      <c r="T154" s="62">
        <f t="shared" si="142"/>
        <v>343.77208530767069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0.89631753173134143</v>
      </c>
      <c r="AB154" s="23">
        <f>EXP(-LN(2)/2)*AB153+(1-EXP(-LN(2)/2))/(LN(2)/2)*V154*Y154*VLOOKUP('Données projet'!$B$9,Paramètres!$A$1:$I$89,3,0)*0.475*44/12</f>
        <v>8.2208414826976772E-18</v>
      </c>
      <c r="AC154" s="24">
        <f t="shared" ref="AC154:AC203" si="163">SUM(Z154:AB154)</f>
        <v>0.89631753173134143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417.99999999999972</v>
      </c>
      <c r="AJ154" s="14">
        <f>AI154*VLOOKUP('Données projet'!$B$10,Paramètres!$A$1:$I$89,3,0)*VLOOKUP('Données projet'!$B$10,Paramètres!$A$1:$I$89,5,0)</f>
        <v>306.47759999999982</v>
      </c>
      <c r="AK154" s="14">
        <f t="shared" ref="AK154:AK203" si="164">EXP(-1.0587+0.8836*LN(AJ154)+0.284)</f>
        <v>72.532724321633353</v>
      </c>
      <c r="AL154" s="22">
        <f t="shared" ref="AL154:AL203" si="165">(AJ154+AK154)*0.475*44/12</f>
        <v>660.10964819351113</v>
      </c>
      <c r="AM154" s="62">
        <f t="shared" si="113"/>
        <v>953.44298152684451</v>
      </c>
      <c r="AN154" s="62">
        <f ca="1">AVERAGE(OFFSET($AM$3,0,0,'Données projet'!$E$10+1,1))-AVERAGE(OFFSET($H$3,0,0,'Données projet'!$E$10+1,1))</f>
        <v>380.01621935031324</v>
      </c>
      <c r="AO154" s="62">
        <f t="shared" si="144"/>
        <v>365.76175372075869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0.81571430227034147</v>
      </c>
      <c r="AW154" s="23">
        <f>EXP(-LN(2)/2)*AW153+(1-EXP(-LN(2)/2))/(LN(2)/2)*AQ154*AT154*VLOOKUP('Données projet'!$B$10,Paramètres!$A$1:$I$89,3,0)*0.475*44/12</f>
        <v>9.0963463223221477E-18</v>
      </c>
      <c r="AX154" s="23">
        <f t="shared" ref="AX154:AX203" si="166">SUM(AU154:AW154)</f>
        <v>0.81571430227034147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-5.6843418860808015E-14</v>
      </c>
      <c r="BE154" s="14">
        <f>BD154*VLOOKUP('Données projet'!$B$11,Paramètres!$A$1:$I$89,3,0)*VLOOKUP('Données projet'!$B$11,Paramètres!$A$1:$I$89,5,0)</f>
        <v>-4.9658410716801891E-14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303.33040062722074</v>
      </c>
      <c r="BJ154" s="62">
        <f t="shared" si="146"/>
        <v>425.30058672361548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0.66557805652496305</v>
      </c>
      <c r="BR154" s="23">
        <f>EXP(-LN(2)/2)*BR153+(1-EXP(-LN(2)/2))/(LN(2)/2)*BL154*BO154*VLOOKUP('Données projet'!$B$11,Paramètres!$A$1:$I$89,3,0)*0.475*44/12</f>
        <v>1.0312936609321933E-17</v>
      </c>
      <c r="BS154" s="24">
        <f t="shared" ref="BS154:BS203" si="169">SUM(BP154:BR154)</f>
        <v>0.66557805652496305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349.9999999999996</v>
      </c>
      <c r="O155" s="14">
        <f>N155*VLOOKUP('Données projet'!$B$9,Paramètres!$A$1:$I$89,3,0)*VLOOKUP('Données projet'!$B$9,Paramètres!$A$1:$I$89,5,0)</f>
        <v>278.4599999999997</v>
      </c>
      <c r="P155" s="14">
        <f t="shared" si="141"/>
        <v>66.641458222154824</v>
      </c>
      <c r="Q155" s="22">
        <f t="shared" si="162"/>
        <v>601.05170640358574</v>
      </c>
      <c r="R155" s="62">
        <f t="shared" si="109"/>
        <v>894.385039736919</v>
      </c>
      <c r="S155" s="62">
        <f ca="1">AVERAGE(OFFSET($R$3,0,0,'Données projet'!$E$9+1,1))-AVERAGE(OFFSET($H$3,0,0,'Données projet'!$E$9+1,1))</f>
        <v>354.56491118410622</v>
      </c>
      <c r="T155" s="62">
        <f t="shared" si="142"/>
        <v>343.77208530767069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0.87180768169085743</v>
      </c>
      <c r="AB155" s="23">
        <f>EXP(-LN(2)/2)*AB154+(1-EXP(-LN(2)/2))/(LN(2)/2)*V155*Y155*VLOOKUP('Données projet'!$B$9,Paramètres!$A$1:$I$89,3,0)*0.475*44/12</f>
        <v>5.8130127594751995E-18</v>
      </c>
      <c r="AC155" s="24">
        <f t="shared" si="163"/>
        <v>0.87180768169085743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417.99999999999972</v>
      </c>
      <c r="AJ155" s="14">
        <f>AI155*VLOOKUP('Données projet'!$B$10,Paramètres!$A$1:$I$89,3,0)*VLOOKUP('Données projet'!$B$10,Paramètres!$A$1:$I$89,5,0)</f>
        <v>306.47759999999982</v>
      </c>
      <c r="AK155" s="14">
        <f t="shared" si="164"/>
        <v>72.532724321633353</v>
      </c>
      <c r="AL155" s="22">
        <f t="shared" si="165"/>
        <v>660.10964819351113</v>
      </c>
      <c r="AM155" s="62">
        <f t="shared" si="113"/>
        <v>953.44298152684451</v>
      </c>
      <c r="AN155" s="62">
        <f ca="1">AVERAGE(OFFSET($AM$3,0,0,'Données projet'!$E$10+1,1))-AVERAGE(OFFSET($H$3,0,0,'Données projet'!$E$10+1,1))</f>
        <v>380.01621935031324</v>
      </c>
      <c r="AO155" s="62">
        <f t="shared" si="144"/>
        <v>365.76175372075869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0.79340855177820813</v>
      </c>
      <c r="AW155" s="23">
        <f>EXP(-LN(2)/2)*AW154+(1-EXP(-LN(2)/2))/(LN(2)/2)*AQ155*AT155*VLOOKUP('Données projet'!$B$10,Paramètres!$A$1:$I$89,3,0)*0.475*44/12</f>
        <v>6.4320881685353033E-18</v>
      </c>
      <c r="AX155" s="23">
        <f t="shared" si="166"/>
        <v>0.79340855177820813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-5.6843418860808015E-14</v>
      </c>
      <c r="BE155" s="14">
        <f>BD155*VLOOKUP('Données projet'!$B$11,Paramètres!$A$1:$I$89,3,0)*VLOOKUP('Données projet'!$B$11,Paramètres!$A$1:$I$89,5,0)</f>
        <v>-4.9658410716801891E-14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303.33040062722074</v>
      </c>
      <c r="BJ155" s="62">
        <f t="shared" si="146"/>
        <v>425.30058672361548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0.64737778956805914</v>
      </c>
      <c r="BR155" s="23">
        <f>EXP(-LN(2)/2)*BR154+(1-EXP(-LN(2)/2))/(LN(2)/2)*BL155*BO155*VLOOKUP('Données projet'!$B$11,Paramètres!$A$1:$I$89,3,0)*0.475*44/12</f>
        <v>7.2923474103985391E-18</v>
      </c>
      <c r="BS155" s="24">
        <f t="shared" si="169"/>
        <v>0.64737778956805914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349.9999999999996</v>
      </c>
      <c r="O156" s="14">
        <f>N156*VLOOKUP('Données projet'!$B$9,Paramètres!$A$1:$I$89,3,0)*VLOOKUP('Données projet'!$B$9,Paramètres!$A$1:$I$89,5,0)</f>
        <v>278.4599999999997</v>
      </c>
      <c r="P156" s="14">
        <f t="shared" si="141"/>
        <v>66.641458222154824</v>
      </c>
      <c r="Q156" s="22">
        <f t="shared" si="162"/>
        <v>601.05170640358574</v>
      </c>
      <c r="R156" s="62">
        <f t="shared" si="109"/>
        <v>894.385039736919</v>
      </c>
      <c r="S156" s="62">
        <f ca="1">AVERAGE(OFFSET($R$3,0,0,'Données projet'!$E$9+1,1))-AVERAGE(OFFSET($H$3,0,0,'Données projet'!$E$9+1,1))</f>
        <v>354.56491118410622</v>
      </c>
      <c r="T156" s="62">
        <f t="shared" si="142"/>
        <v>343.77208530767069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0.84796805478864745</v>
      </c>
      <c r="AB156" s="23">
        <f>EXP(-LN(2)/2)*AB155+(1-EXP(-LN(2)/2))/(LN(2)/2)*V156*Y156*VLOOKUP('Données projet'!$B$9,Paramètres!$A$1:$I$89,3,0)*0.475*44/12</f>
        <v>4.1104207413488386E-18</v>
      </c>
      <c r="AC156" s="24">
        <f t="shared" si="163"/>
        <v>0.84796805478864745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417.99999999999972</v>
      </c>
      <c r="AJ156" s="14">
        <f>AI156*VLOOKUP('Données projet'!$B$10,Paramètres!$A$1:$I$89,3,0)*VLOOKUP('Données projet'!$B$10,Paramètres!$A$1:$I$89,5,0)</f>
        <v>306.47759999999982</v>
      </c>
      <c r="AK156" s="14">
        <f t="shared" si="164"/>
        <v>72.532724321633353</v>
      </c>
      <c r="AL156" s="22">
        <f t="shared" si="165"/>
        <v>660.10964819351113</v>
      </c>
      <c r="AM156" s="62">
        <f t="shared" si="113"/>
        <v>953.44298152684451</v>
      </c>
      <c r="AN156" s="62">
        <f ca="1">AVERAGE(OFFSET($AM$3,0,0,'Données projet'!$E$10+1,1))-AVERAGE(OFFSET($H$3,0,0,'Données projet'!$E$10+1,1))</f>
        <v>380.01621935031324</v>
      </c>
      <c r="AO156" s="62">
        <f t="shared" si="144"/>
        <v>365.76175372075869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0.77171275320629062</v>
      </c>
      <c r="AW156" s="23">
        <f>EXP(-LN(2)/2)*AW155+(1-EXP(-LN(2)/2))/(LN(2)/2)*AQ156*AT156*VLOOKUP('Données projet'!$B$10,Paramètres!$A$1:$I$89,3,0)*0.475*44/12</f>
        <v>4.5481731611610738E-18</v>
      </c>
      <c r="AX156" s="23">
        <f t="shared" si="166"/>
        <v>0.77171275320629062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-5.6843418860808015E-14</v>
      </c>
      <c r="BE156" s="14">
        <f>BD156*VLOOKUP('Données projet'!$B$11,Paramètres!$A$1:$I$89,3,0)*VLOOKUP('Données projet'!$B$11,Paramètres!$A$1:$I$89,5,0)</f>
        <v>-4.9658410716801891E-14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303.33040062722074</v>
      </c>
      <c r="BJ156" s="62">
        <f t="shared" si="146"/>
        <v>425.30058672361548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0.62967520986820225</v>
      </c>
      <c r="BR156" s="23">
        <f>EXP(-LN(2)/2)*BR155+(1-EXP(-LN(2)/2))/(LN(2)/2)*BL156*BO156*VLOOKUP('Données projet'!$B$11,Paramètres!$A$1:$I$89,3,0)*0.475*44/12</f>
        <v>5.1564683046609663E-18</v>
      </c>
      <c r="BS156" s="24">
        <f t="shared" si="169"/>
        <v>0.62967520986820225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349.9999999999996</v>
      </c>
      <c r="O157" s="14">
        <f>N157*VLOOKUP('Données projet'!$B$9,Paramètres!$A$1:$I$89,3,0)*VLOOKUP('Données projet'!$B$9,Paramètres!$A$1:$I$89,5,0)</f>
        <v>278.4599999999997</v>
      </c>
      <c r="P157" s="14">
        <f t="shared" si="141"/>
        <v>66.641458222154824</v>
      </c>
      <c r="Q157" s="22">
        <f t="shared" si="162"/>
        <v>601.05170640358574</v>
      </c>
      <c r="R157" s="62">
        <f t="shared" si="109"/>
        <v>894.385039736919</v>
      </c>
      <c r="S157" s="62">
        <f ca="1">AVERAGE(OFFSET($R$3,0,0,'Données projet'!$E$9+1,1))-AVERAGE(OFFSET($H$3,0,0,'Données projet'!$E$9+1,1))</f>
        <v>354.56491118410622</v>
      </c>
      <c r="T157" s="62">
        <f t="shared" si="142"/>
        <v>343.77208530767069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0.8247803237377499</v>
      </c>
      <c r="AB157" s="23">
        <f>EXP(-LN(2)/2)*AB156+(1-EXP(-LN(2)/2))/(LN(2)/2)*V157*Y157*VLOOKUP('Données projet'!$B$9,Paramètres!$A$1:$I$89,3,0)*0.475*44/12</f>
        <v>2.9065063797375998E-18</v>
      </c>
      <c r="AC157" s="24">
        <f t="shared" si="163"/>
        <v>0.8247803237377499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417.99999999999972</v>
      </c>
      <c r="AJ157" s="14">
        <f>AI157*VLOOKUP('Données projet'!$B$10,Paramètres!$A$1:$I$89,3,0)*VLOOKUP('Données projet'!$B$10,Paramètres!$A$1:$I$89,5,0)</f>
        <v>306.47759999999982</v>
      </c>
      <c r="AK157" s="14">
        <f t="shared" si="164"/>
        <v>72.532724321633353</v>
      </c>
      <c r="AL157" s="22">
        <f t="shared" si="165"/>
        <v>660.10964819351113</v>
      </c>
      <c r="AM157" s="62">
        <f t="shared" si="113"/>
        <v>953.44298152684451</v>
      </c>
      <c r="AN157" s="62">
        <f ca="1">AVERAGE(OFFSET($AM$3,0,0,'Données projet'!$E$10+1,1))-AVERAGE(OFFSET($H$3,0,0,'Données projet'!$E$10+1,1))</f>
        <v>380.01621935031324</v>
      </c>
      <c r="AO157" s="62">
        <f t="shared" si="144"/>
        <v>365.76175372075869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0.75061022738725469</v>
      </c>
      <c r="AW157" s="23">
        <f>EXP(-LN(2)/2)*AW156+(1-EXP(-LN(2)/2))/(LN(2)/2)*AQ157*AT157*VLOOKUP('Données projet'!$B$10,Paramètres!$A$1:$I$89,3,0)*0.475*44/12</f>
        <v>3.2160440842676516E-18</v>
      </c>
      <c r="AX157" s="23">
        <f t="shared" si="166"/>
        <v>0.75061022738725469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-5.6843418860808015E-14</v>
      </c>
      <c r="BE157" s="14">
        <f>BD157*VLOOKUP('Données projet'!$B$11,Paramètres!$A$1:$I$89,3,0)*VLOOKUP('Données projet'!$B$11,Paramètres!$A$1:$I$89,5,0)</f>
        <v>-4.9658410716801891E-14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303.33040062722074</v>
      </c>
      <c r="BJ157" s="62">
        <f t="shared" si="146"/>
        <v>425.30058672361548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0.61245670814117614</v>
      </c>
      <c r="BR157" s="23">
        <f>EXP(-LN(2)/2)*BR156+(1-EXP(-LN(2)/2))/(LN(2)/2)*BL157*BO157*VLOOKUP('Données projet'!$B$11,Paramètres!$A$1:$I$89,3,0)*0.475*44/12</f>
        <v>3.6461737051992696E-18</v>
      </c>
      <c r="BS157" s="24">
        <f t="shared" si="169"/>
        <v>0.61245670814117614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349.9999999999996</v>
      </c>
      <c r="O158" s="14">
        <f>N158*VLOOKUP('Données projet'!$B$9,Paramètres!$A$1:$I$89,3,0)*VLOOKUP('Données projet'!$B$9,Paramètres!$A$1:$I$89,5,0)</f>
        <v>278.4599999999997</v>
      </c>
      <c r="P158" s="14">
        <f t="shared" si="141"/>
        <v>66.641458222154824</v>
      </c>
      <c r="Q158" s="22">
        <f t="shared" si="162"/>
        <v>601.05170640358574</v>
      </c>
      <c r="R158" s="62">
        <f t="shared" si="109"/>
        <v>894.385039736919</v>
      </c>
      <c r="S158" s="62">
        <f ca="1">AVERAGE(OFFSET($R$3,0,0,'Données projet'!$E$9+1,1))-AVERAGE(OFFSET($H$3,0,0,'Données projet'!$E$9+1,1))</f>
        <v>354.56491118410622</v>
      </c>
      <c r="T158" s="62">
        <f t="shared" si="142"/>
        <v>343.77208530767069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0.80222666241182894</v>
      </c>
      <c r="AB158" s="23">
        <f>EXP(-LN(2)/2)*AB157+(1-EXP(-LN(2)/2))/(LN(2)/2)*V158*Y158*VLOOKUP('Données projet'!$B$9,Paramètres!$A$1:$I$89,3,0)*0.475*44/12</f>
        <v>2.0552103706744193E-18</v>
      </c>
      <c r="AC158" s="24">
        <f t="shared" si="163"/>
        <v>0.80222666241182894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417.99999999999972</v>
      </c>
      <c r="AJ158" s="14">
        <f>AI158*VLOOKUP('Données projet'!$B$10,Paramètres!$A$1:$I$89,3,0)*VLOOKUP('Données projet'!$B$10,Paramètres!$A$1:$I$89,5,0)</f>
        <v>306.47759999999982</v>
      </c>
      <c r="AK158" s="14">
        <f t="shared" si="164"/>
        <v>72.532724321633353</v>
      </c>
      <c r="AL158" s="22">
        <f t="shared" si="165"/>
        <v>660.10964819351113</v>
      </c>
      <c r="AM158" s="62">
        <f t="shared" si="113"/>
        <v>953.44298152684451</v>
      </c>
      <c r="AN158" s="62">
        <f ca="1">AVERAGE(OFFSET($AM$3,0,0,'Données projet'!$E$10+1,1))-AVERAGE(OFFSET($H$3,0,0,'Données projet'!$E$10+1,1))</f>
        <v>380.01621935031324</v>
      </c>
      <c r="AO158" s="62">
        <f t="shared" si="144"/>
        <v>365.76175372075869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0.73008475124647387</v>
      </c>
      <c r="AW158" s="23">
        <f>EXP(-LN(2)/2)*AW157+(1-EXP(-LN(2)/2))/(LN(2)/2)*AQ158*AT158*VLOOKUP('Données projet'!$B$10,Paramètres!$A$1:$I$89,3,0)*0.475*44/12</f>
        <v>2.2740865805805369E-18</v>
      </c>
      <c r="AX158" s="23">
        <f t="shared" si="166"/>
        <v>0.73008475124647387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-5.6843418860808015E-14</v>
      </c>
      <c r="BE158" s="14">
        <f>BD158*VLOOKUP('Données projet'!$B$11,Paramètres!$A$1:$I$89,3,0)*VLOOKUP('Données projet'!$B$11,Paramètres!$A$1:$I$89,5,0)</f>
        <v>-4.9658410716801891E-14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303.33040062722074</v>
      </c>
      <c r="BJ158" s="62">
        <f t="shared" si="146"/>
        <v>425.30058672361548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0.59570904724935714</v>
      </c>
      <c r="BR158" s="23">
        <f>EXP(-LN(2)/2)*BR157+(1-EXP(-LN(2)/2))/(LN(2)/2)*BL158*BO158*VLOOKUP('Données projet'!$B$11,Paramètres!$A$1:$I$89,3,0)*0.475*44/12</f>
        <v>2.5782341523304832E-18</v>
      </c>
      <c r="BS158" s="24">
        <f t="shared" si="169"/>
        <v>0.59570904724935714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349.9999999999996</v>
      </c>
      <c r="O159" s="14">
        <f>N159*VLOOKUP('Données projet'!$B$9,Paramètres!$A$1:$I$89,3,0)*VLOOKUP('Données projet'!$B$9,Paramètres!$A$1:$I$89,5,0)</f>
        <v>278.4599999999997</v>
      </c>
      <c r="P159" s="14">
        <f t="shared" si="141"/>
        <v>66.641458222154824</v>
      </c>
      <c r="Q159" s="22">
        <f t="shared" si="162"/>
        <v>601.05170640358574</v>
      </c>
      <c r="R159" s="62">
        <f t="shared" si="109"/>
        <v>894.385039736919</v>
      </c>
      <c r="S159" s="62">
        <f ca="1">AVERAGE(OFFSET($R$3,0,0,'Données projet'!$E$9+1,1))-AVERAGE(OFFSET($H$3,0,0,'Données projet'!$E$9+1,1))</f>
        <v>354.56491118410622</v>
      </c>
      <c r="T159" s="62">
        <f t="shared" si="142"/>
        <v>343.77208530767069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0.7802897321409108</v>
      </c>
      <c r="AB159" s="23">
        <f>EXP(-LN(2)/2)*AB158+(1-EXP(-LN(2)/2))/(LN(2)/2)*V159*Y159*VLOOKUP('Données projet'!$B$9,Paramètres!$A$1:$I$89,3,0)*0.475*44/12</f>
        <v>1.4532531898687999E-18</v>
      </c>
      <c r="AC159" s="24">
        <f t="shared" si="163"/>
        <v>0.7802897321409108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417.99999999999972</v>
      </c>
      <c r="AJ159" s="14">
        <f>AI159*VLOOKUP('Données projet'!$B$10,Paramètres!$A$1:$I$89,3,0)*VLOOKUP('Données projet'!$B$10,Paramètres!$A$1:$I$89,5,0)</f>
        <v>306.47759999999982</v>
      </c>
      <c r="AK159" s="14">
        <f t="shared" si="164"/>
        <v>72.532724321633353</v>
      </c>
      <c r="AL159" s="22">
        <f t="shared" si="165"/>
        <v>660.10964819351113</v>
      </c>
      <c r="AM159" s="62">
        <f t="shared" si="113"/>
        <v>953.44298152684451</v>
      </c>
      <c r="AN159" s="62">
        <f ca="1">AVERAGE(OFFSET($AM$3,0,0,'Données projet'!$E$10+1,1))-AVERAGE(OFFSET($H$3,0,0,'Données projet'!$E$10+1,1))</f>
        <v>380.01621935031324</v>
      </c>
      <c r="AO159" s="62">
        <f t="shared" si="144"/>
        <v>365.76175372075869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0.71012054533015057</v>
      </c>
      <c r="AW159" s="23">
        <f>EXP(-LN(2)/2)*AW158+(1-EXP(-LN(2)/2))/(LN(2)/2)*AQ159*AT159*VLOOKUP('Données projet'!$B$10,Paramètres!$A$1:$I$89,3,0)*0.475*44/12</f>
        <v>1.6080220421338258E-18</v>
      </c>
      <c r="AX159" s="23">
        <f t="shared" si="166"/>
        <v>0.71012054533015057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-5.6843418860808015E-14</v>
      </c>
      <c r="BE159" s="14">
        <f>BD159*VLOOKUP('Données projet'!$B$11,Paramètres!$A$1:$I$89,3,0)*VLOOKUP('Données projet'!$B$11,Paramètres!$A$1:$I$89,5,0)</f>
        <v>-4.9658410716801891E-14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303.33040062722074</v>
      </c>
      <c r="BJ159" s="62">
        <f t="shared" si="146"/>
        <v>425.30058672361548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0.57941935202534622</v>
      </c>
      <c r="BR159" s="23">
        <f>EXP(-LN(2)/2)*BR158+(1-EXP(-LN(2)/2))/(LN(2)/2)*BL159*BO159*VLOOKUP('Données projet'!$B$11,Paramètres!$A$1:$I$89,3,0)*0.475*44/12</f>
        <v>1.8230868525996348E-18</v>
      </c>
      <c r="BS159" s="24">
        <f t="shared" si="169"/>
        <v>0.57941935202534622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349.9999999999996</v>
      </c>
      <c r="O160" s="14">
        <f>N160*VLOOKUP('Données projet'!$B$9,Paramètres!$A$1:$I$89,3,0)*VLOOKUP('Données projet'!$B$9,Paramètres!$A$1:$I$89,5,0)</f>
        <v>278.4599999999997</v>
      </c>
      <c r="P160" s="14">
        <f t="shared" si="141"/>
        <v>66.641458222154824</v>
      </c>
      <c r="Q160" s="22">
        <f t="shared" si="162"/>
        <v>601.05170640358574</v>
      </c>
      <c r="R160" s="62">
        <f t="shared" si="109"/>
        <v>894.385039736919</v>
      </c>
      <c r="S160" s="62">
        <f ca="1">AVERAGE(OFFSET($R$3,0,0,'Données projet'!$E$9+1,1))-AVERAGE(OFFSET($H$3,0,0,'Données projet'!$E$9+1,1))</f>
        <v>354.56491118410622</v>
      </c>
      <c r="T160" s="62">
        <f t="shared" si="142"/>
        <v>343.77208530767069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0.75895266838186393</v>
      </c>
      <c r="AB160" s="23">
        <f>EXP(-LN(2)/2)*AB159+(1-EXP(-LN(2)/2))/(LN(2)/2)*V160*Y160*VLOOKUP('Données projet'!$B$9,Paramètres!$A$1:$I$89,3,0)*0.475*44/12</f>
        <v>1.0276051853372097E-18</v>
      </c>
      <c r="AC160" s="24">
        <f t="shared" si="163"/>
        <v>0.75895266838186393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417.99999999999972</v>
      </c>
      <c r="AJ160" s="14">
        <f>AI160*VLOOKUP('Données projet'!$B$10,Paramètres!$A$1:$I$89,3,0)*VLOOKUP('Données projet'!$B$10,Paramètres!$A$1:$I$89,5,0)</f>
        <v>306.47759999999982</v>
      </c>
      <c r="AK160" s="14">
        <f t="shared" si="164"/>
        <v>72.532724321633353</v>
      </c>
      <c r="AL160" s="22">
        <f t="shared" si="165"/>
        <v>660.10964819351113</v>
      </c>
      <c r="AM160" s="62">
        <f t="shared" si="113"/>
        <v>953.44298152684451</v>
      </c>
      <c r="AN160" s="62">
        <f ca="1">AVERAGE(OFFSET($AM$3,0,0,'Données projet'!$E$10+1,1))-AVERAGE(OFFSET($H$3,0,0,'Données projet'!$E$10+1,1))</f>
        <v>380.01621935031324</v>
      </c>
      <c r="AO160" s="62">
        <f t="shared" si="144"/>
        <v>365.76175372075869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0.69070226167448112</v>
      </c>
      <c r="AW160" s="23">
        <f>EXP(-LN(2)/2)*AW159+(1-EXP(-LN(2)/2))/(LN(2)/2)*AQ160*AT160*VLOOKUP('Données projet'!$B$10,Paramètres!$A$1:$I$89,3,0)*0.475*44/12</f>
        <v>1.1370432902902685E-18</v>
      </c>
      <c r="AX160" s="23">
        <f t="shared" si="166"/>
        <v>0.69070226167448112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-5.6843418860808015E-14</v>
      </c>
      <c r="BE160" s="14">
        <f>BD160*VLOOKUP('Données projet'!$B$11,Paramètres!$A$1:$I$89,3,0)*VLOOKUP('Données projet'!$B$11,Paramètres!$A$1:$I$89,5,0)</f>
        <v>-4.9658410716801891E-14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303.33040062722074</v>
      </c>
      <c r="BJ160" s="62">
        <f t="shared" si="146"/>
        <v>425.30058672361548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0.56357509937387373</v>
      </c>
      <c r="BR160" s="23">
        <f>EXP(-LN(2)/2)*BR159+(1-EXP(-LN(2)/2))/(LN(2)/2)*BL160*BO160*VLOOKUP('Données projet'!$B$11,Paramètres!$A$1:$I$89,3,0)*0.475*44/12</f>
        <v>1.2891170761652416E-18</v>
      </c>
      <c r="BS160" s="24">
        <f t="shared" si="169"/>
        <v>0.56357509937387373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349.9999999999996</v>
      </c>
      <c r="O161" s="14">
        <f>N161*VLOOKUP('Données projet'!$B$9,Paramètres!$A$1:$I$89,3,0)*VLOOKUP('Données projet'!$B$9,Paramètres!$A$1:$I$89,5,0)</f>
        <v>278.4599999999997</v>
      </c>
      <c r="P161" s="14">
        <f t="shared" si="141"/>
        <v>66.641458222154824</v>
      </c>
      <c r="Q161" s="22">
        <f t="shared" si="162"/>
        <v>601.05170640358574</v>
      </c>
      <c r="R161" s="62">
        <f t="shared" si="109"/>
        <v>894.385039736919</v>
      </c>
      <c r="S161" s="62">
        <f ca="1">AVERAGE(OFFSET($R$3,0,0,'Données projet'!$E$9+1,1))-AVERAGE(OFFSET($H$3,0,0,'Données projet'!$E$9+1,1))</f>
        <v>354.56491118410622</v>
      </c>
      <c r="T161" s="62">
        <f t="shared" si="142"/>
        <v>343.77208530767069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0.73819906775337563</v>
      </c>
      <c r="AB161" s="23">
        <f>EXP(-LN(2)/2)*AB160+(1-EXP(-LN(2)/2))/(LN(2)/2)*V161*Y161*VLOOKUP('Données projet'!$B$9,Paramètres!$A$1:$I$89,3,0)*0.475*44/12</f>
        <v>7.2662659493439994E-19</v>
      </c>
      <c r="AC161" s="24">
        <f t="shared" si="163"/>
        <v>0.73819906775337563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417.99999999999972</v>
      </c>
      <c r="AJ161" s="14">
        <f>AI161*VLOOKUP('Données projet'!$B$10,Paramètres!$A$1:$I$89,3,0)*VLOOKUP('Données projet'!$B$10,Paramètres!$A$1:$I$89,5,0)</f>
        <v>306.47759999999982</v>
      </c>
      <c r="AK161" s="14">
        <f t="shared" si="164"/>
        <v>72.532724321633353</v>
      </c>
      <c r="AL161" s="22">
        <f t="shared" si="165"/>
        <v>660.10964819351113</v>
      </c>
      <c r="AM161" s="62">
        <f t="shared" si="113"/>
        <v>953.44298152684451</v>
      </c>
      <c r="AN161" s="62">
        <f ca="1">AVERAGE(OFFSET($AM$3,0,0,'Données projet'!$E$10+1,1))-AVERAGE(OFFSET($H$3,0,0,'Données projet'!$E$10+1,1))</f>
        <v>380.01621935031324</v>
      </c>
      <c r="AO161" s="62">
        <f t="shared" si="144"/>
        <v>365.76175372075869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0.67181497200653917</v>
      </c>
      <c r="AW161" s="23">
        <f>EXP(-LN(2)/2)*AW160+(1-EXP(-LN(2)/2))/(LN(2)/2)*AQ161*AT161*VLOOKUP('Données projet'!$B$10,Paramètres!$A$1:$I$89,3,0)*0.475*44/12</f>
        <v>8.0401102106691291E-19</v>
      </c>
      <c r="AX161" s="23">
        <f t="shared" si="166"/>
        <v>0.67181497200653917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-5.6843418860808015E-14</v>
      </c>
      <c r="BE161" s="14">
        <f>BD161*VLOOKUP('Données projet'!$B$11,Paramètres!$A$1:$I$89,3,0)*VLOOKUP('Données projet'!$B$11,Paramètres!$A$1:$I$89,5,0)</f>
        <v>-4.9658410716801891E-14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303.33040062722074</v>
      </c>
      <c r="BJ161" s="62">
        <f t="shared" si="146"/>
        <v>425.30058672361548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0.54816410864436871</v>
      </c>
      <c r="BR161" s="23">
        <f>EXP(-LN(2)/2)*BR160+(1-EXP(-LN(2)/2))/(LN(2)/2)*BL161*BO161*VLOOKUP('Données projet'!$B$11,Paramètres!$A$1:$I$89,3,0)*0.475*44/12</f>
        <v>9.1154342629981739E-19</v>
      </c>
      <c r="BS161" s="24">
        <f t="shared" si="169"/>
        <v>0.54816410864436871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349.9999999999996</v>
      </c>
      <c r="O162" s="14">
        <f>N162*VLOOKUP('Données projet'!$B$9,Paramètres!$A$1:$I$89,3,0)*VLOOKUP('Données projet'!$B$9,Paramètres!$A$1:$I$89,5,0)</f>
        <v>278.4599999999997</v>
      </c>
      <c r="P162" s="14">
        <f t="shared" si="141"/>
        <v>66.641458222154824</v>
      </c>
      <c r="Q162" s="22">
        <f t="shared" si="162"/>
        <v>601.05170640358574</v>
      </c>
      <c r="R162" s="62">
        <f t="shared" si="109"/>
        <v>894.385039736919</v>
      </c>
      <c r="S162" s="62">
        <f ca="1">AVERAGE(OFFSET($R$3,0,0,'Données projet'!$E$9+1,1))-AVERAGE(OFFSET($H$3,0,0,'Données projet'!$E$9+1,1))</f>
        <v>354.56491118410622</v>
      </c>
      <c r="T162" s="62">
        <f t="shared" si="142"/>
        <v>343.77208530767069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0.71801297542545772</v>
      </c>
      <c r="AB162" s="23">
        <f>EXP(-LN(2)/2)*AB161+(1-EXP(-LN(2)/2))/(LN(2)/2)*V162*Y162*VLOOKUP('Données projet'!$B$9,Paramètres!$A$1:$I$89,3,0)*0.475*44/12</f>
        <v>5.1380259266860483E-19</v>
      </c>
      <c r="AC162" s="24">
        <f t="shared" si="163"/>
        <v>0.71801297542545772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417.99999999999972</v>
      </c>
      <c r="AJ162" s="14">
        <f>AI162*VLOOKUP('Données projet'!$B$10,Paramètres!$A$1:$I$89,3,0)*VLOOKUP('Données projet'!$B$10,Paramètres!$A$1:$I$89,5,0)</f>
        <v>306.47759999999982</v>
      </c>
      <c r="AK162" s="14">
        <f t="shared" si="164"/>
        <v>72.532724321633353</v>
      </c>
      <c r="AL162" s="22">
        <f t="shared" si="165"/>
        <v>660.10964819351113</v>
      </c>
      <c r="AM162" s="62">
        <f t="shared" si="113"/>
        <v>953.44298152684451</v>
      </c>
      <c r="AN162" s="62">
        <f ca="1">AVERAGE(OFFSET($AM$3,0,0,'Données projet'!$E$10+1,1))-AVERAGE(OFFSET($H$3,0,0,'Données projet'!$E$10+1,1))</f>
        <v>380.01621935031324</v>
      </c>
      <c r="AO162" s="62">
        <f t="shared" si="144"/>
        <v>365.76175372075869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0.65344415626780639</v>
      </c>
      <c r="AW162" s="23">
        <f>EXP(-LN(2)/2)*AW161+(1-EXP(-LN(2)/2))/(LN(2)/2)*AQ162*AT162*VLOOKUP('Données projet'!$B$10,Paramètres!$A$1:$I$89,3,0)*0.475*44/12</f>
        <v>5.6852164514513423E-19</v>
      </c>
      <c r="AX162" s="23">
        <f t="shared" si="166"/>
        <v>0.65344415626780639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-5.6843418860808015E-14</v>
      </c>
      <c r="BE162" s="14">
        <f>BD162*VLOOKUP('Données projet'!$B$11,Paramètres!$A$1:$I$89,3,0)*VLOOKUP('Données projet'!$B$11,Paramètres!$A$1:$I$89,5,0)</f>
        <v>-4.9658410716801891E-14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303.33040062722074</v>
      </c>
      <c r="BJ162" s="62">
        <f t="shared" si="146"/>
        <v>425.30058672361548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0.53317453226679079</v>
      </c>
      <c r="BR162" s="23">
        <f>EXP(-LN(2)/2)*BR161+(1-EXP(-LN(2)/2))/(LN(2)/2)*BL162*BO162*VLOOKUP('Données projet'!$B$11,Paramètres!$A$1:$I$89,3,0)*0.475*44/12</f>
        <v>6.4455853808262079E-19</v>
      </c>
      <c r="BS162" s="24">
        <f t="shared" si="169"/>
        <v>0.53317453226679079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349.9999999999996</v>
      </c>
      <c r="O163" s="14">
        <f>N163*VLOOKUP('Données projet'!$B$9,Paramètres!$A$1:$I$89,3,0)*VLOOKUP('Données projet'!$B$9,Paramètres!$A$1:$I$89,5,0)</f>
        <v>278.4599999999997</v>
      </c>
      <c r="P163" s="14">
        <f t="shared" si="141"/>
        <v>66.641458222154824</v>
      </c>
      <c r="Q163" s="22">
        <f t="shared" si="162"/>
        <v>601.05170640358574</v>
      </c>
      <c r="R163" s="62">
        <f t="shared" si="109"/>
        <v>894.385039736919</v>
      </c>
      <c r="S163" s="62">
        <f ca="1">AVERAGE(OFFSET($R$3,0,0,'Données projet'!$E$9+1,1))-AVERAGE(OFFSET($H$3,0,0,'Données projet'!$E$9+1,1))</f>
        <v>354.56491118410622</v>
      </c>
      <c r="T163" s="62">
        <f t="shared" si="142"/>
        <v>343.77208530767069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0.69837887285378719</v>
      </c>
      <c r="AB163" s="23">
        <f>EXP(-LN(2)/2)*AB162+(1-EXP(-LN(2)/2))/(LN(2)/2)*V163*Y163*VLOOKUP('Données projet'!$B$9,Paramètres!$A$1:$I$89,3,0)*0.475*44/12</f>
        <v>3.6331329746719997E-19</v>
      </c>
      <c r="AC163" s="24">
        <f t="shared" si="163"/>
        <v>0.69837887285378719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417.99999999999972</v>
      </c>
      <c r="AJ163" s="14">
        <f>AI163*VLOOKUP('Données projet'!$B$10,Paramètres!$A$1:$I$89,3,0)*VLOOKUP('Données projet'!$B$10,Paramètres!$A$1:$I$89,5,0)</f>
        <v>306.47759999999982</v>
      </c>
      <c r="AK163" s="14">
        <f t="shared" si="164"/>
        <v>72.532724321633353</v>
      </c>
      <c r="AL163" s="22">
        <f t="shared" si="165"/>
        <v>660.10964819351113</v>
      </c>
      <c r="AM163" s="62">
        <f t="shared" si="113"/>
        <v>953.44298152684451</v>
      </c>
      <c r="AN163" s="62">
        <f ca="1">AVERAGE(OFFSET($AM$3,0,0,'Données projet'!$E$10+1,1))-AVERAGE(OFFSET($H$3,0,0,'Données projet'!$E$10+1,1))</f>
        <v>380.01621935031324</v>
      </c>
      <c r="AO163" s="62">
        <f t="shared" si="144"/>
        <v>365.76175372075869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0.63557569145152848</v>
      </c>
      <c r="AW163" s="23">
        <f>EXP(-LN(2)/2)*AW162+(1-EXP(-LN(2)/2))/(LN(2)/2)*AQ163*AT163*VLOOKUP('Données projet'!$B$10,Paramètres!$A$1:$I$89,3,0)*0.475*44/12</f>
        <v>4.0200551053345645E-19</v>
      </c>
      <c r="AX163" s="23">
        <f t="shared" si="166"/>
        <v>0.63557569145152848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-5.6843418860808015E-14</v>
      </c>
      <c r="BE163" s="14">
        <f>BD163*VLOOKUP('Données projet'!$B$11,Paramètres!$A$1:$I$89,3,0)*VLOOKUP('Données projet'!$B$11,Paramètres!$A$1:$I$89,5,0)</f>
        <v>-4.9658410716801891E-14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303.33040062722074</v>
      </c>
      <c r="BJ163" s="62">
        <f t="shared" si="146"/>
        <v>425.30058672361548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0.51859484664352529</v>
      </c>
      <c r="BR163" s="23">
        <f>EXP(-LN(2)/2)*BR162+(1-EXP(-LN(2)/2))/(LN(2)/2)*BL163*BO163*VLOOKUP('Données projet'!$B$11,Paramètres!$A$1:$I$89,3,0)*0.475*44/12</f>
        <v>4.5577171314990869E-19</v>
      </c>
      <c r="BS163" s="24">
        <f t="shared" si="169"/>
        <v>0.51859484664352529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349.9999999999996</v>
      </c>
      <c r="O164" s="14">
        <f>N164*VLOOKUP('Données projet'!$B$9,Paramètres!$A$1:$I$89,3,0)*VLOOKUP('Données projet'!$B$9,Paramètres!$A$1:$I$89,5,0)</f>
        <v>278.4599999999997</v>
      </c>
      <c r="P164" s="14">
        <f t="shared" si="141"/>
        <v>66.641458222154824</v>
      </c>
      <c r="Q164" s="22">
        <f t="shared" si="162"/>
        <v>601.05170640358574</v>
      </c>
      <c r="R164" s="62">
        <f t="shared" si="109"/>
        <v>894.385039736919</v>
      </c>
      <c r="S164" s="62">
        <f ca="1">AVERAGE(OFFSET($R$3,0,0,'Données projet'!$E$9+1,1))-AVERAGE(OFFSET($H$3,0,0,'Données projet'!$E$9+1,1))</f>
        <v>354.56491118410622</v>
      </c>
      <c r="T164" s="62">
        <f t="shared" si="142"/>
        <v>343.77208530767069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0.6792816658494516</v>
      </c>
      <c r="AB164" s="23">
        <f>EXP(-LN(2)/2)*AB163+(1-EXP(-LN(2)/2))/(LN(2)/2)*V164*Y164*VLOOKUP('Données projet'!$B$9,Paramètres!$A$1:$I$89,3,0)*0.475*44/12</f>
        <v>2.5690129633430241E-19</v>
      </c>
      <c r="AC164" s="24">
        <f t="shared" si="163"/>
        <v>0.6792816658494516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417.99999999999972</v>
      </c>
      <c r="AJ164" s="14">
        <f>AI164*VLOOKUP('Données projet'!$B$10,Paramètres!$A$1:$I$89,3,0)*VLOOKUP('Données projet'!$B$10,Paramètres!$A$1:$I$89,5,0)</f>
        <v>306.47759999999982</v>
      </c>
      <c r="AK164" s="14">
        <f t="shared" si="164"/>
        <v>72.532724321633353</v>
      </c>
      <c r="AL164" s="22">
        <f t="shared" si="165"/>
        <v>660.10964819351113</v>
      </c>
      <c r="AM164" s="62">
        <f t="shared" si="113"/>
        <v>953.44298152684451</v>
      </c>
      <c r="AN164" s="62">
        <f ca="1">AVERAGE(OFFSET($AM$3,0,0,'Données projet'!$E$10+1,1))-AVERAGE(OFFSET($H$3,0,0,'Données projet'!$E$10+1,1))</f>
        <v>380.01621935031324</v>
      </c>
      <c r="AO164" s="62">
        <f t="shared" si="144"/>
        <v>365.76175372075869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0.61819584074531342</v>
      </c>
      <c r="AW164" s="23">
        <f>EXP(-LN(2)/2)*AW163+(1-EXP(-LN(2)/2))/(LN(2)/2)*AQ164*AT164*VLOOKUP('Données projet'!$B$10,Paramètres!$A$1:$I$89,3,0)*0.475*44/12</f>
        <v>2.8426082257256712E-19</v>
      </c>
      <c r="AX164" s="23">
        <f t="shared" si="166"/>
        <v>0.61819584074531342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-5.6843418860808015E-14</v>
      </c>
      <c r="BE164" s="14">
        <f>BD164*VLOOKUP('Données projet'!$B$11,Paramètres!$A$1:$I$89,3,0)*VLOOKUP('Données projet'!$B$11,Paramètres!$A$1:$I$89,5,0)</f>
        <v>-4.9658410716801891E-14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303.33040062722074</v>
      </c>
      <c r="BJ164" s="62">
        <f t="shared" si="146"/>
        <v>425.30058672361548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0.50441384329034034</v>
      </c>
      <c r="BR164" s="23">
        <f>EXP(-LN(2)/2)*BR163+(1-EXP(-LN(2)/2))/(LN(2)/2)*BL164*BO164*VLOOKUP('Données projet'!$B$11,Paramètres!$A$1:$I$89,3,0)*0.475*44/12</f>
        <v>3.222792690413104E-19</v>
      </c>
      <c r="BS164" s="24">
        <f t="shared" si="169"/>
        <v>0.50441384329034034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349.9999999999996</v>
      </c>
      <c r="O165" s="14">
        <f>N165*VLOOKUP('Données projet'!$B$9,Paramètres!$A$1:$I$89,3,0)*VLOOKUP('Données projet'!$B$9,Paramètres!$A$1:$I$89,5,0)</f>
        <v>278.4599999999997</v>
      </c>
      <c r="P165" s="14">
        <f t="shared" si="141"/>
        <v>66.641458222154824</v>
      </c>
      <c r="Q165" s="22">
        <f t="shared" si="162"/>
        <v>601.05170640358574</v>
      </c>
      <c r="R165" s="62">
        <f t="shared" si="109"/>
        <v>894.385039736919</v>
      </c>
      <c r="S165" s="62">
        <f ca="1">AVERAGE(OFFSET($R$3,0,0,'Données projet'!$E$9+1,1))-AVERAGE(OFFSET($H$3,0,0,'Données projet'!$E$9+1,1))</f>
        <v>354.56491118410622</v>
      </c>
      <c r="T165" s="62">
        <f t="shared" si="142"/>
        <v>343.77208530767069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0.66070667297492802</v>
      </c>
      <c r="AB165" s="23">
        <f>EXP(-LN(2)/2)*AB164+(1-EXP(-LN(2)/2))/(LN(2)/2)*V165*Y165*VLOOKUP('Données projet'!$B$9,Paramètres!$A$1:$I$89,3,0)*0.475*44/12</f>
        <v>1.8165664873359998E-19</v>
      </c>
      <c r="AC165" s="24">
        <f t="shared" si="163"/>
        <v>0.66070667297492802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417.99999999999972</v>
      </c>
      <c r="AJ165" s="14">
        <f>AI165*VLOOKUP('Données projet'!$B$10,Paramètres!$A$1:$I$89,3,0)*VLOOKUP('Données projet'!$B$10,Paramètres!$A$1:$I$89,5,0)</f>
        <v>306.47759999999982</v>
      </c>
      <c r="AK165" s="14">
        <f t="shared" si="164"/>
        <v>72.532724321633353</v>
      </c>
      <c r="AL165" s="22">
        <f t="shared" si="165"/>
        <v>660.10964819351113</v>
      </c>
      <c r="AM165" s="62">
        <f t="shared" si="113"/>
        <v>953.44298152684451</v>
      </c>
      <c r="AN165" s="62">
        <f ca="1">AVERAGE(OFFSET($AM$3,0,0,'Données projet'!$E$10+1,1))-AVERAGE(OFFSET($H$3,0,0,'Données projet'!$E$10+1,1))</f>
        <v>380.01621935031324</v>
      </c>
      <c r="AO165" s="62">
        <f t="shared" si="144"/>
        <v>365.76175372075869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0.60129124297062642</v>
      </c>
      <c r="AW165" s="23">
        <f>EXP(-LN(2)/2)*AW164+(1-EXP(-LN(2)/2))/(LN(2)/2)*AQ165*AT165*VLOOKUP('Données projet'!$B$10,Paramètres!$A$1:$I$89,3,0)*0.475*44/12</f>
        <v>2.0100275526672823E-19</v>
      </c>
      <c r="AX165" s="23">
        <f t="shared" si="166"/>
        <v>0.60129124297062642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-5.6843418860808015E-14</v>
      </c>
      <c r="BE165" s="14">
        <f>BD165*VLOOKUP('Données projet'!$B$11,Paramètres!$A$1:$I$89,3,0)*VLOOKUP('Données projet'!$B$11,Paramètres!$A$1:$I$89,5,0)</f>
        <v>-4.9658410716801891E-14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303.33040062722074</v>
      </c>
      <c r="BJ165" s="62">
        <f t="shared" si="146"/>
        <v>425.30058672361548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0.49062062021959479</v>
      </c>
      <c r="BR165" s="23">
        <f>EXP(-LN(2)/2)*BR164+(1-EXP(-LN(2)/2))/(LN(2)/2)*BL165*BO165*VLOOKUP('Données projet'!$B$11,Paramètres!$A$1:$I$89,3,0)*0.475*44/12</f>
        <v>2.2788585657495435E-19</v>
      </c>
      <c r="BS165" s="24">
        <f t="shared" si="169"/>
        <v>0.49062062021959479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349.9999999999996</v>
      </c>
      <c r="O166" s="14">
        <f>N166*VLOOKUP('Données projet'!$B$9,Paramètres!$A$1:$I$89,3,0)*VLOOKUP('Données projet'!$B$9,Paramètres!$A$1:$I$89,5,0)</f>
        <v>278.4599999999997</v>
      </c>
      <c r="P166" s="14">
        <f t="shared" si="141"/>
        <v>66.641458222154824</v>
      </c>
      <c r="Q166" s="22">
        <f t="shared" si="162"/>
        <v>601.05170640358574</v>
      </c>
      <c r="R166" s="62">
        <f t="shared" si="109"/>
        <v>894.385039736919</v>
      </c>
      <c r="S166" s="62">
        <f ca="1">AVERAGE(OFFSET($R$3,0,0,'Données projet'!$E$9+1,1))-AVERAGE(OFFSET($H$3,0,0,'Données projet'!$E$9+1,1))</f>
        <v>354.56491118410622</v>
      </c>
      <c r="T166" s="62">
        <f t="shared" si="142"/>
        <v>343.77208530767069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0.6426396142573747</v>
      </c>
      <c r="AB166" s="23">
        <f>EXP(-LN(2)/2)*AB165+(1-EXP(-LN(2)/2))/(LN(2)/2)*V166*Y166*VLOOKUP('Données projet'!$B$9,Paramètres!$A$1:$I$89,3,0)*0.475*44/12</f>
        <v>1.2845064816715121E-19</v>
      </c>
      <c r="AC166" s="24">
        <f t="shared" si="163"/>
        <v>0.6426396142573747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417.99999999999972</v>
      </c>
      <c r="AJ166" s="14">
        <f>AI166*VLOOKUP('Données projet'!$B$10,Paramètres!$A$1:$I$89,3,0)*VLOOKUP('Données projet'!$B$10,Paramètres!$A$1:$I$89,5,0)</f>
        <v>306.47759999999982</v>
      </c>
      <c r="AK166" s="14">
        <f t="shared" si="164"/>
        <v>72.532724321633353</v>
      </c>
      <c r="AL166" s="22">
        <f t="shared" si="165"/>
        <v>660.10964819351113</v>
      </c>
      <c r="AM166" s="62">
        <f t="shared" si="113"/>
        <v>953.44298152684451</v>
      </c>
      <c r="AN166" s="62">
        <f ca="1">AVERAGE(OFFSET($AM$3,0,0,'Données projet'!$E$10+1,1))-AVERAGE(OFFSET($H$3,0,0,'Données projet'!$E$10+1,1))</f>
        <v>380.01621935031324</v>
      </c>
      <c r="AO166" s="62">
        <f t="shared" si="144"/>
        <v>365.76175372075869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0.58484890231106246</v>
      </c>
      <c r="AW166" s="23">
        <f>EXP(-LN(2)/2)*AW165+(1-EXP(-LN(2)/2))/(LN(2)/2)*AQ166*AT166*VLOOKUP('Données projet'!$B$10,Paramètres!$A$1:$I$89,3,0)*0.475*44/12</f>
        <v>1.4213041128628356E-19</v>
      </c>
      <c r="AX166" s="23">
        <f t="shared" si="166"/>
        <v>0.58484890231106246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-5.6843418860808015E-14</v>
      </c>
      <c r="BE166" s="14">
        <f>BD166*VLOOKUP('Données projet'!$B$11,Paramètres!$A$1:$I$89,3,0)*VLOOKUP('Données projet'!$B$11,Paramètres!$A$1:$I$89,5,0)</f>
        <v>-4.9658410716801891E-14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303.33040062722074</v>
      </c>
      <c r="BJ166" s="62">
        <f t="shared" si="146"/>
        <v>425.30058672361548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0.47720457355907286</v>
      </c>
      <c r="BR166" s="23">
        <f>EXP(-LN(2)/2)*BR165+(1-EXP(-LN(2)/2))/(LN(2)/2)*BL166*BO166*VLOOKUP('Données projet'!$B$11,Paramètres!$A$1:$I$89,3,0)*0.475*44/12</f>
        <v>1.611396345206552E-19</v>
      </c>
      <c r="BS166" s="24">
        <f t="shared" si="169"/>
        <v>0.47720457355907286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349.9999999999996</v>
      </c>
      <c r="O167" s="14">
        <f>N167*VLOOKUP('Données projet'!$B$9,Paramètres!$A$1:$I$89,3,0)*VLOOKUP('Données projet'!$B$9,Paramètres!$A$1:$I$89,5,0)</f>
        <v>278.4599999999997</v>
      </c>
      <c r="P167" s="14">
        <f t="shared" si="141"/>
        <v>66.641458222154824</v>
      </c>
      <c r="Q167" s="22">
        <f t="shared" si="162"/>
        <v>601.05170640358574</v>
      </c>
      <c r="R167" s="62">
        <f t="shared" si="109"/>
        <v>894.385039736919</v>
      </c>
      <c r="S167" s="62">
        <f ca="1">AVERAGE(OFFSET($R$3,0,0,'Données projet'!$E$9+1,1))-AVERAGE(OFFSET($H$3,0,0,'Données projet'!$E$9+1,1))</f>
        <v>354.56491118410622</v>
      </c>
      <c r="T167" s="62">
        <f t="shared" si="142"/>
        <v>343.77208530767069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0.62506660021055827</v>
      </c>
      <c r="AB167" s="23">
        <f>EXP(-LN(2)/2)*AB166+(1-EXP(-LN(2)/2))/(LN(2)/2)*V167*Y167*VLOOKUP('Données projet'!$B$9,Paramètres!$A$1:$I$89,3,0)*0.475*44/12</f>
        <v>9.0828324366799992E-20</v>
      </c>
      <c r="AC167" s="24">
        <f t="shared" si="163"/>
        <v>0.62506660021055827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417.99999999999972</v>
      </c>
      <c r="AJ167" s="14">
        <f>AI167*VLOOKUP('Données projet'!$B$10,Paramètres!$A$1:$I$89,3,0)*VLOOKUP('Données projet'!$B$10,Paramètres!$A$1:$I$89,5,0)</f>
        <v>306.47759999999982</v>
      </c>
      <c r="AK167" s="14">
        <f t="shared" si="164"/>
        <v>72.532724321633353</v>
      </c>
      <c r="AL167" s="22">
        <f t="shared" si="165"/>
        <v>660.10964819351113</v>
      </c>
      <c r="AM167" s="62">
        <f t="shared" si="113"/>
        <v>953.44298152684451</v>
      </c>
      <c r="AN167" s="62">
        <f ca="1">AVERAGE(OFFSET($AM$3,0,0,'Données projet'!$E$10+1,1))-AVERAGE(OFFSET($H$3,0,0,'Données projet'!$E$10+1,1))</f>
        <v>380.01621935031324</v>
      </c>
      <c r="AO167" s="62">
        <f t="shared" si="144"/>
        <v>365.76175372075869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0.56885617832149937</v>
      </c>
      <c r="AW167" s="23">
        <f>EXP(-LN(2)/2)*AW166+(1-EXP(-LN(2)/2))/(LN(2)/2)*AQ167*AT167*VLOOKUP('Données projet'!$B$10,Paramètres!$A$1:$I$89,3,0)*0.475*44/12</f>
        <v>1.0050137763336411E-19</v>
      </c>
      <c r="AX167" s="23">
        <f t="shared" si="166"/>
        <v>0.56885617832149937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-5.6843418860808015E-14</v>
      </c>
      <c r="BE167" s="14">
        <f>BD167*VLOOKUP('Données projet'!$B$11,Paramètres!$A$1:$I$89,3,0)*VLOOKUP('Données projet'!$B$11,Paramètres!$A$1:$I$89,5,0)</f>
        <v>-4.9658410716801891E-14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303.33040062722074</v>
      </c>
      <c r="BJ167" s="62">
        <f t="shared" si="146"/>
        <v>425.30058672361548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0.46415538940000217</v>
      </c>
      <c r="BR167" s="23">
        <f>EXP(-LN(2)/2)*BR166+(1-EXP(-LN(2)/2))/(LN(2)/2)*BL167*BO167*VLOOKUP('Données projet'!$B$11,Paramètres!$A$1:$I$89,3,0)*0.475*44/12</f>
        <v>1.1394292828747717E-19</v>
      </c>
      <c r="BS167" s="24">
        <f t="shared" si="169"/>
        <v>0.46415538940000217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349.9999999999996</v>
      </c>
      <c r="O168" s="14">
        <f>N168*VLOOKUP('Données projet'!$B$9,Paramètres!$A$1:$I$89,3,0)*VLOOKUP('Données projet'!$B$9,Paramètres!$A$1:$I$89,5,0)</f>
        <v>278.4599999999997</v>
      </c>
      <c r="P168" s="14">
        <f t="shared" si="141"/>
        <v>66.641458222154824</v>
      </c>
      <c r="Q168" s="22">
        <f t="shared" si="162"/>
        <v>601.05170640358574</v>
      </c>
      <c r="R168" s="62">
        <f t="shared" si="109"/>
        <v>894.385039736919</v>
      </c>
      <c r="S168" s="62">
        <f ca="1">AVERAGE(OFFSET($R$3,0,0,'Données projet'!$E$9+1,1))-AVERAGE(OFFSET($H$3,0,0,'Données projet'!$E$9+1,1))</f>
        <v>354.56491118410622</v>
      </c>
      <c r="T168" s="62">
        <f t="shared" si="142"/>
        <v>343.77208530767069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0.60797412115697669</v>
      </c>
      <c r="AB168" s="23">
        <f>EXP(-LN(2)/2)*AB167+(1-EXP(-LN(2)/2))/(LN(2)/2)*V168*Y168*VLOOKUP('Données projet'!$B$9,Paramètres!$A$1:$I$89,3,0)*0.475*44/12</f>
        <v>6.4225324083575603E-20</v>
      </c>
      <c r="AC168" s="24">
        <f t="shared" si="163"/>
        <v>0.60797412115697669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417.99999999999972</v>
      </c>
      <c r="AJ168" s="14">
        <f>AI168*VLOOKUP('Données projet'!$B$10,Paramètres!$A$1:$I$89,3,0)*VLOOKUP('Données projet'!$B$10,Paramètres!$A$1:$I$89,5,0)</f>
        <v>306.47759999999982</v>
      </c>
      <c r="AK168" s="14">
        <f t="shared" si="164"/>
        <v>72.532724321633353</v>
      </c>
      <c r="AL168" s="22">
        <f t="shared" si="165"/>
        <v>660.10964819351113</v>
      </c>
      <c r="AM168" s="62">
        <f t="shared" si="113"/>
        <v>953.44298152684451</v>
      </c>
      <c r="AN168" s="62">
        <f ca="1">AVERAGE(OFFSET($AM$3,0,0,'Données projet'!$E$10+1,1))-AVERAGE(OFFSET($H$3,0,0,'Données projet'!$E$10+1,1))</f>
        <v>380.01621935031324</v>
      </c>
      <c r="AO168" s="62">
        <f t="shared" si="144"/>
        <v>365.76175372075869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0.55330077621045171</v>
      </c>
      <c r="AW168" s="23">
        <f>EXP(-LN(2)/2)*AW167+(1-EXP(-LN(2)/2))/(LN(2)/2)*AQ168*AT168*VLOOKUP('Données projet'!$B$10,Paramètres!$A$1:$I$89,3,0)*0.475*44/12</f>
        <v>7.1065205643141779E-20</v>
      </c>
      <c r="AX168" s="23">
        <f t="shared" si="166"/>
        <v>0.55330077621045171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-5.6843418860808015E-14</v>
      </c>
      <c r="BE168" s="14">
        <f>BD168*VLOOKUP('Données projet'!$B$11,Paramètres!$A$1:$I$89,3,0)*VLOOKUP('Données projet'!$B$11,Paramètres!$A$1:$I$89,5,0)</f>
        <v>-4.9658410716801891E-14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303.33040062722074</v>
      </c>
      <c r="BJ168" s="62">
        <f t="shared" si="146"/>
        <v>425.30058672361548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0.45146303586798803</v>
      </c>
      <c r="BR168" s="23">
        <f>EXP(-LN(2)/2)*BR167+(1-EXP(-LN(2)/2))/(LN(2)/2)*BL168*BO168*VLOOKUP('Données projet'!$B$11,Paramètres!$A$1:$I$89,3,0)*0.475*44/12</f>
        <v>8.0569817260327599E-20</v>
      </c>
      <c r="BS168" s="24">
        <f t="shared" si="169"/>
        <v>0.45146303586798803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349.9999999999996</v>
      </c>
      <c r="O169" s="14">
        <f>N169*VLOOKUP('Données projet'!$B$9,Paramètres!$A$1:$I$89,3,0)*VLOOKUP('Données projet'!$B$9,Paramètres!$A$1:$I$89,5,0)</f>
        <v>278.4599999999997</v>
      </c>
      <c r="P169" s="14">
        <f t="shared" si="141"/>
        <v>66.641458222154824</v>
      </c>
      <c r="Q169" s="22">
        <f t="shared" si="162"/>
        <v>601.05170640358574</v>
      </c>
      <c r="R169" s="62">
        <f t="shared" si="109"/>
        <v>894.385039736919</v>
      </c>
      <c r="S169" s="62">
        <f ca="1">AVERAGE(OFFSET($R$3,0,0,'Données projet'!$E$9+1,1))-AVERAGE(OFFSET($H$3,0,0,'Données projet'!$E$9+1,1))</f>
        <v>354.56491118410622</v>
      </c>
      <c r="T169" s="62">
        <f t="shared" si="142"/>
        <v>343.77208530767069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0.59134903684196971</v>
      </c>
      <c r="AB169" s="23">
        <f>EXP(-LN(2)/2)*AB168+(1-EXP(-LN(2)/2))/(LN(2)/2)*V169*Y169*VLOOKUP('Données projet'!$B$9,Paramètres!$A$1:$I$89,3,0)*0.475*44/12</f>
        <v>4.5414162183399996E-20</v>
      </c>
      <c r="AC169" s="24">
        <f t="shared" si="163"/>
        <v>0.59134903684196971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417.99999999999972</v>
      </c>
      <c r="AJ169" s="14">
        <f>AI169*VLOOKUP('Données projet'!$B$10,Paramètres!$A$1:$I$89,3,0)*VLOOKUP('Données projet'!$B$10,Paramètres!$A$1:$I$89,5,0)</f>
        <v>306.47759999999982</v>
      </c>
      <c r="AK169" s="14">
        <f t="shared" si="164"/>
        <v>72.532724321633353</v>
      </c>
      <c r="AL169" s="22">
        <f t="shared" si="165"/>
        <v>660.10964819351113</v>
      </c>
      <c r="AM169" s="62">
        <f t="shared" si="113"/>
        <v>953.44298152684451</v>
      </c>
      <c r="AN169" s="62">
        <f ca="1">AVERAGE(OFFSET($AM$3,0,0,'Données projet'!$E$10+1,1))-AVERAGE(OFFSET($H$3,0,0,'Données projet'!$E$10+1,1))</f>
        <v>380.01621935031324</v>
      </c>
      <c r="AO169" s="62">
        <f t="shared" si="144"/>
        <v>365.76175372075869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0.53817073738815369</v>
      </c>
      <c r="AW169" s="23">
        <f>EXP(-LN(2)/2)*AW168+(1-EXP(-LN(2)/2))/(LN(2)/2)*AQ169*AT169*VLOOKUP('Données projet'!$B$10,Paramètres!$A$1:$I$89,3,0)*0.475*44/12</f>
        <v>5.0250688816682057E-20</v>
      </c>
      <c r="AX169" s="23">
        <f t="shared" si="166"/>
        <v>0.53817073738815369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-5.6843418860808015E-14</v>
      </c>
      <c r="BE169" s="14">
        <f>BD169*VLOOKUP('Données projet'!$B$11,Paramètres!$A$1:$I$89,3,0)*VLOOKUP('Données projet'!$B$11,Paramètres!$A$1:$I$89,5,0)</f>
        <v>-4.9658410716801891E-14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303.33040062722074</v>
      </c>
      <c r="BJ169" s="62">
        <f t="shared" si="146"/>
        <v>425.30058672361548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0.4391177554107687</v>
      </c>
      <c r="BR169" s="23">
        <f>EXP(-LN(2)/2)*BR168+(1-EXP(-LN(2)/2))/(LN(2)/2)*BL169*BO169*VLOOKUP('Données projet'!$B$11,Paramètres!$A$1:$I$89,3,0)*0.475*44/12</f>
        <v>5.6971464143738587E-20</v>
      </c>
      <c r="BS169" s="24">
        <f t="shared" si="169"/>
        <v>0.4391177554107687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349.9999999999996</v>
      </c>
      <c r="O170" s="14">
        <f>N170*VLOOKUP('Données projet'!$B$9,Paramètres!$A$1:$I$89,3,0)*VLOOKUP('Données projet'!$B$9,Paramètres!$A$1:$I$89,5,0)</f>
        <v>278.4599999999997</v>
      </c>
      <c r="P170" s="14">
        <f t="shared" si="141"/>
        <v>66.641458222154824</v>
      </c>
      <c r="Q170" s="22">
        <f t="shared" si="162"/>
        <v>601.05170640358574</v>
      </c>
      <c r="R170" s="62">
        <f t="shared" si="109"/>
        <v>894.385039736919</v>
      </c>
      <c r="S170" s="62">
        <f ca="1">AVERAGE(OFFSET($R$3,0,0,'Données projet'!$E$9+1,1))-AVERAGE(OFFSET($H$3,0,0,'Données projet'!$E$9+1,1))</f>
        <v>354.56491118410622</v>
      </c>
      <c r="T170" s="62">
        <f t="shared" si="142"/>
        <v>343.77208530767069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0.57517856633183173</v>
      </c>
      <c r="AB170" s="23">
        <f>EXP(-LN(2)/2)*AB169+(1-EXP(-LN(2)/2))/(LN(2)/2)*V170*Y170*VLOOKUP('Données projet'!$B$9,Paramètres!$A$1:$I$89,3,0)*0.475*44/12</f>
        <v>3.2112662041787802E-20</v>
      </c>
      <c r="AC170" s="24">
        <f t="shared" si="163"/>
        <v>0.57517856633183173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417.99999999999972</v>
      </c>
      <c r="AJ170" s="14">
        <f>AI170*VLOOKUP('Données projet'!$B$10,Paramètres!$A$1:$I$89,3,0)*VLOOKUP('Données projet'!$B$10,Paramètres!$A$1:$I$89,5,0)</f>
        <v>306.47759999999982</v>
      </c>
      <c r="AK170" s="14">
        <f t="shared" si="164"/>
        <v>72.532724321633353</v>
      </c>
      <c r="AL170" s="22">
        <f t="shared" si="165"/>
        <v>660.10964819351113</v>
      </c>
      <c r="AM170" s="62">
        <f t="shared" si="113"/>
        <v>953.44298152684451</v>
      </c>
      <c r="AN170" s="62">
        <f ca="1">AVERAGE(OFFSET($AM$3,0,0,'Données projet'!$E$10+1,1))-AVERAGE(OFFSET($H$3,0,0,'Données projet'!$E$10+1,1))</f>
        <v>380.01621935031324</v>
      </c>
      <c r="AO170" s="62">
        <f t="shared" si="144"/>
        <v>365.76175372075869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0.52345443027310556</v>
      </c>
      <c r="AW170" s="23">
        <f>EXP(-LN(2)/2)*AW169+(1-EXP(-LN(2)/2))/(LN(2)/2)*AQ170*AT170*VLOOKUP('Données projet'!$B$10,Paramètres!$A$1:$I$89,3,0)*0.475*44/12</f>
        <v>3.5532602821570889E-20</v>
      </c>
      <c r="AX170" s="23">
        <f t="shared" si="166"/>
        <v>0.52345443027310556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-5.6843418860808015E-14</v>
      </c>
      <c r="BE170" s="14">
        <f>BD170*VLOOKUP('Données projet'!$B$11,Paramètres!$A$1:$I$89,3,0)*VLOOKUP('Données projet'!$B$11,Paramètres!$A$1:$I$89,5,0)</f>
        <v>-4.9658410716801891E-14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303.33040062722074</v>
      </c>
      <c r="BJ170" s="62">
        <f t="shared" si="146"/>
        <v>425.30058672361548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0.42711005729686208</v>
      </c>
      <c r="BR170" s="23">
        <f>EXP(-LN(2)/2)*BR169+(1-EXP(-LN(2)/2))/(LN(2)/2)*BL170*BO170*VLOOKUP('Données projet'!$B$11,Paramètres!$A$1:$I$89,3,0)*0.475*44/12</f>
        <v>4.02849086301638E-20</v>
      </c>
      <c r="BS170" s="24">
        <f t="shared" si="169"/>
        <v>0.42711005729686208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349.9999999999996</v>
      </c>
      <c r="O171" s="14">
        <f>N171*VLOOKUP('Données projet'!$B$9,Paramètres!$A$1:$I$89,3,0)*VLOOKUP('Données projet'!$B$9,Paramètres!$A$1:$I$89,5,0)</f>
        <v>278.4599999999997</v>
      </c>
      <c r="P171" s="14">
        <f t="shared" si="141"/>
        <v>66.641458222154824</v>
      </c>
      <c r="Q171" s="22">
        <f t="shared" si="162"/>
        <v>601.05170640358574</v>
      </c>
      <c r="R171" s="62">
        <f t="shared" si="109"/>
        <v>894.385039736919</v>
      </c>
      <c r="S171" s="62">
        <f ca="1">AVERAGE(OFFSET($R$3,0,0,'Données projet'!$E$9+1,1))-AVERAGE(OFFSET($H$3,0,0,'Données projet'!$E$9+1,1))</f>
        <v>354.56491118410622</v>
      </c>
      <c r="T171" s="62">
        <f t="shared" si="142"/>
        <v>343.77208530767069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0.55945027818816162</v>
      </c>
      <c r="AB171" s="23">
        <f>EXP(-LN(2)/2)*AB170+(1-EXP(-LN(2)/2))/(LN(2)/2)*V171*Y171*VLOOKUP('Données projet'!$B$9,Paramètres!$A$1:$I$89,3,0)*0.475*44/12</f>
        <v>2.2707081091699998E-20</v>
      </c>
      <c r="AC171" s="24">
        <f t="shared" si="163"/>
        <v>0.55945027818816162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417.99999999999972</v>
      </c>
      <c r="AJ171" s="14">
        <f>AI171*VLOOKUP('Données projet'!$B$10,Paramètres!$A$1:$I$89,3,0)*VLOOKUP('Données projet'!$B$10,Paramètres!$A$1:$I$89,5,0)</f>
        <v>306.47759999999982</v>
      </c>
      <c r="AK171" s="14">
        <f t="shared" si="164"/>
        <v>72.532724321633353</v>
      </c>
      <c r="AL171" s="22">
        <f t="shared" si="165"/>
        <v>660.10964819351113</v>
      </c>
      <c r="AM171" s="62">
        <f t="shared" si="113"/>
        <v>953.44298152684451</v>
      </c>
      <c r="AN171" s="62">
        <f ca="1">AVERAGE(OFFSET($AM$3,0,0,'Données projet'!$E$10+1,1))-AVERAGE(OFFSET($H$3,0,0,'Données projet'!$E$10+1,1))</f>
        <v>380.01621935031324</v>
      </c>
      <c r="AO171" s="62">
        <f t="shared" si="144"/>
        <v>365.76175372075869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0.50914054135001541</v>
      </c>
      <c r="AW171" s="23">
        <f>EXP(-LN(2)/2)*AW170+(1-EXP(-LN(2)/2))/(LN(2)/2)*AQ171*AT171*VLOOKUP('Données projet'!$B$10,Paramètres!$A$1:$I$89,3,0)*0.475*44/12</f>
        <v>2.5125344408341028E-20</v>
      </c>
      <c r="AX171" s="23">
        <f t="shared" si="166"/>
        <v>0.50914054135001541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-5.6843418860808015E-14</v>
      </c>
      <c r="BE171" s="14">
        <f>BD171*VLOOKUP('Données projet'!$B$11,Paramètres!$A$1:$I$89,3,0)*VLOOKUP('Données projet'!$B$11,Paramètres!$A$1:$I$89,5,0)</f>
        <v>-4.9658410716801891E-14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303.33040062722074</v>
      </c>
      <c r="BJ171" s="62">
        <f t="shared" si="146"/>
        <v>425.30058672361548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0.41543071031933765</v>
      </c>
      <c r="BR171" s="23">
        <f>EXP(-LN(2)/2)*BR170+(1-EXP(-LN(2)/2))/(LN(2)/2)*BL171*BO171*VLOOKUP('Données projet'!$B$11,Paramètres!$A$1:$I$89,3,0)*0.475*44/12</f>
        <v>2.8485732071869293E-20</v>
      </c>
      <c r="BS171" s="24">
        <f t="shared" si="169"/>
        <v>0.41543071031933765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349.9999999999996</v>
      </c>
      <c r="O172" s="14">
        <f>N172*VLOOKUP('Données projet'!$B$9,Paramètres!$A$1:$I$89,3,0)*VLOOKUP('Données projet'!$B$9,Paramètres!$A$1:$I$89,5,0)</f>
        <v>278.4599999999997</v>
      </c>
      <c r="P172" s="14">
        <f t="shared" si="141"/>
        <v>66.641458222154824</v>
      </c>
      <c r="Q172" s="22">
        <f t="shared" si="162"/>
        <v>601.05170640358574</v>
      </c>
      <c r="R172" s="62">
        <f t="shared" si="109"/>
        <v>894.385039736919</v>
      </c>
      <c r="S172" s="62">
        <f ca="1">AVERAGE(OFFSET($R$3,0,0,'Données projet'!$E$9+1,1))-AVERAGE(OFFSET($H$3,0,0,'Données projet'!$E$9+1,1))</f>
        <v>354.56491118410622</v>
      </c>
      <c r="T172" s="62">
        <f t="shared" si="142"/>
        <v>343.77208530767069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0.54415208091089484</v>
      </c>
      <c r="AB172" s="23">
        <f>EXP(-LN(2)/2)*AB171+(1-EXP(-LN(2)/2))/(LN(2)/2)*V172*Y172*VLOOKUP('Données projet'!$B$9,Paramètres!$A$1:$I$89,3,0)*0.475*44/12</f>
        <v>1.6056331020893901E-20</v>
      </c>
      <c r="AC172" s="24">
        <f t="shared" si="163"/>
        <v>0.54415208091089484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417.99999999999972</v>
      </c>
      <c r="AJ172" s="14">
        <f>AI172*VLOOKUP('Données projet'!$B$10,Paramètres!$A$1:$I$89,3,0)*VLOOKUP('Données projet'!$B$10,Paramètres!$A$1:$I$89,5,0)</f>
        <v>306.47759999999982</v>
      </c>
      <c r="AK172" s="14">
        <f t="shared" si="164"/>
        <v>72.532724321633353</v>
      </c>
      <c r="AL172" s="22">
        <f t="shared" si="165"/>
        <v>660.10964819351113</v>
      </c>
      <c r="AM172" s="62">
        <f t="shared" si="113"/>
        <v>953.44298152684451</v>
      </c>
      <c r="AN172" s="62">
        <f ca="1">AVERAGE(OFFSET($AM$3,0,0,'Données projet'!$E$10+1,1))-AVERAGE(OFFSET($H$3,0,0,'Données projet'!$E$10+1,1))</f>
        <v>380.01621935031324</v>
      </c>
      <c r="AO172" s="62">
        <f t="shared" si="144"/>
        <v>365.76175372075869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0.4952180664722618</v>
      </c>
      <c r="AW172" s="23">
        <f>EXP(-LN(2)/2)*AW171+(1-EXP(-LN(2)/2))/(LN(2)/2)*AQ172*AT172*VLOOKUP('Données projet'!$B$10,Paramètres!$A$1:$I$89,3,0)*0.475*44/12</f>
        <v>1.7766301410785445E-20</v>
      </c>
      <c r="AX172" s="23">
        <f t="shared" si="166"/>
        <v>0.4952180664722618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-5.6843418860808015E-14</v>
      </c>
      <c r="BE172" s="14">
        <f>BD172*VLOOKUP('Données projet'!$B$11,Paramètres!$A$1:$I$89,3,0)*VLOOKUP('Données projet'!$B$11,Paramètres!$A$1:$I$89,5,0)</f>
        <v>-4.9658410716801891E-14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303.33040062722074</v>
      </c>
      <c r="BJ172" s="62">
        <f t="shared" si="146"/>
        <v>425.30058672361548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0.40407073569910379</v>
      </c>
      <c r="BR172" s="23">
        <f>EXP(-LN(2)/2)*BR171+(1-EXP(-LN(2)/2))/(LN(2)/2)*BL172*BO172*VLOOKUP('Données projet'!$B$11,Paramètres!$A$1:$I$89,3,0)*0.475*44/12</f>
        <v>2.01424543150819E-20</v>
      </c>
      <c r="BS172" s="24">
        <f t="shared" si="169"/>
        <v>0.40407073569910379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349.9999999999996</v>
      </c>
      <c r="O173" s="14">
        <f>N173*VLOOKUP('Données projet'!$B$9,Paramètres!$A$1:$I$89,3,0)*VLOOKUP('Données projet'!$B$9,Paramètres!$A$1:$I$89,5,0)</f>
        <v>278.4599999999997</v>
      </c>
      <c r="P173" s="14">
        <f t="shared" si="141"/>
        <v>66.641458222154824</v>
      </c>
      <c r="Q173" s="22">
        <f t="shared" si="162"/>
        <v>601.05170640358574</v>
      </c>
      <c r="R173" s="62">
        <f t="shared" si="109"/>
        <v>894.385039736919</v>
      </c>
      <c r="S173" s="62">
        <f ca="1">AVERAGE(OFFSET($R$3,0,0,'Données projet'!$E$9+1,1))-AVERAGE(OFFSET($H$3,0,0,'Données projet'!$E$9+1,1))</f>
        <v>354.56491118410622</v>
      </c>
      <c r="T173" s="62">
        <f t="shared" si="142"/>
        <v>343.77208530767069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0.52927221364267218</v>
      </c>
      <c r="AB173" s="23">
        <f>EXP(-LN(2)/2)*AB172+(1-EXP(-LN(2)/2))/(LN(2)/2)*V173*Y173*VLOOKUP('Données projet'!$B$9,Paramètres!$A$1:$I$89,3,0)*0.475*44/12</f>
        <v>1.1353540545849999E-20</v>
      </c>
      <c r="AC173" s="24">
        <f t="shared" si="163"/>
        <v>0.52927221364267218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417.99999999999972</v>
      </c>
      <c r="AJ173" s="14">
        <f>AI173*VLOOKUP('Données projet'!$B$10,Paramètres!$A$1:$I$89,3,0)*VLOOKUP('Données projet'!$B$10,Paramètres!$A$1:$I$89,5,0)</f>
        <v>306.47759999999982</v>
      </c>
      <c r="AK173" s="14">
        <f t="shared" si="164"/>
        <v>72.532724321633353</v>
      </c>
      <c r="AL173" s="22">
        <f t="shared" si="165"/>
        <v>660.10964819351113</v>
      </c>
      <c r="AM173" s="62">
        <f t="shared" si="113"/>
        <v>953.44298152684451</v>
      </c>
      <c r="AN173" s="62">
        <f ca="1">AVERAGE(OFFSET($AM$3,0,0,'Données projet'!$E$10+1,1))-AVERAGE(OFFSET($H$3,0,0,'Données projet'!$E$10+1,1))</f>
        <v>380.01621935031324</v>
      </c>
      <c r="AO173" s="62">
        <f t="shared" si="144"/>
        <v>365.76175372075869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0.4816763024021915</v>
      </c>
      <c r="AW173" s="23">
        <f>EXP(-LN(2)/2)*AW172+(1-EXP(-LN(2)/2))/(LN(2)/2)*AQ173*AT173*VLOOKUP('Données projet'!$B$10,Paramètres!$A$1:$I$89,3,0)*0.475*44/12</f>
        <v>1.2562672204170514E-20</v>
      </c>
      <c r="AX173" s="23">
        <f t="shared" si="166"/>
        <v>0.4816763024021915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-5.6843418860808015E-14</v>
      </c>
      <c r="BE173" s="14">
        <f>BD173*VLOOKUP('Données projet'!$B$11,Paramètres!$A$1:$I$89,3,0)*VLOOKUP('Données projet'!$B$11,Paramètres!$A$1:$I$89,5,0)</f>
        <v>-4.9658410716801891E-14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303.33040062722074</v>
      </c>
      <c r="BJ173" s="62">
        <f t="shared" si="146"/>
        <v>425.30058672361548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0.39302140018225534</v>
      </c>
      <c r="BR173" s="23">
        <f>EXP(-LN(2)/2)*BR172+(1-EXP(-LN(2)/2))/(LN(2)/2)*BL173*BO173*VLOOKUP('Données projet'!$B$11,Paramètres!$A$1:$I$89,3,0)*0.475*44/12</f>
        <v>1.4242866035934647E-20</v>
      </c>
      <c r="BS173" s="24">
        <f t="shared" si="169"/>
        <v>0.39302140018225534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349.9999999999996</v>
      </c>
      <c r="O174" s="14">
        <f>N174*VLOOKUP('Données projet'!$B$9,Paramètres!$A$1:$I$89,3,0)*VLOOKUP('Données projet'!$B$9,Paramètres!$A$1:$I$89,5,0)</f>
        <v>278.4599999999997</v>
      </c>
      <c r="P174" s="14">
        <f t="shared" si="141"/>
        <v>66.641458222154824</v>
      </c>
      <c r="Q174" s="22">
        <f t="shared" si="162"/>
        <v>601.05170640358574</v>
      </c>
      <c r="R174" s="62">
        <f t="shared" si="109"/>
        <v>894.385039736919</v>
      </c>
      <c r="S174" s="62">
        <f ca="1">AVERAGE(OFFSET($R$3,0,0,'Données projet'!$E$9+1,1))-AVERAGE(OFFSET($H$3,0,0,'Données projet'!$E$9+1,1))</f>
        <v>354.56491118410622</v>
      </c>
      <c r="T174" s="62">
        <f t="shared" si="142"/>
        <v>343.77208530767069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0.51479923712739728</v>
      </c>
      <c r="AB174" s="23">
        <f>EXP(-LN(2)/2)*AB173+(1-EXP(-LN(2)/2))/(LN(2)/2)*V174*Y174*VLOOKUP('Données projet'!$B$9,Paramètres!$A$1:$I$89,3,0)*0.475*44/12</f>
        <v>8.0281655104469504E-21</v>
      </c>
      <c r="AC174" s="24">
        <f t="shared" si="163"/>
        <v>0.51479923712739728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417.99999999999972</v>
      </c>
      <c r="AJ174" s="14">
        <f>AI174*VLOOKUP('Données projet'!$B$10,Paramètres!$A$1:$I$89,3,0)*VLOOKUP('Données projet'!$B$10,Paramètres!$A$1:$I$89,5,0)</f>
        <v>306.47759999999982</v>
      </c>
      <c r="AK174" s="14">
        <f t="shared" si="164"/>
        <v>72.532724321633353</v>
      </c>
      <c r="AL174" s="22">
        <f t="shared" si="165"/>
        <v>660.10964819351113</v>
      </c>
      <c r="AM174" s="62">
        <f t="shared" si="113"/>
        <v>953.44298152684451</v>
      </c>
      <c r="AN174" s="62">
        <f ca="1">AVERAGE(OFFSET($AM$3,0,0,'Données projet'!$E$10+1,1))-AVERAGE(OFFSET($H$3,0,0,'Données projet'!$E$10+1,1))</f>
        <v>380.01621935031324</v>
      </c>
      <c r="AO174" s="62">
        <f t="shared" si="144"/>
        <v>365.76175372075869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0.46850483858274772</v>
      </c>
      <c r="AW174" s="23">
        <f>EXP(-LN(2)/2)*AW173+(1-EXP(-LN(2)/2))/(LN(2)/2)*AQ174*AT174*VLOOKUP('Données projet'!$B$10,Paramètres!$A$1:$I$89,3,0)*0.475*44/12</f>
        <v>8.8831507053927223E-21</v>
      </c>
      <c r="AX174" s="23">
        <f t="shared" si="166"/>
        <v>0.46850483858274772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-5.6843418860808015E-14</v>
      </c>
      <c r="BE174" s="14">
        <f>BD174*VLOOKUP('Données projet'!$B$11,Paramètres!$A$1:$I$89,3,0)*VLOOKUP('Données projet'!$B$11,Paramètres!$A$1:$I$89,5,0)</f>
        <v>-4.9658410716801891E-14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303.33040062722074</v>
      </c>
      <c r="BJ174" s="62">
        <f t="shared" si="146"/>
        <v>425.30058672361548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0.3822742093261744</v>
      </c>
      <c r="BR174" s="23">
        <f>EXP(-LN(2)/2)*BR173+(1-EXP(-LN(2)/2))/(LN(2)/2)*BL174*BO174*VLOOKUP('Données projet'!$B$11,Paramètres!$A$1:$I$89,3,0)*0.475*44/12</f>
        <v>1.007122715754095E-20</v>
      </c>
      <c r="BS174" s="24">
        <f t="shared" si="169"/>
        <v>0.3822742093261744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349.9999999999996</v>
      </c>
      <c r="O175" s="14">
        <f>N175*VLOOKUP('Données projet'!$B$9,Paramètres!$A$1:$I$89,3,0)*VLOOKUP('Données projet'!$B$9,Paramètres!$A$1:$I$89,5,0)</f>
        <v>278.4599999999997</v>
      </c>
      <c r="P175" s="14">
        <f t="shared" si="141"/>
        <v>66.641458222154824</v>
      </c>
      <c r="Q175" s="22">
        <f t="shared" si="162"/>
        <v>601.05170640358574</v>
      </c>
      <c r="R175" s="62">
        <f t="shared" si="109"/>
        <v>894.385039736919</v>
      </c>
      <c r="S175" s="62">
        <f ca="1">AVERAGE(OFFSET($R$3,0,0,'Données projet'!$E$9+1,1))-AVERAGE(OFFSET($H$3,0,0,'Données projet'!$E$9+1,1))</f>
        <v>354.56491118410622</v>
      </c>
      <c r="T175" s="62">
        <f t="shared" si="142"/>
        <v>343.77208530767069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0.50072202491603335</v>
      </c>
      <c r="AB175" s="23">
        <f>EXP(-LN(2)/2)*AB174+(1-EXP(-LN(2)/2))/(LN(2)/2)*V175*Y175*VLOOKUP('Données projet'!$B$9,Paramètres!$A$1:$I$89,3,0)*0.475*44/12</f>
        <v>5.6767702729249995E-21</v>
      </c>
      <c r="AC175" s="24">
        <f t="shared" si="163"/>
        <v>0.50072202491603335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417.99999999999972</v>
      </c>
      <c r="AJ175" s="14">
        <f>AI175*VLOOKUP('Données projet'!$B$10,Paramètres!$A$1:$I$89,3,0)*VLOOKUP('Données projet'!$B$10,Paramètres!$A$1:$I$89,5,0)</f>
        <v>306.47759999999982</v>
      </c>
      <c r="AK175" s="14">
        <f t="shared" si="164"/>
        <v>72.532724321633353</v>
      </c>
      <c r="AL175" s="22">
        <f t="shared" si="165"/>
        <v>660.10964819351113</v>
      </c>
      <c r="AM175" s="62">
        <f t="shared" si="113"/>
        <v>953.44298152684451</v>
      </c>
      <c r="AN175" s="62">
        <f ca="1">AVERAGE(OFFSET($AM$3,0,0,'Données projet'!$E$10+1,1))-AVERAGE(OFFSET($H$3,0,0,'Données projet'!$E$10+1,1))</f>
        <v>380.01621935031324</v>
      </c>
      <c r="AO175" s="62">
        <f t="shared" si="144"/>
        <v>365.76175372075869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0.45569354913410381</v>
      </c>
      <c r="AW175" s="23">
        <f>EXP(-LN(2)/2)*AW174+(1-EXP(-LN(2)/2))/(LN(2)/2)*AQ175*AT175*VLOOKUP('Données projet'!$B$10,Paramètres!$A$1:$I$89,3,0)*0.475*44/12</f>
        <v>6.2813361020852571E-21</v>
      </c>
      <c r="AX175" s="23">
        <f t="shared" si="166"/>
        <v>0.45569354913410381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-5.6843418860808015E-14</v>
      </c>
      <c r="BE175" s="14">
        <f>BD175*VLOOKUP('Données projet'!$B$11,Paramètres!$A$1:$I$89,3,0)*VLOOKUP('Données projet'!$B$11,Paramètres!$A$1:$I$89,5,0)</f>
        <v>-4.9658410716801891E-14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303.33040062722074</v>
      </c>
      <c r="BJ175" s="62">
        <f t="shared" si="146"/>
        <v>425.30058672361548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0.37182090096922321</v>
      </c>
      <c r="BR175" s="23">
        <f>EXP(-LN(2)/2)*BR174+(1-EXP(-LN(2)/2))/(LN(2)/2)*BL175*BO175*VLOOKUP('Données projet'!$B$11,Paramètres!$A$1:$I$89,3,0)*0.475*44/12</f>
        <v>7.1214330179673233E-21</v>
      </c>
      <c r="BS175" s="24">
        <f t="shared" si="169"/>
        <v>0.37182090096922321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349.9999999999996</v>
      </c>
      <c r="O176" s="14">
        <f>N176*VLOOKUP('Données projet'!$B$9,Paramètres!$A$1:$I$89,3,0)*VLOOKUP('Données projet'!$B$9,Paramètres!$A$1:$I$89,5,0)</f>
        <v>278.4599999999997</v>
      </c>
      <c r="P176" s="14">
        <f t="shared" si="141"/>
        <v>66.641458222154824</v>
      </c>
      <c r="Q176" s="22">
        <f t="shared" si="162"/>
        <v>601.05170640358574</v>
      </c>
      <c r="R176" s="62">
        <f t="shared" si="109"/>
        <v>894.385039736919</v>
      </c>
      <c r="S176" s="62">
        <f ca="1">AVERAGE(OFFSET($R$3,0,0,'Données projet'!$E$9+1,1))-AVERAGE(OFFSET($H$3,0,0,'Données projet'!$E$9+1,1))</f>
        <v>354.56491118410622</v>
      </c>
      <c r="T176" s="62">
        <f t="shared" si="142"/>
        <v>343.77208530767069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0.48702975481287752</v>
      </c>
      <c r="AB176" s="23">
        <f>EXP(-LN(2)/2)*AB175+(1-EXP(-LN(2)/2))/(LN(2)/2)*V176*Y176*VLOOKUP('Données projet'!$B$9,Paramètres!$A$1:$I$89,3,0)*0.475*44/12</f>
        <v>4.0140827552234752E-21</v>
      </c>
      <c r="AC176" s="24">
        <f t="shared" si="163"/>
        <v>0.48702975481287752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417.99999999999972</v>
      </c>
      <c r="AJ176" s="14">
        <f>AI176*VLOOKUP('Données projet'!$B$10,Paramètres!$A$1:$I$89,3,0)*VLOOKUP('Données projet'!$B$10,Paramètres!$A$1:$I$89,5,0)</f>
        <v>306.47759999999982</v>
      </c>
      <c r="AK176" s="14">
        <f t="shared" si="164"/>
        <v>72.532724321633353</v>
      </c>
      <c r="AL176" s="22">
        <f t="shared" si="165"/>
        <v>660.10964819351113</v>
      </c>
      <c r="AM176" s="62">
        <f t="shared" si="113"/>
        <v>953.44298152684451</v>
      </c>
      <c r="AN176" s="62">
        <f ca="1">AVERAGE(OFFSET($AM$3,0,0,'Données projet'!$E$10+1,1))-AVERAGE(OFFSET($H$3,0,0,'Données projet'!$E$10+1,1))</f>
        <v>380.01621935031324</v>
      </c>
      <c r="AO176" s="62">
        <f t="shared" si="144"/>
        <v>365.76175372075869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0.44323258506914948</v>
      </c>
      <c r="AW176" s="23">
        <f>EXP(-LN(2)/2)*AW175+(1-EXP(-LN(2)/2))/(LN(2)/2)*AQ176*AT176*VLOOKUP('Données projet'!$B$10,Paramètres!$A$1:$I$89,3,0)*0.475*44/12</f>
        <v>4.4415753526963612E-21</v>
      </c>
      <c r="AX176" s="23">
        <f t="shared" si="166"/>
        <v>0.44323258506914948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-5.6843418860808015E-14</v>
      </c>
      <c r="BE176" s="14">
        <f>BD176*VLOOKUP('Données projet'!$B$11,Paramètres!$A$1:$I$89,3,0)*VLOOKUP('Données projet'!$B$11,Paramètres!$A$1:$I$89,5,0)</f>
        <v>-4.9658410716801891E-14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303.33040062722074</v>
      </c>
      <c r="BJ176" s="62">
        <f t="shared" si="146"/>
        <v>425.30058672361548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0.36165343887900842</v>
      </c>
      <c r="BR176" s="23">
        <f>EXP(-LN(2)/2)*BR175+(1-EXP(-LN(2)/2))/(LN(2)/2)*BL176*BO176*VLOOKUP('Données projet'!$B$11,Paramètres!$A$1:$I$89,3,0)*0.475*44/12</f>
        <v>5.0356135787704749E-21</v>
      </c>
      <c r="BS176" s="24">
        <f t="shared" si="169"/>
        <v>0.36165343887900842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349.9999999999996</v>
      </c>
      <c r="O177" s="14">
        <f>N177*VLOOKUP('Données projet'!$B$9,Paramètres!$A$1:$I$89,3,0)*VLOOKUP('Données projet'!$B$9,Paramètres!$A$1:$I$89,5,0)</f>
        <v>278.4599999999997</v>
      </c>
      <c r="P177" s="14">
        <f t="shared" si="141"/>
        <v>66.641458222154824</v>
      </c>
      <c r="Q177" s="22">
        <f t="shared" si="162"/>
        <v>601.05170640358574</v>
      </c>
      <c r="R177" s="62">
        <f t="shared" si="109"/>
        <v>894.385039736919</v>
      </c>
      <c r="S177" s="62">
        <f ca="1">AVERAGE(OFFSET($R$3,0,0,'Données projet'!$E$9+1,1))-AVERAGE(OFFSET($H$3,0,0,'Données projet'!$E$9+1,1))</f>
        <v>354.56491118410622</v>
      </c>
      <c r="T177" s="62">
        <f t="shared" si="142"/>
        <v>343.77208530767069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0.4737119005557377</v>
      </c>
      <c r="AB177" s="23">
        <f>EXP(-LN(2)/2)*AB176+(1-EXP(-LN(2)/2))/(LN(2)/2)*V177*Y177*VLOOKUP('Données projet'!$B$9,Paramètres!$A$1:$I$89,3,0)*0.475*44/12</f>
        <v>2.8383851364624998E-21</v>
      </c>
      <c r="AC177" s="24">
        <f t="shared" si="163"/>
        <v>0.4737119005557377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417.99999999999972</v>
      </c>
      <c r="AJ177" s="14">
        <f>AI177*VLOOKUP('Données projet'!$B$10,Paramètres!$A$1:$I$89,3,0)*VLOOKUP('Données projet'!$B$10,Paramètres!$A$1:$I$89,5,0)</f>
        <v>306.47759999999982</v>
      </c>
      <c r="AK177" s="14">
        <f t="shared" si="164"/>
        <v>72.532724321633353</v>
      </c>
      <c r="AL177" s="22">
        <f t="shared" si="165"/>
        <v>660.10964819351113</v>
      </c>
      <c r="AM177" s="62">
        <f t="shared" si="113"/>
        <v>953.44298152684451</v>
      </c>
      <c r="AN177" s="62">
        <f ca="1">AVERAGE(OFFSET($AM$3,0,0,'Données projet'!$E$10+1,1))-AVERAGE(OFFSET($H$3,0,0,'Données projet'!$E$10+1,1))</f>
        <v>380.01621935031324</v>
      </c>
      <c r="AO177" s="62">
        <f t="shared" si="144"/>
        <v>365.76175372075869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0.43111236672184494</v>
      </c>
      <c r="AW177" s="23">
        <f>EXP(-LN(2)/2)*AW176+(1-EXP(-LN(2)/2))/(LN(2)/2)*AQ177*AT177*VLOOKUP('Données projet'!$B$10,Paramètres!$A$1:$I$89,3,0)*0.475*44/12</f>
        <v>3.1406680510426285E-21</v>
      </c>
      <c r="AX177" s="23">
        <f t="shared" si="166"/>
        <v>0.43111236672184494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-5.6843418860808015E-14</v>
      </c>
      <c r="BE177" s="14">
        <f>BD177*VLOOKUP('Données projet'!$B$11,Paramètres!$A$1:$I$89,3,0)*VLOOKUP('Données projet'!$B$11,Paramètres!$A$1:$I$89,5,0)</f>
        <v>-4.9658410716801891E-14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303.33040062722074</v>
      </c>
      <c r="BJ177" s="62">
        <f t="shared" si="146"/>
        <v>425.30058672361548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0.35176400657433415</v>
      </c>
      <c r="BR177" s="23">
        <f>EXP(-LN(2)/2)*BR176+(1-EXP(-LN(2)/2))/(LN(2)/2)*BL177*BO177*VLOOKUP('Données projet'!$B$11,Paramètres!$A$1:$I$89,3,0)*0.475*44/12</f>
        <v>3.5607165089836617E-21</v>
      </c>
      <c r="BS177" s="24">
        <f t="shared" si="169"/>
        <v>0.35176400657433415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349.9999999999996</v>
      </c>
      <c r="O178" s="14">
        <f>N178*VLOOKUP('Données projet'!$B$9,Paramètres!$A$1:$I$89,3,0)*VLOOKUP('Données projet'!$B$9,Paramètres!$A$1:$I$89,5,0)</f>
        <v>278.4599999999997</v>
      </c>
      <c r="P178" s="14">
        <f t="shared" si="141"/>
        <v>66.641458222154824</v>
      </c>
      <c r="Q178" s="22">
        <f t="shared" si="162"/>
        <v>601.05170640358574</v>
      </c>
      <c r="R178" s="62">
        <f t="shared" si="109"/>
        <v>894.385039736919</v>
      </c>
      <c r="S178" s="62">
        <f ca="1">AVERAGE(OFFSET($R$3,0,0,'Données projet'!$E$9+1,1))-AVERAGE(OFFSET($H$3,0,0,'Données projet'!$E$9+1,1))</f>
        <v>354.56491118410622</v>
      </c>
      <c r="T178" s="62">
        <f t="shared" si="142"/>
        <v>343.77208530767069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0.46075822372361486</v>
      </c>
      <c r="AB178" s="23">
        <f>EXP(-LN(2)/2)*AB177+(1-EXP(-LN(2)/2))/(LN(2)/2)*V178*Y178*VLOOKUP('Données projet'!$B$9,Paramètres!$A$1:$I$89,3,0)*0.475*44/12</f>
        <v>2.0070413776117376E-21</v>
      </c>
      <c r="AC178" s="24">
        <f t="shared" si="163"/>
        <v>0.46075822372361486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417.99999999999972</v>
      </c>
      <c r="AJ178" s="14">
        <f>AI178*VLOOKUP('Données projet'!$B$10,Paramètres!$A$1:$I$89,3,0)*VLOOKUP('Données projet'!$B$10,Paramètres!$A$1:$I$89,5,0)</f>
        <v>306.47759999999982</v>
      </c>
      <c r="AK178" s="14">
        <f t="shared" si="164"/>
        <v>72.532724321633353</v>
      </c>
      <c r="AL178" s="22">
        <f t="shared" si="165"/>
        <v>660.10964819351113</v>
      </c>
      <c r="AM178" s="62">
        <f t="shared" si="113"/>
        <v>953.44298152684451</v>
      </c>
      <c r="AN178" s="62">
        <f ca="1">AVERAGE(OFFSET($AM$3,0,0,'Données projet'!$E$10+1,1))-AVERAGE(OFFSET($H$3,0,0,'Données projet'!$E$10+1,1))</f>
        <v>380.01621935031324</v>
      </c>
      <c r="AO178" s="62">
        <f t="shared" si="144"/>
        <v>365.76175372075869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0.41932357638262202</v>
      </c>
      <c r="AW178" s="23">
        <f>EXP(-LN(2)/2)*AW177+(1-EXP(-LN(2)/2))/(LN(2)/2)*AQ178*AT178*VLOOKUP('Données projet'!$B$10,Paramètres!$A$1:$I$89,3,0)*0.475*44/12</f>
        <v>2.2207876763481806E-21</v>
      </c>
      <c r="AX178" s="23">
        <f t="shared" si="166"/>
        <v>0.41932357638262202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-5.6843418860808015E-14</v>
      </c>
      <c r="BE178" s="14">
        <f>BD178*VLOOKUP('Données projet'!$B$11,Paramètres!$A$1:$I$89,3,0)*VLOOKUP('Données projet'!$B$11,Paramètres!$A$1:$I$89,5,0)</f>
        <v>-4.9658410716801891E-14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303.33040062722074</v>
      </c>
      <c r="BJ178" s="62">
        <f t="shared" si="146"/>
        <v>425.30058672361548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0.34214500131609382</v>
      </c>
      <c r="BR178" s="23">
        <f>EXP(-LN(2)/2)*BR177+(1-EXP(-LN(2)/2))/(LN(2)/2)*BL178*BO178*VLOOKUP('Données projet'!$B$11,Paramètres!$A$1:$I$89,3,0)*0.475*44/12</f>
        <v>2.5178067893852375E-21</v>
      </c>
      <c r="BS178" s="24">
        <f t="shared" si="169"/>
        <v>0.34214500131609382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349.9999999999996</v>
      </c>
      <c r="O179" s="14">
        <f>N179*VLOOKUP('Données projet'!$B$9,Paramètres!$A$1:$I$89,3,0)*VLOOKUP('Données projet'!$B$9,Paramètres!$A$1:$I$89,5,0)</f>
        <v>278.4599999999997</v>
      </c>
      <c r="P179" s="14">
        <f t="shared" si="141"/>
        <v>66.641458222154824</v>
      </c>
      <c r="Q179" s="22">
        <f t="shared" si="162"/>
        <v>601.05170640358574</v>
      </c>
      <c r="R179" s="62">
        <f t="shared" si="109"/>
        <v>894.385039736919</v>
      </c>
      <c r="S179" s="62">
        <f ca="1">AVERAGE(OFFSET($R$3,0,0,'Données projet'!$E$9+1,1))-AVERAGE(OFFSET($H$3,0,0,'Données projet'!$E$9+1,1))</f>
        <v>354.56491118410622</v>
      </c>
      <c r="T179" s="62">
        <f t="shared" si="142"/>
        <v>343.77208530767069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0.44815876586567072</v>
      </c>
      <c r="AB179" s="23">
        <f>EXP(-LN(2)/2)*AB178+(1-EXP(-LN(2)/2))/(LN(2)/2)*V179*Y179*VLOOKUP('Données projet'!$B$9,Paramètres!$A$1:$I$89,3,0)*0.475*44/12</f>
        <v>1.4191925682312499E-21</v>
      </c>
      <c r="AC179" s="24">
        <f t="shared" si="163"/>
        <v>0.44815876586567072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417.99999999999972</v>
      </c>
      <c r="AJ179" s="14">
        <f>AI179*VLOOKUP('Données projet'!$B$10,Paramètres!$A$1:$I$89,3,0)*VLOOKUP('Données projet'!$B$10,Paramètres!$A$1:$I$89,5,0)</f>
        <v>306.47759999999982</v>
      </c>
      <c r="AK179" s="14">
        <f t="shared" si="164"/>
        <v>72.532724321633353</v>
      </c>
      <c r="AL179" s="22">
        <f t="shared" si="165"/>
        <v>660.10964819351113</v>
      </c>
      <c r="AM179" s="62">
        <f t="shared" si="113"/>
        <v>953.44298152684451</v>
      </c>
      <c r="AN179" s="62">
        <f ca="1">AVERAGE(OFFSET($AM$3,0,0,'Données projet'!$E$10+1,1))-AVERAGE(OFFSET($H$3,0,0,'Données projet'!$E$10+1,1))</f>
        <v>380.01621935031324</v>
      </c>
      <c r="AO179" s="62">
        <f t="shared" si="144"/>
        <v>365.76175372075869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0.40785715113517074</v>
      </c>
      <c r="AW179" s="23">
        <f>EXP(-LN(2)/2)*AW178+(1-EXP(-LN(2)/2))/(LN(2)/2)*AQ179*AT179*VLOOKUP('Données projet'!$B$10,Paramètres!$A$1:$I$89,3,0)*0.475*44/12</f>
        <v>1.5703340255213143E-21</v>
      </c>
      <c r="AX179" s="23">
        <f t="shared" si="166"/>
        <v>0.40785715113517074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-5.6843418860808015E-14</v>
      </c>
      <c r="BE179" s="14">
        <f>BD179*VLOOKUP('Données projet'!$B$11,Paramètres!$A$1:$I$89,3,0)*VLOOKUP('Données projet'!$B$11,Paramètres!$A$1:$I$89,5,0)</f>
        <v>-4.9658410716801891E-14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303.33040062722074</v>
      </c>
      <c r="BJ179" s="62">
        <f t="shared" si="146"/>
        <v>425.30058672361548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0.33278902826248158</v>
      </c>
      <c r="BR179" s="23">
        <f>EXP(-LN(2)/2)*BR178+(1-EXP(-LN(2)/2))/(LN(2)/2)*BL179*BO179*VLOOKUP('Données projet'!$B$11,Paramètres!$A$1:$I$89,3,0)*0.475*44/12</f>
        <v>1.7803582544918308E-21</v>
      </c>
      <c r="BS179" s="24">
        <f t="shared" si="169"/>
        <v>0.33278902826248158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349.9999999999996</v>
      </c>
      <c r="O180" s="14">
        <f>N180*VLOOKUP('Données projet'!$B$9,Paramètres!$A$1:$I$89,3,0)*VLOOKUP('Données projet'!$B$9,Paramètres!$A$1:$I$89,5,0)</f>
        <v>278.4599999999997</v>
      </c>
      <c r="P180" s="14">
        <f t="shared" si="141"/>
        <v>66.641458222154824</v>
      </c>
      <c r="Q180" s="22">
        <f t="shared" si="162"/>
        <v>601.05170640358574</v>
      </c>
      <c r="R180" s="62">
        <f t="shared" si="109"/>
        <v>894.385039736919</v>
      </c>
      <c r="S180" s="62">
        <f ca="1">AVERAGE(OFFSET($R$3,0,0,'Données projet'!$E$9+1,1))-AVERAGE(OFFSET($H$3,0,0,'Données projet'!$E$9+1,1))</f>
        <v>354.56491118410622</v>
      </c>
      <c r="T180" s="62">
        <f t="shared" si="142"/>
        <v>343.77208530767069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0.43590384084542871</v>
      </c>
      <c r="AB180" s="23">
        <f>EXP(-LN(2)/2)*AB179+(1-EXP(-LN(2)/2))/(LN(2)/2)*V180*Y180*VLOOKUP('Données projet'!$B$9,Paramètres!$A$1:$I$89,3,0)*0.475*44/12</f>
        <v>1.0035206888058688E-21</v>
      </c>
      <c r="AC180" s="24">
        <f t="shared" si="163"/>
        <v>0.43590384084542871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417.99999999999972</v>
      </c>
      <c r="AJ180" s="14">
        <f>AI180*VLOOKUP('Données projet'!$B$10,Paramètres!$A$1:$I$89,3,0)*VLOOKUP('Données projet'!$B$10,Paramètres!$A$1:$I$89,5,0)</f>
        <v>306.47759999999982</v>
      </c>
      <c r="AK180" s="14">
        <f t="shared" si="164"/>
        <v>72.532724321633353</v>
      </c>
      <c r="AL180" s="22">
        <f t="shared" si="165"/>
        <v>660.10964819351113</v>
      </c>
      <c r="AM180" s="62">
        <f t="shared" si="113"/>
        <v>953.44298152684451</v>
      </c>
      <c r="AN180" s="62">
        <f ca="1">AVERAGE(OFFSET($AM$3,0,0,'Données projet'!$E$10+1,1))-AVERAGE(OFFSET($H$3,0,0,'Données projet'!$E$10+1,1))</f>
        <v>380.01621935031324</v>
      </c>
      <c r="AO180" s="62">
        <f t="shared" si="144"/>
        <v>365.76175372075869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0.39670427588910406</v>
      </c>
      <c r="AW180" s="23">
        <f>EXP(-LN(2)/2)*AW179+(1-EXP(-LN(2)/2))/(LN(2)/2)*AQ180*AT180*VLOOKUP('Données projet'!$B$10,Paramètres!$A$1:$I$89,3,0)*0.475*44/12</f>
        <v>1.1103938381740903E-21</v>
      </c>
      <c r="AX180" s="23">
        <f t="shared" si="166"/>
        <v>0.39670427588910406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-5.6843418860808015E-14</v>
      </c>
      <c r="BE180" s="14">
        <f>BD180*VLOOKUP('Données projet'!$B$11,Paramètres!$A$1:$I$89,3,0)*VLOOKUP('Données projet'!$B$11,Paramètres!$A$1:$I$89,5,0)</f>
        <v>-4.9658410716801891E-14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303.33040062722074</v>
      </c>
      <c r="BJ180" s="62">
        <f t="shared" si="146"/>
        <v>425.30058672361548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0.32368889478402962</v>
      </c>
      <c r="BR180" s="23">
        <f>EXP(-LN(2)/2)*BR179+(1-EXP(-LN(2)/2))/(LN(2)/2)*BL180*BO180*VLOOKUP('Données projet'!$B$11,Paramètres!$A$1:$I$89,3,0)*0.475*44/12</f>
        <v>1.2589033946926187E-21</v>
      </c>
      <c r="BS180" s="24">
        <f t="shared" si="169"/>
        <v>0.32368889478402962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349.9999999999996</v>
      </c>
      <c r="O181" s="14">
        <f>N181*VLOOKUP('Données projet'!$B$9,Paramètres!$A$1:$I$89,3,0)*VLOOKUP('Données projet'!$B$9,Paramètres!$A$1:$I$89,5,0)</f>
        <v>278.4599999999997</v>
      </c>
      <c r="P181" s="14">
        <f t="shared" si="141"/>
        <v>66.641458222154824</v>
      </c>
      <c r="Q181" s="22">
        <f t="shared" si="162"/>
        <v>601.05170640358574</v>
      </c>
      <c r="R181" s="62">
        <f t="shared" si="109"/>
        <v>894.385039736919</v>
      </c>
      <c r="S181" s="62">
        <f ca="1">AVERAGE(OFFSET($R$3,0,0,'Données projet'!$E$9+1,1))-AVERAGE(OFFSET($H$3,0,0,'Données projet'!$E$9+1,1))</f>
        <v>354.56491118410622</v>
      </c>
      <c r="T181" s="62">
        <f t="shared" si="142"/>
        <v>343.77208530767069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0.42398402739432373</v>
      </c>
      <c r="AB181" s="23">
        <f>EXP(-LN(2)/2)*AB180+(1-EXP(-LN(2)/2))/(LN(2)/2)*V181*Y181*VLOOKUP('Données projet'!$B$9,Paramètres!$A$1:$I$89,3,0)*0.475*44/12</f>
        <v>7.0959628411562494E-22</v>
      </c>
      <c r="AC181" s="24">
        <f t="shared" si="163"/>
        <v>0.42398402739432373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417.99999999999972</v>
      </c>
      <c r="AJ181" s="14">
        <f>AI181*VLOOKUP('Données projet'!$B$10,Paramètres!$A$1:$I$89,3,0)*VLOOKUP('Données projet'!$B$10,Paramètres!$A$1:$I$89,5,0)</f>
        <v>306.47759999999982</v>
      </c>
      <c r="AK181" s="14">
        <f t="shared" si="164"/>
        <v>72.532724321633353</v>
      </c>
      <c r="AL181" s="22">
        <f t="shared" si="165"/>
        <v>660.10964819351113</v>
      </c>
      <c r="AM181" s="62">
        <f t="shared" si="113"/>
        <v>953.44298152684451</v>
      </c>
      <c r="AN181" s="62">
        <f ca="1">AVERAGE(OFFSET($AM$3,0,0,'Données projet'!$E$10+1,1))-AVERAGE(OFFSET($H$3,0,0,'Données projet'!$E$10+1,1))</f>
        <v>380.01621935031324</v>
      </c>
      <c r="AO181" s="62">
        <f t="shared" si="144"/>
        <v>365.76175372075869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0.38585637660314531</v>
      </c>
      <c r="AW181" s="23">
        <f>EXP(-LN(2)/2)*AW180+(1-EXP(-LN(2)/2))/(LN(2)/2)*AQ181*AT181*VLOOKUP('Données projet'!$B$10,Paramètres!$A$1:$I$89,3,0)*0.475*44/12</f>
        <v>7.8516701276065714E-22</v>
      </c>
      <c r="AX181" s="23">
        <f t="shared" si="166"/>
        <v>0.38585637660314531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-5.6843418860808015E-14</v>
      </c>
      <c r="BE181" s="14">
        <f>BD181*VLOOKUP('Données projet'!$B$11,Paramètres!$A$1:$I$89,3,0)*VLOOKUP('Données projet'!$B$11,Paramètres!$A$1:$I$89,5,0)</f>
        <v>-4.9658410716801891E-14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303.33040062722074</v>
      </c>
      <c r="BJ181" s="62">
        <f t="shared" si="146"/>
        <v>425.30058672361548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0.31483760493410118</v>
      </c>
      <c r="BR181" s="23">
        <f>EXP(-LN(2)/2)*BR180+(1-EXP(-LN(2)/2))/(LN(2)/2)*BL181*BO181*VLOOKUP('Données projet'!$B$11,Paramètres!$A$1:$I$89,3,0)*0.475*44/12</f>
        <v>8.9017912724591542E-22</v>
      </c>
      <c r="BS181" s="24">
        <f t="shared" si="169"/>
        <v>0.31483760493410118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349.9999999999996</v>
      </c>
      <c r="O182" s="14">
        <f>N182*VLOOKUP('Données projet'!$B$9,Paramètres!$A$1:$I$89,3,0)*VLOOKUP('Données projet'!$B$9,Paramètres!$A$1:$I$89,5,0)</f>
        <v>278.4599999999997</v>
      </c>
      <c r="P182" s="14">
        <f t="shared" si="141"/>
        <v>66.641458222154824</v>
      </c>
      <c r="Q182" s="22">
        <f t="shared" si="162"/>
        <v>601.05170640358574</v>
      </c>
      <c r="R182" s="62">
        <f t="shared" si="109"/>
        <v>894.385039736919</v>
      </c>
      <c r="S182" s="62">
        <f ca="1">AVERAGE(OFFSET($R$3,0,0,'Données projet'!$E$9+1,1))-AVERAGE(OFFSET($H$3,0,0,'Données projet'!$E$9+1,1))</f>
        <v>354.56491118410622</v>
      </c>
      <c r="T182" s="62">
        <f t="shared" si="142"/>
        <v>343.77208530767069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0.41239016186887495</v>
      </c>
      <c r="AB182" s="23">
        <f>EXP(-LN(2)/2)*AB181+(1-EXP(-LN(2)/2))/(LN(2)/2)*V182*Y182*VLOOKUP('Données projet'!$B$9,Paramètres!$A$1:$I$89,3,0)*0.475*44/12</f>
        <v>5.017603444029344E-22</v>
      </c>
      <c r="AC182" s="24">
        <f t="shared" si="163"/>
        <v>0.41239016186887495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417.99999999999972</v>
      </c>
      <c r="AJ182" s="14">
        <f>AI182*VLOOKUP('Données projet'!$B$10,Paramètres!$A$1:$I$89,3,0)*VLOOKUP('Données projet'!$B$10,Paramètres!$A$1:$I$89,5,0)</f>
        <v>306.47759999999982</v>
      </c>
      <c r="AK182" s="14">
        <f t="shared" si="164"/>
        <v>72.532724321633353</v>
      </c>
      <c r="AL182" s="22">
        <f t="shared" si="165"/>
        <v>660.10964819351113</v>
      </c>
      <c r="AM182" s="62">
        <f t="shared" si="113"/>
        <v>953.44298152684451</v>
      </c>
      <c r="AN182" s="62">
        <f ca="1">AVERAGE(OFFSET($AM$3,0,0,'Données projet'!$E$10+1,1))-AVERAGE(OFFSET($H$3,0,0,'Données projet'!$E$10+1,1))</f>
        <v>380.01621935031324</v>
      </c>
      <c r="AO182" s="62">
        <f t="shared" si="144"/>
        <v>365.76175372075869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0.37530511369362735</v>
      </c>
      <c r="AW182" s="23">
        <f>EXP(-LN(2)/2)*AW181+(1-EXP(-LN(2)/2))/(LN(2)/2)*AQ182*AT182*VLOOKUP('Données projet'!$B$10,Paramètres!$A$1:$I$89,3,0)*0.475*44/12</f>
        <v>5.5519691908704515E-22</v>
      </c>
      <c r="AX182" s="23">
        <f t="shared" si="166"/>
        <v>0.37530511369362735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-5.6843418860808015E-14</v>
      </c>
      <c r="BE182" s="14">
        <f>BD182*VLOOKUP('Données projet'!$B$11,Paramètres!$A$1:$I$89,3,0)*VLOOKUP('Données projet'!$B$11,Paramètres!$A$1:$I$89,5,0)</f>
        <v>-4.9658410716801891E-14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303.33040062722074</v>
      </c>
      <c r="BJ182" s="62">
        <f t="shared" si="146"/>
        <v>425.30058672361548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0.30622835407058813</v>
      </c>
      <c r="BR182" s="23">
        <f>EXP(-LN(2)/2)*BR181+(1-EXP(-LN(2)/2))/(LN(2)/2)*BL182*BO182*VLOOKUP('Données projet'!$B$11,Paramètres!$A$1:$I$89,3,0)*0.475*44/12</f>
        <v>6.2945169734630937E-22</v>
      </c>
      <c r="BS182" s="24">
        <f t="shared" si="169"/>
        <v>0.30622835407058813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349.9999999999996</v>
      </c>
      <c r="O183" s="14">
        <f>N183*VLOOKUP('Données projet'!$B$9,Paramètres!$A$1:$I$89,3,0)*VLOOKUP('Données projet'!$B$9,Paramètres!$A$1:$I$89,5,0)</f>
        <v>278.4599999999997</v>
      </c>
      <c r="P183" s="14">
        <f t="shared" si="141"/>
        <v>66.641458222154824</v>
      </c>
      <c r="Q183" s="22">
        <f t="shared" si="162"/>
        <v>601.05170640358574</v>
      </c>
      <c r="R183" s="62">
        <f t="shared" si="109"/>
        <v>894.385039736919</v>
      </c>
      <c r="S183" s="62">
        <f ca="1">AVERAGE(OFFSET($R$3,0,0,'Données projet'!$E$9+1,1))-AVERAGE(OFFSET($H$3,0,0,'Données projet'!$E$9+1,1))</f>
        <v>354.56491118410622</v>
      </c>
      <c r="T183" s="62">
        <f t="shared" si="142"/>
        <v>343.77208530767069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0.40111333120591447</v>
      </c>
      <c r="AB183" s="23">
        <f>EXP(-LN(2)/2)*AB182+(1-EXP(-LN(2)/2))/(LN(2)/2)*V183*Y183*VLOOKUP('Données projet'!$B$9,Paramètres!$A$1:$I$89,3,0)*0.475*44/12</f>
        <v>3.5479814205781247E-22</v>
      </c>
      <c r="AC183" s="24">
        <f t="shared" si="163"/>
        <v>0.40111333120591447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417.99999999999972</v>
      </c>
      <c r="AJ183" s="14">
        <f>AI183*VLOOKUP('Données projet'!$B$10,Paramètres!$A$1:$I$89,3,0)*VLOOKUP('Données projet'!$B$10,Paramètres!$A$1:$I$89,5,0)</f>
        <v>306.47759999999982</v>
      </c>
      <c r="AK183" s="14">
        <f t="shared" si="164"/>
        <v>72.532724321633353</v>
      </c>
      <c r="AL183" s="22">
        <f t="shared" si="165"/>
        <v>660.10964819351113</v>
      </c>
      <c r="AM183" s="62">
        <f t="shared" si="113"/>
        <v>953.44298152684451</v>
      </c>
      <c r="AN183" s="62">
        <f ca="1">AVERAGE(OFFSET($AM$3,0,0,'Données projet'!$E$10+1,1))-AVERAGE(OFFSET($H$3,0,0,'Données projet'!$E$10+1,1))</f>
        <v>380.01621935031324</v>
      </c>
      <c r="AO183" s="62">
        <f t="shared" si="144"/>
        <v>365.76175372075869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0.36504237562323694</v>
      </c>
      <c r="AW183" s="23">
        <f>EXP(-LN(2)/2)*AW182+(1-EXP(-LN(2)/2))/(LN(2)/2)*AQ183*AT183*VLOOKUP('Données projet'!$B$10,Paramètres!$A$1:$I$89,3,0)*0.475*44/12</f>
        <v>3.9258350638032857E-22</v>
      </c>
      <c r="AX183" s="23">
        <f t="shared" si="166"/>
        <v>0.36504237562323694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-5.6843418860808015E-14</v>
      </c>
      <c r="BE183" s="14">
        <f>BD183*VLOOKUP('Données projet'!$B$11,Paramètres!$A$1:$I$89,3,0)*VLOOKUP('Données projet'!$B$11,Paramètres!$A$1:$I$89,5,0)</f>
        <v>-4.9658410716801891E-14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303.33040062722074</v>
      </c>
      <c r="BJ183" s="62">
        <f t="shared" si="146"/>
        <v>425.30058672361548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0.29785452362467862</v>
      </c>
      <c r="BR183" s="23">
        <f>EXP(-LN(2)/2)*BR182+(1-EXP(-LN(2)/2))/(LN(2)/2)*BL183*BO183*VLOOKUP('Données projet'!$B$11,Paramètres!$A$1:$I$89,3,0)*0.475*44/12</f>
        <v>4.4508956362295771E-22</v>
      </c>
      <c r="BS183" s="24">
        <f t="shared" si="169"/>
        <v>0.29785452362467862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349.9999999999996</v>
      </c>
      <c r="O184" s="14">
        <f>N184*VLOOKUP('Données projet'!$B$9,Paramètres!$A$1:$I$89,3,0)*VLOOKUP('Données projet'!$B$9,Paramètres!$A$1:$I$89,5,0)</f>
        <v>278.4599999999997</v>
      </c>
      <c r="P184" s="14">
        <f t="shared" si="141"/>
        <v>66.641458222154824</v>
      </c>
      <c r="Q184" s="22">
        <f t="shared" si="162"/>
        <v>601.05170640358574</v>
      </c>
      <c r="R184" s="62">
        <f t="shared" si="109"/>
        <v>894.385039736919</v>
      </c>
      <c r="S184" s="62">
        <f ca="1">AVERAGE(OFFSET($R$3,0,0,'Données projet'!$E$9+1,1))-AVERAGE(OFFSET($H$3,0,0,'Données projet'!$E$9+1,1))</f>
        <v>354.56491118410622</v>
      </c>
      <c r="T184" s="62">
        <f t="shared" si="142"/>
        <v>343.77208530767069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0.3901448660704554</v>
      </c>
      <c r="AB184" s="23">
        <f>EXP(-LN(2)/2)*AB183+(1-EXP(-LN(2)/2))/(LN(2)/2)*V184*Y184*VLOOKUP('Données projet'!$B$9,Paramètres!$A$1:$I$89,3,0)*0.475*44/12</f>
        <v>2.508801722014672E-22</v>
      </c>
      <c r="AC184" s="24">
        <f t="shared" si="163"/>
        <v>0.3901448660704554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417.99999999999972</v>
      </c>
      <c r="AJ184" s="14">
        <f>AI184*VLOOKUP('Données projet'!$B$10,Paramètres!$A$1:$I$89,3,0)*VLOOKUP('Données projet'!$B$10,Paramètres!$A$1:$I$89,5,0)</f>
        <v>306.47759999999982</v>
      </c>
      <c r="AK184" s="14">
        <f t="shared" si="164"/>
        <v>72.532724321633353</v>
      </c>
      <c r="AL184" s="22">
        <f t="shared" si="165"/>
        <v>660.10964819351113</v>
      </c>
      <c r="AM184" s="62">
        <f t="shared" si="113"/>
        <v>953.44298152684451</v>
      </c>
      <c r="AN184" s="62">
        <f ca="1">AVERAGE(OFFSET($AM$3,0,0,'Données projet'!$E$10+1,1))-AVERAGE(OFFSET($H$3,0,0,'Données projet'!$E$10+1,1))</f>
        <v>380.01621935031324</v>
      </c>
      <c r="AO184" s="62">
        <f t="shared" si="144"/>
        <v>365.76175372075869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0.35506027266507528</v>
      </c>
      <c r="AW184" s="23">
        <f>EXP(-LN(2)/2)*AW183+(1-EXP(-LN(2)/2))/(LN(2)/2)*AQ184*AT184*VLOOKUP('Données projet'!$B$10,Paramètres!$A$1:$I$89,3,0)*0.475*44/12</f>
        <v>2.7759845954352257E-22</v>
      </c>
      <c r="AX184" s="23">
        <f t="shared" si="166"/>
        <v>0.35506027266507528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-5.6843418860808015E-14</v>
      </c>
      <c r="BE184" s="14">
        <f>BD184*VLOOKUP('Données projet'!$B$11,Paramètres!$A$1:$I$89,3,0)*VLOOKUP('Données projet'!$B$11,Paramètres!$A$1:$I$89,5,0)</f>
        <v>-4.9658410716801891E-14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303.33040062722074</v>
      </c>
      <c r="BJ184" s="62">
        <f t="shared" si="146"/>
        <v>425.30058672361548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0.28970967601267317</v>
      </c>
      <c r="BR184" s="23">
        <f>EXP(-LN(2)/2)*BR183+(1-EXP(-LN(2)/2))/(LN(2)/2)*BL184*BO184*VLOOKUP('Données projet'!$B$11,Paramètres!$A$1:$I$89,3,0)*0.475*44/12</f>
        <v>3.1472584867315468E-22</v>
      </c>
      <c r="BS184" s="24">
        <f t="shared" si="169"/>
        <v>0.28970967601267317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349.9999999999996</v>
      </c>
      <c r="O185" s="14">
        <f>N185*VLOOKUP('Données projet'!$B$9,Paramètres!$A$1:$I$89,3,0)*VLOOKUP('Données projet'!$B$9,Paramètres!$A$1:$I$89,5,0)</f>
        <v>278.4599999999997</v>
      </c>
      <c r="P185" s="14">
        <f t="shared" si="141"/>
        <v>66.641458222154824</v>
      </c>
      <c r="Q185" s="22">
        <f t="shared" si="162"/>
        <v>601.05170640358574</v>
      </c>
      <c r="R185" s="62">
        <f t="shared" si="109"/>
        <v>894.385039736919</v>
      </c>
      <c r="S185" s="62">
        <f ca="1">AVERAGE(OFFSET($R$3,0,0,'Données projet'!$E$9+1,1))-AVERAGE(OFFSET($H$3,0,0,'Données projet'!$E$9+1,1))</f>
        <v>354.56491118410622</v>
      </c>
      <c r="T185" s="62">
        <f t="shared" si="142"/>
        <v>343.77208530767069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0.37947633419093196</v>
      </c>
      <c r="AB185" s="23">
        <f>EXP(-LN(2)/2)*AB184+(1-EXP(-LN(2)/2))/(LN(2)/2)*V185*Y185*VLOOKUP('Données projet'!$B$9,Paramètres!$A$1:$I$89,3,0)*0.475*44/12</f>
        <v>1.7739907102890624E-22</v>
      </c>
      <c r="AC185" s="24">
        <f t="shared" si="163"/>
        <v>0.37947633419093196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417.99999999999972</v>
      </c>
      <c r="AJ185" s="14">
        <f>AI185*VLOOKUP('Données projet'!$B$10,Paramètres!$A$1:$I$89,3,0)*VLOOKUP('Données projet'!$B$10,Paramètres!$A$1:$I$89,5,0)</f>
        <v>306.47759999999982</v>
      </c>
      <c r="AK185" s="14">
        <f t="shared" si="164"/>
        <v>72.532724321633353</v>
      </c>
      <c r="AL185" s="22">
        <f t="shared" si="165"/>
        <v>660.10964819351113</v>
      </c>
      <c r="AM185" s="62">
        <f t="shared" si="113"/>
        <v>953.44298152684451</v>
      </c>
      <c r="AN185" s="62">
        <f ca="1">AVERAGE(OFFSET($AM$3,0,0,'Données projet'!$E$10+1,1))-AVERAGE(OFFSET($H$3,0,0,'Données projet'!$E$10+1,1))</f>
        <v>380.01621935031324</v>
      </c>
      <c r="AO185" s="62">
        <f t="shared" si="144"/>
        <v>365.76175372075869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0.34535113083724056</v>
      </c>
      <c r="AW185" s="23">
        <f>EXP(-LN(2)/2)*AW184+(1-EXP(-LN(2)/2))/(LN(2)/2)*AQ185*AT185*VLOOKUP('Données projet'!$B$10,Paramètres!$A$1:$I$89,3,0)*0.475*44/12</f>
        <v>1.9629175319016428E-22</v>
      </c>
      <c r="AX185" s="23">
        <f t="shared" si="166"/>
        <v>0.34535113083724056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-5.6843418860808015E-14</v>
      </c>
      <c r="BE185" s="14">
        <f>BD185*VLOOKUP('Données projet'!$B$11,Paramètres!$A$1:$I$89,3,0)*VLOOKUP('Données projet'!$B$11,Paramètres!$A$1:$I$89,5,0)</f>
        <v>-4.9658410716801891E-14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303.33040062722074</v>
      </c>
      <c r="BJ185" s="62">
        <f t="shared" si="146"/>
        <v>425.30058672361548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0.28178754968693692</v>
      </c>
      <c r="BR185" s="23">
        <f>EXP(-LN(2)/2)*BR184+(1-EXP(-LN(2)/2))/(LN(2)/2)*BL185*BO185*VLOOKUP('Données projet'!$B$11,Paramètres!$A$1:$I$89,3,0)*0.475*44/12</f>
        <v>2.2254478181147885E-22</v>
      </c>
      <c r="BS185" s="24">
        <f t="shared" si="169"/>
        <v>0.28178754968693692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349.9999999999996</v>
      </c>
      <c r="O186" s="14">
        <f>N186*VLOOKUP('Données projet'!$B$9,Paramètres!$A$1:$I$89,3,0)*VLOOKUP('Données projet'!$B$9,Paramètres!$A$1:$I$89,5,0)</f>
        <v>278.4599999999997</v>
      </c>
      <c r="P186" s="14">
        <f t="shared" si="141"/>
        <v>66.641458222154824</v>
      </c>
      <c r="Q186" s="22">
        <f t="shared" si="162"/>
        <v>601.05170640358574</v>
      </c>
      <c r="R186" s="62">
        <f t="shared" si="109"/>
        <v>894.385039736919</v>
      </c>
      <c r="S186" s="62">
        <f ca="1">AVERAGE(OFFSET($R$3,0,0,'Données projet'!$E$9+1,1))-AVERAGE(OFFSET($H$3,0,0,'Données projet'!$E$9+1,1))</f>
        <v>354.56491118410622</v>
      </c>
      <c r="T186" s="62">
        <f t="shared" si="142"/>
        <v>343.77208530767069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0.36909953387668781</v>
      </c>
      <c r="AB186" s="23">
        <f>EXP(-LN(2)/2)*AB185+(1-EXP(-LN(2)/2))/(LN(2)/2)*V186*Y186*VLOOKUP('Données projet'!$B$9,Paramètres!$A$1:$I$89,3,0)*0.475*44/12</f>
        <v>1.254400861007336E-22</v>
      </c>
      <c r="AC186" s="24">
        <f t="shared" si="163"/>
        <v>0.36909953387668781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417.99999999999972</v>
      </c>
      <c r="AJ186" s="14">
        <f>AI186*VLOOKUP('Données projet'!$B$10,Paramètres!$A$1:$I$89,3,0)*VLOOKUP('Données projet'!$B$10,Paramètres!$A$1:$I$89,5,0)</f>
        <v>306.47759999999982</v>
      </c>
      <c r="AK186" s="14">
        <f t="shared" si="164"/>
        <v>72.532724321633353</v>
      </c>
      <c r="AL186" s="22">
        <f t="shared" si="165"/>
        <v>660.10964819351113</v>
      </c>
      <c r="AM186" s="62">
        <f t="shared" si="113"/>
        <v>953.44298152684451</v>
      </c>
      <c r="AN186" s="62">
        <f ca="1">AVERAGE(OFFSET($AM$3,0,0,'Données projet'!$E$10+1,1))-AVERAGE(OFFSET($H$3,0,0,'Données projet'!$E$10+1,1))</f>
        <v>380.01621935031324</v>
      </c>
      <c r="AO186" s="62">
        <f t="shared" si="144"/>
        <v>365.76175372075869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0.33590748600326958</v>
      </c>
      <c r="AW186" s="23">
        <f>EXP(-LN(2)/2)*AW185+(1-EXP(-LN(2)/2))/(LN(2)/2)*AQ186*AT186*VLOOKUP('Données projet'!$B$10,Paramètres!$A$1:$I$89,3,0)*0.475*44/12</f>
        <v>1.3879922977176129E-22</v>
      </c>
      <c r="AX186" s="23">
        <f t="shared" si="166"/>
        <v>0.33590748600326958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-5.6843418860808015E-14</v>
      </c>
      <c r="BE186" s="14">
        <f>BD186*VLOOKUP('Données projet'!$B$11,Paramètres!$A$1:$I$89,3,0)*VLOOKUP('Données projet'!$B$11,Paramètres!$A$1:$I$89,5,0)</f>
        <v>-4.9658410716801891E-14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303.33040062722074</v>
      </c>
      <c r="BJ186" s="62">
        <f t="shared" si="146"/>
        <v>425.30058672361548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0.27408205432218441</v>
      </c>
      <c r="BR186" s="23">
        <f>EXP(-LN(2)/2)*BR185+(1-EXP(-LN(2)/2))/(LN(2)/2)*BL186*BO186*VLOOKUP('Données projet'!$B$11,Paramètres!$A$1:$I$89,3,0)*0.475*44/12</f>
        <v>1.5736292433657734E-22</v>
      </c>
      <c r="BS186" s="24">
        <f t="shared" si="169"/>
        <v>0.27408205432218441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349.9999999999996</v>
      </c>
      <c r="O187" s="14">
        <f>N187*VLOOKUP('Données projet'!$B$9,Paramètres!$A$1:$I$89,3,0)*VLOOKUP('Données projet'!$B$9,Paramètres!$A$1:$I$89,5,0)</f>
        <v>278.4599999999997</v>
      </c>
      <c r="P187" s="14">
        <f t="shared" si="141"/>
        <v>66.641458222154824</v>
      </c>
      <c r="Q187" s="22">
        <f t="shared" si="162"/>
        <v>601.05170640358574</v>
      </c>
      <c r="R187" s="62">
        <f t="shared" si="109"/>
        <v>894.385039736919</v>
      </c>
      <c r="S187" s="62">
        <f ca="1">AVERAGE(OFFSET($R$3,0,0,'Données projet'!$E$9+1,1))-AVERAGE(OFFSET($H$3,0,0,'Données projet'!$E$9+1,1))</f>
        <v>354.56491118410622</v>
      </c>
      <c r="T187" s="62">
        <f t="shared" si="142"/>
        <v>343.77208530767069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0.35900648771272886</v>
      </c>
      <c r="AB187" s="23">
        <f>EXP(-LN(2)/2)*AB186+(1-EXP(-LN(2)/2))/(LN(2)/2)*V187*Y187*VLOOKUP('Données projet'!$B$9,Paramètres!$A$1:$I$89,3,0)*0.475*44/12</f>
        <v>8.8699535514453118E-23</v>
      </c>
      <c r="AC187" s="24">
        <f t="shared" si="163"/>
        <v>0.35900648771272886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417.99999999999972</v>
      </c>
      <c r="AJ187" s="14">
        <f>AI187*VLOOKUP('Données projet'!$B$10,Paramètres!$A$1:$I$89,3,0)*VLOOKUP('Données projet'!$B$10,Paramètres!$A$1:$I$89,5,0)</f>
        <v>306.47759999999982</v>
      </c>
      <c r="AK187" s="14">
        <f t="shared" si="164"/>
        <v>72.532724321633353</v>
      </c>
      <c r="AL187" s="22">
        <f t="shared" si="165"/>
        <v>660.10964819351113</v>
      </c>
      <c r="AM187" s="62">
        <f t="shared" si="113"/>
        <v>953.44298152684451</v>
      </c>
      <c r="AN187" s="62">
        <f ca="1">AVERAGE(OFFSET($AM$3,0,0,'Données projet'!$E$10+1,1))-AVERAGE(OFFSET($H$3,0,0,'Données projet'!$E$10+1,1))</f>
        <v>380.01621935031324</v>
      </c>
      <c r="AO187" s="62">
        <f t="shared" si="144"/>
        <v>365.76175372075869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0.32672207813390319</v>
      </c>
      <c r="AW187" s="23">
        <f>EXP(-LN(2)/2)*AW186+(1-EXP(-LN(2)/2))/(LN(2)/2)*AQ187*AT187*VLOOKUP('Données projet'!$B$10,Paramètres!$A$1:$I$89,3,0)*0.475*44/12</f>
        <v>9.8145876595082142E-23</v>
      </c>
      <c r="AX187" s="23">
        <f t="shared" si="166"/>
        <v>0.32672207813390319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-5.6843418860808015E-14</v>
      </c>
      <c r="BE187" s="14">
        <f>BD187*VLOOKUP('Données projet'!$B$11,Paramètres!$A$1:$I$89,3,0)*VLOOKUP('Données projet'!$B$11,Paramètres!$A$1:$I$89,5,0)</f>
        <v>-4.9658410716801891E-14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303.33040062722074</v>
      </c>
      <c r="BJ187" s="62">
        <f t="shared" si="146"/>
        <v>425.30058672361548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0.26658726613339545</v>
      </c>
      <c r="BR187" s="23">
        <f>EXP(-LN(2)/2)*BR186+(1-EXP(-LN(2)/2))/(LN(2)/2)*BL187*BO187*VLOOKUP('Données projet'!$B$11,Paramètres!$A$1:$I$89,3,0)*0.475*44/12</f>
        <v>1.1127239090573943E-22</v>
      </c>
      <c r="BS187" s="24">
        <f t="shared" si="169"/>
        <v>0.26658726613339545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349.9999999999996</v>
      </c>
      <c r="O188" s="14">
        <f>N188*VLOOKUP('Données projet'!$B$9,Paramètres!$A$1:$I$89,3,0)*VLOOKUP('Données projet'!$B$9,Paramètres!$A$1:$I$89,5,0)</f>
        <v>278.4599999999997</v>
      </c>
      <c r="P188" s="14">
        <f t="shared" si="141"/>
        <v>66.641458222154824</v>
      </c>
      <c r="Q188" s="22">
        <f t="shared" si="162"/>
        <v>601.05170640358574</v>
      </c>
      <c r="R188" s="62">
        <f t="shared" si="109"/>
        <v>894.385039736919</v>
      </c>
      <c r="S188" s="62">
        <f ca="1">AVERAGE(OFFSET($R$3,0,0,'Données projet'!$E$9+1,1))-AVERAGE(OFFSET($H$3,0,0,'Données projet'!$E$9+1,1))</f>
        <v>354.56491118410622</v>
      </c>
      <c r="T188" s="62">
        <f t="shared" si="142"/>
        <v>343.77208530767069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0.3491894364268936</v>
      </c>
      <c r="AB188" s="23">
        <f>EXP(-LN(2)/2)*AB187+(1-EXP(-LN(2)/2))/(LN(2)/2)*V188*Y188*VLOOKUP('Données projet'!$B$9,Paramètres!$A$1:$I$89,3,0)*0.475*44/12</f>
        <v>6.27200430503668E-23</v>
      </c>
      <c r="AC188" s="24">
        <f t="shared" si="163"/>
        <v>0.3491894364268936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417.99999999999972</v>
      </c>
      <c r="AJ188" s="14">
        <f>AI188*VLOOKUP('Données projet'!$B$10,Paramètres!$A$1:$I$89,3,0)*VLOOKUP('Données projet'!$B$10,Paramètres!$A$1:$I$89,5,0)</f>
        <v>306.47759999999982</v>
      </c>
      <c r="AK188" s="14">
        <f t="shared" si="164"/>
        <v>72.532724321633353</v>
      </c>
      <c r="AL188" s="22">
        <f t="shared" si="165"/>
        <v>660.10964819351113</v>
      </c>
      <c r="AM188" s="62">
        <f t="shared" si="113"/>
        <v>953.44298152684451</v>
      </c>
      <c r="AN188" s="62">
        <f ca="1">AVERAGE(OFFSET($AM$3,0,0,'Données projet'!$E$10+1,1))-AVERAGE(OFFSET($H$3,0,0,'Données projet'!$E$10+1,1))</f>
        <v>380.01621935031324</v>
      </c>
      <c r="AO188" s="62">
        <f t="shared" si="144"/>
        <v>365.76175372075869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0.31778784572576424</v>
      </c>
      <c r="AW188" s="23">
        <f>EXP(-LN(2)/2)*AW187+(1-EXP(-LN(2)/2))/(LN(2)/2)*AQ188*AT188*VLOOKUP('Données projet'!$B$10,Paramètres!$A$1:$I$89,3,0)*0.475*44/12</f>
        <v>6.9399614885880643E-23</v>
      </c>
      <c r="AX188" s="23">
        <f t="shared" si="166"/>
        <v>0.31778784572576424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-5.6843418860808015E-14</v>
      </c>
      <c r="BE188" s="14">
        <f>BD188*VLOOKUP('Données projet'!$B$11,Paramètres!$A$1:$I$89,3,0)*VLOOKUP('Données projet'!$B$11,Paramètres!$A$1:$I$89,5,0)</f>
        <v>-4.9658410716801891E-14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303.33040062722074</v>
      </c>
      <c r="BJ188" s="62">
        <f t="shared" si="146"/>
        <v>425.30058672361548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0.2592974233217627</v>
      </c>
      <c r="BR188" s="23">
        <f>EXP(-LN(2)/2)*BR187+(1-EXP(-LN(2)/2))/(LN(2)/2)*BL188*BO188*VLOOKUP('Données projet'!$B$11,Paramètres!$A$1:$I$89,3,0)*0.475*44/12</f>
        <v>7.8681462168288671E-23</v>
      </c>
      <c r="BS188" s="24">
        <f t="shared" si="169"/>
        <v>0.2592974233217627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349.9999999999996</v>
      </c>
      <c r="O189" s="14">
        <f>N189*VLOOKUP('Données projet'!$B$9,Paramètres!$A$1:$I$89,3,0)*VLOOKUP('Données projet'!$B$9,Paramètres!$A$1:$I$89,5,0)</f>
        <v>278.4599999999997</v>
      </c>
      <c r="P189" s="14">
        <f t="shared" si="141"/>
        <v>66.641458222154824</v>
      </c>
      <c r="Q189" s="22">
        <f t="shared" si="162"/>
        <v>601.05170640358574</v>
      </c>
      <c r="R189" s="62">
        <f t="shared" si="109"/>
        <v>894.385039736919</v>
      </c>
      <c r="S189" s="62">
        <f ca="1">AVERAGE(OFFSET($R$3,0,0,'Données projet'!$E$9+1,1))-AVERAGE(OFFSET($H$3,0,0,'Données projet'!$E$9+1,1))</f>
        <v>354.56491118410622</v>
      </c>
      <c r="T189" s="62">
        <f t="shared" si="142"/>
        <v>343.77208530767069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0.3396408329247258</v>
      </c>
      <c r="AB189" s="23">
        <f>EXP(-LN(2)/2)*AB188+(1-EXP(-LN(2)/2))/(LN(2)/2)*V189*Y189*VLOOKUP('Données projet'!$B$9,Paramètres!$A$1:$I$89,3,0)*0.475*44/12</f>
        <v>4.4349767757226559E-23</v>
      </c>
      <c r="AC189" s="24">
        <f t="shared" si="163"/>
        <v>0.3396408329247258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417.99999999999972</v>
      </c>
      <c r="AJ189" s="14">
        <f>AI189*VLOOKUP('Données projet'!$B$10,Paramètres!$A$1:$I$89,3,0)*VLOOKUP('Données projet'!$B$10,Paramètres!$A$1:$I$89,5,0)</f>
        <v>306.47759999999982</v>
      </c>
      <c r="AK189" s="14">
        <f t="shared" si="164"/>
        <v>72.532724321633353</v>
      </c>
      <c r="AL189" s="22">
        <f t="shared" si="165"/>
        <v>660.10964819351113</v>
      </c>
      <c r="AM189" s="62">
        <f t="shared" si="113"/>
        <v>953.44298152684451</v>
      </c>
      <c r="AN189" s="62">
        <f ca="1">AVERAGE(OFFSET($AM$3,0,0,'Données projet'!$E$10+1,1))-AVERAGE(OFFSET($H$3,0,0,'Données projet'!$E$10+1,1))</f>
        <v>380.01621935031324</v>
      </c>
      <c r="AO189" s="62">
        <f t="shared" si="144"/>
        <v>365.76175372075869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0.30909792037265671</v>
      </c>
      <c r="AW189" s="23">
        <f>EXP(-LN(2)/2)*AW188+(1-EXP(-LN(2)/2))/(LN(2)/2)*AQ189*AT189*VLOOKUP('Données projet'!$B$10,Paramètres!$A$1:$I$89,3,0)*0.475*44/12</f>
        <v>4.9072938297541071E-23</v>
      </c>
      <c r="AX189" s="23">
        <f t="shared" si="166"/>
        <v>0.30909792037265671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-5.6843418860808015E-14</v>
      </c>
      <c r="BE189" s="14">
        <f>BD189*VLOOKUP('Données projet'!$B$11,Paramètres!$A$1:$I$89,3,0)*VLOOKUP('Données projet'!$B$11,Paramètres!$A$1:$I$89,5,0)</f>
        <v>-4.9658410716801891E-14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303.33040062722074</v>
      </c>
      <c r="BJ189" s="62">
        <f t="shared" si="146"/>
        <v>425.30058672361548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0.25220692164517022</v>
      </c>
      <c r="BR189" s="23">
        <f>EXP(-LN(2)/2)*BR188+(1-EXP(-LN(2)/2))/(LN(2)/2)*BL189*BO189*VLOOKUP('Données projet'!$B$11,Paramètres!$A$1:$I$89,3,0)*0.475*44/12</f>
        <v>5.5636195452869714E-23</v>
      </c>
      <c r="BS189" s="24">
        <f t="shared" si="169"/>
        <v>0.25220692164517022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349.9999999999996</v>
      </c>
      <c r="O190" s="14">
        <f>N190*VLOOKUP('Données projet'!$B$9,Paramètres!$A$1:$I$89,3,0)*VLOOKUP('Données projet'!$B$9,Paramètres!$A$1:$I$89,5,0)</f>
        <v>278.4599999999997</v>
      </c>
      <c r="P190" s="14">
        <f t="shared" si="141"/>
        <v>66.641458222154824</v>
      </c>
      <c r="Q190" s="22">
        <f t="shared" si="162"/>
        <v>601.05170640358574</v>
      </c>
      <c r="R190" s="62">
        <f t="shared" si="109"/>
        <v>894.385039736919</v>
      </c>
      <c r="S190" s="62">
        <f ca="1">AVERAGE(OFFSET($R$3,0,0,'Données projet'!$E$9+1,1))-AVERAGE(OFFSET($H$3,0,0,'Données projet'!$E$9+1,1))</f>
        <v>354.56491118410622</v>
      </c>
      <c r="T190" s="62">
        <f t="shared" si="142"/>
        <v>343.77208530767069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0.33035333648746401</v>
      </c>
      <c r="AB190" s="23">
        <f>EXP(-LN(2)/2)*AB189+(1-EXP(-LN(2)/2))/(LN(2)/2)*V190*Y190*VLOOKUP('Données projet'!$B$9,Paramètres!$A$1:$I$89,3,0)*0.475*44/12</f>
        <v>3.13600215251834E-23</v>
      </c>
      <c r="AC190" s="24">
        <f t="shared" si="163"/>
        <v>0.33035333648746401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417.99999999999972</v>
      </c>
      <c r="AJ190" s="14">
        <f>AI190*VLOOKUP('Données projet'!$B$10,Paramètres!$A$1:$I$89,3,0)*VLOOKUP('Données projet'!$B$10,Paramètres!$A$1:$I$89,5,0)</f>
        <v>306.47759999999982</v>
      </c>
      <c r="AK190" s="14">
        <f t="shared" si="164"/>
        <v>72.532724321633353</v>
      </c>
      <c r="AL190" s="22">
        <f t="shared" si="165"/>
        <v>660.10964819351113</v>
      </c>
      <c r="AM190" s="62">
        <f t="shared" si="113"/>
        <v>953.44298152684451</v>
      </c>
      <c r="AN190" s="62">
        <f ca="1">AVERAGE(OFFSET($AM$3,0,0,'Données projet'!$E$10+1,1))-AVERAGE(OFFSET($H$3,0,0,'Données projet'!$E$10+1,1))</f>
        <v>380.01621935031324</v>
      </c>
      <c r="AO190" s="62">
        <f t="shared" si="144"/>
        <v>365.76175372075869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0.30064562148531321</v>
      </c>
      <c r="AW190" s="23">
        <f>EXP(-LN(2)/2)*AW189+(1-EXP(-LN(2)/2))/(LN(2)/2)*AQ190*AT190*VLOOKUP('Données projet'!$B$10,Paramètres!$A$1:$I$89,3,0)*0.475*44/12</f>
        <v>3.4699807442940322E-23</v>
      </c>
      <c r="AX190" s="23">
        <f t="shared" si="166"/>
        <v>0.30064562148531321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-5.6843418860808015E-14</v>
      </c>
      <c r="BE190" s="14">
        <f>BD190*VLOOKUP('Données projet'!$B$11,Paramètres!$A$1:$I$89,3,0)*VLOOKUP('Données projet'!$B$11,Paramètres!$A$1:$I$89,5,0)</f>
        <v>-4.9658410716801891E-14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303.33040062722074</v>
      </c>
      <c r="BJ190" s="62">
        <f t="shared" si="146"/>
        <v>425.30058672361548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0.24531031010979745</v>
      </c>
      <c r="BR190" s="23">
        <f>EXP(-LN(2)/2)*BR189+(1-EXP(-LN(2)/2))/(LN(2)/2)*BL190*BO190*VLOOKUP('Données projet'!$B$11,Paramètres!$A$1:$I$89,3,0)*0.475*44/12</f>
        <v>3.9340731084144335E-23</v>
      </c>
      <c r="BS190" s="24">
        <f t="shared" si="169"/>
        <v>0.24531031010979745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349.9999999999996</v>
      </c>
      <c r="O191" s="14">
        <f>N191*VLOOKUP('Données projet'!$B$9,Paramètres!$A$1:$I$89,3,0)*VLOOKUP('Données projet'!$B$9,Paramètres!$A$1:$I$89,5,0)</f>
        <v>278.4599999999997</v>
      </c>
      <c r="P191" s="14">
        <f t="shared" si="141"/>
        <v>66.641458222154824</v>
      </c>
      <c r="Q191" s="22">
        <f t="shared" si="162"/>
        <v>601.05170640358574</v>
      </c>
      <c r="R191" s="62">
        <f t="shared" si="109"/>
        <v>894.385039736919</v>
      </c>
      <c r="S191" s="62">
        <f ca="1">AVERAGE(OFFSET($R$3,0,0,'Données projet'!$E$9+1,1))-AVERAGE(OFFSET($H$3,0,0,'Données projet'!$E$9+1,1))</f>
        <v>354.56491118410622</v>
      </c>
      <c r="T191" s="62">
        <f t="shared" si="142"/>
        <v>343.77208530767069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0.32131980712868735</v>
      </c>
      <c r="AB191" s="23">
        <f>EXP(-LN(2)/2)*AB190+(1-EXP(-LN(2)/2))/(LN(2)/2)*V191*Y191*VLOOKUP('Données projet'!$B$9,Paramètres!$A$1:$I$89,3,0)*0.475*44/12</f>
        <v>2.2174883878613279E-23</v>
      </c>
      <c r="AC191" s="24">
        <f t="shared" si="163"/>
        <v>0.32131980712868735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417.99999999999972</v>
      </c>
      <c r="AJ191" s="14">
        <f>AI191*VLOOKUP('Données projet'!$B$10,Paramètres!$A$1:$I$89,3,0)*VLOOKUP('Données projet'!$B$10,Paramètres!$A$1:$I$89,5,0)</f>
        <v>306.47759999999982</v>
      </c>
      <c r="AK191" s="14">
        <f t="shared" si="164"/>
        <v>72.532724321633353</v>
      </c>
      <c r="AL191" s="22">
        <f t="shared" si="165"/>
        <v>660.10964819351113</v>
      </c>
      <c r="AM191" s="62">
        <f t="shared" si="113"/>
        <v>953.44298152684451</v>
      </c>
      <c r="AN191" s="62">
        <f ca="1">AVERAGE(OFFSET($AM$3,0,0,'Données projet'!$E$10+1,1))-AVERAGE(OFFSET($H$3,0,0,'Données projet'!$E$10+1,1))</f>
        <v>380.01621935031324</v>
      </c>
      <c r="AO191" s="62">
        <f t="shared" si="144"/>
        <v>365.76175372075869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0.29242445115553123</v>
      </c>
      <c r="AW191" s="23">
        <f>EXP(-LN(2)/2)*AW190+(1-EXP(-LN(2)/2))/(LN(2)/2)*AQ191*AT191*VLOOKUP('Données projet'!$B$10,Paramètres!$A$1:$I$89,3,0)*0.475*44/12</f>
        <v>2.4536469148770535E-23</v>
      </c>
      <c r="AX191" s="23">
        <f t="shared" si="166"/>
        <v>0.29242445115553123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-5.6843418860808015E-14</v>
      </c>
      <c r="BE191" s="14">
        <f>BD191*VLOOKUP('Données projet'!$B$11,Paramètres!$A$1:$I$89,3,0)*VLOOKUP('Données projet'!$B$11,Paramètres!$A$1:$I$89,5,0)</f>
        <v>-4.9658410716801891E-14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303.33040062722074</v>
      </c>
      <c r="BJ191" s="62">
        <f t="shared" si="146"/>
        <v>425.30058672361548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0.23860228677953649</v>
      </c>
      <c r="BR191" s="23">
        <f>EXP(-LN(2)/2)*BR190+(1-EXP(-LN(2)/2))/(LN(2)/2)*BL191*BO191*VLOOKUP('Données projet'!$B$11,Paramètres!$A$1:$I$89,3,0)*0.475*44/12</f>
        <v>2.7818097726434857E-23</v>
      </c>
      <c r="BS191" s="24">
        <f t="shared" si="169"/>
        <v>0.23860228677953649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349.9999999999996</v>
      </c>
      <c r="O192" s="14">
        <f>N192*VLOOKUP('Données projet'!$B$9,Paramètres!$A$1:$I$89,3,0)*VLOOKUP('Données projet'!$B$9,Paramètres!$A$1:$I$89,5,0)</f>
        <v>278.4599999999997</v>
      </c>
      <c r="P192" s="14">
        <f t="shared" si="141"/>
        <v>66.641458222154824</v>
      </c>
      <c r="Q192" s="22">
        <f t="shared" si="162"/>
        <v>601.05170640358574</v>
      </c>
      <c r="R192" s="62">
        <f t="shared" si="109"/>
        <v>894.385039736919</v>
      </c>
      <c r="S192" s="62">
        <f ca="1">AVERAGE(OFFSET($R$3,0,0,'Données projet'!$E$9+1,1))-AVERAGE(OFFSET($H$3,0,0,'Données projet'!$E$9+1,1))</f>
        <v>354.56491118410622</v>
      </c>
      <c r="T192" s="62">
        <f t="shared" si="142"/>
        <v>343.77208530767069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0.31253330010527913</v>
      </c>
      <c r="AB192" s="23">
        <f>EXP(-LN(2)/2)*AB191+(1-EXP(-LN(2)/2))/(LN(2)/2)*V192*Y192*VLOOKUP('Données projet'!$B$9,Paramètres!$A$1:$I$89,3,0)*0.475*44/12</f>
        <v>1.56800107625917E-23</v>
      </c>
      <c r="AC192" s="24">
        <f t="shared" si="163"/>
        <v>0.31253330010527913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417.99999999999972</v>
      </c>
      <c r="AJ192" s="14">
        <f>AI192*VLOOKUP('Données projet'!$B$10,Paramètres!$A$1:$I$89,3,0)*VLOOKUP('Données projet'!$B$10,Paramètres!$A$1:$I$89,5,0)</f>
        <v>306.47759999999982</v>
      </c>
      <c r="AK192" s="14">
        <f t="shared" si="164"/>
        <v>72.532724321633353</v>
      </c>
      <c r="AL192" s="22">
        <f t="shared" si="165"/>
        <v>660.10964819351113</v>
      </c>
      <c r="AM192" s="62">
        <f t="shared" si="113"/>
        <v>953.44298152684451</v>
      </c>
      <c r="AN192" s="62">
        <f ca="1">AVERAGE(OFFSET($AM$3,0,0,'Données projet'!$E$10+1,1))-AVERAGE(OFFSET($H$3,0,0,'Données projet'!$E$10+1,1))</f>
        <v>380.01621935031324</v>
      </c>
      <c r="AO192" s="62">
        <f t="shared" si="144"/>
        <v>365.76175372075869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0.28442808916074969</v>
      </c>
      <c r="AW192" s="23">
        <f>EXP(-LN(2)/2)*AW191+(1-EXP(-LN(2)/2))/(LN(2)/2)*AQ192*AT192*VLOOKUP('Données projet'!$B$10,Paramètres!$A$1:$I$89,3,0)*0.475*44/12</f>
        <v>1.7349903721470161E-23</v>
      </c>
      <c r="AX192" s="23">
        <f t="shared" si="166"/>
        <v>0.28442808916074969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-5.6843418860808015E-14</v>
      </c>
      <c r="BE192" s="14">
        <f>BD192*VLOOKUP('Données projet'!$B$11,Paramètres!$A$1:$I$89,3,0)*VLOOKUP('Données projet'!$B$11,Paramètres!$A$1:$I$89,5,0)</f>
        <v>-4.9658410716801891E-14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303.33040062722074</v>
      </c>
      <c r="BJ192" s="62">
        <f t="shared" si="146"/>
        <v>425.30058672361548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0.23207769470000114</v>
      </c>
      <c r="BR192" s="23">
        <f>EXP(-LN(2)/2)*BR191+(1-EXP(-LN(2)/2))/(LN(2)/2)*BL192*BO192*VLOOKUP('Données projet'!$B$11,Paramètres!$A$1:$I$89,3,0)*0.475*44/12</f>
        <v>1.9670365542072168E-23</v>
      </c>
      <c r="BS192" s="24">
        <f t="shared" si="169"/>
        <v>0.23207769470000114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349.9999999999996</v>
      </c>
      <c r="O193" s="14">
        <f>N193*VLOOKUP('Données projet'!$B$9,Paramètres!$A$1:$I$89,3,0)*VLOOKUP('Données projet'!$B$9,Paramètres!$A$1:$I$89,5,0)</f>
        <v>278.4599999999997</v>
      </c>
      <c r="P193" s="14">
        <f t="shared" si="141"/>
        <v>66.641458222154824</v>
      </c>
      <c r="Q193" s="22">
        <f t="shared" si="162"/>
        <v>601.05170640358574</v>
      </c>
      <c r="R193" s="62">
        <f t="shared" si="109"/>
        <v>894.385039736919</v>
      </c>
      <c r="S193" s="62">
        <f ca="1">AVERAGE(OFFSET($R$3,0,0,'Données projet'!$E$9+1,1))-AVERAGE(OFFSET($H$3,0,0,'Données projet'!$E$9+1,1))</f>
        <v>354.56491118410622</v>
      </c>
      <c r="T193" s="62">
        <f t="shared" si="142"/>
        <v>343.77208530767069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0.30398706057848834</v>
      </c>
      <c r="AB193" s="23">
        <f>EXP(-LN(2)/2)*AB192+(1-EXP(-LN(2)/2))/(LN(2)/2)*V193*Y193*VLOOKUP('Données projet'!$B$9,Paramètres!$A$1:$I$89,3,0)*0.475*44/12</f>
        <v>1.108744193930664E-23</v>
      </c>
      <c r="AC193" s="24">
        <f t="shared" si="163"/>
        <v>0.30398706057848834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417.99999999999972</v>
      </c>
      <c r="AJ193" s="14">
        <f>AI193*VLOOKUP('Données projet'!$B$10,Paramètres!$A$1:$I$89,3,0)*VLOOKUP('Données projet'!$B$10,Paramètres!$A$1:$I$89,5,0)</f>
        <v>306.47759999999982</v>
      </c>
      <c r="AK193" s="14">
        <f t="shared" si="164"/>
        <v>72.532724321633353</v>
      </c>
      <c r="AL193" s="22">
        <f t="shared" si="165"/>
        <v>660.10964819351113</v>
      </c>
      <c r="AM193" s="62">
        <f t="shared" si="113"/>
        <v>953.44298152684451</v>
      </c>
      <c r="AN193" s="62">
        <f ca="1">AVERAGE(OFFSET($AM$3,0,0,'Données projet'!$E$10+1,1))-AVERAGE(OFFSET($H$3,0,0,'Données projet'!$E$10+1,1))</f>
        <v>380.01621935031324</v>
      </c>
      <c r="AO193" s="62">
        <f t="shared" si="144"/>
        <v>365.76175372075869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0.27665038810522585</v>
      </c>
      <c r="AW193" s="23">
        <f>EXP(-LN(2)/2)*AW192+(1-EXP(-LN(2)/2))/(LN(2)/2)*AQ193*AT193*VLOOKUP('Données projet'!$B$10,Paramètres!$A$1:$I$89,3,0)*0.475*44/12</f>
        <v>1.2268234574385268E-23</v>
      </c>
      <c r="AX193" s="23">
        <f t="shared" si="166"/>
        <v>0.27665038810522585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-5.6843418860808015E-14</v>
      </c>
      <c r="BE193" s="14">
        <f>BD193*VLOOKUP('Données projet'!$B$11,Paramètres!$A$1:$I$89,3,0)*VLOOKUP('Données projet'!$B$11,Paramètres!$A$1:$I$89,5,0)</f>
        <v>-4.9658410716801891E-14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303.33040062722074</v>
      </c>
      <c r="BJ193" s="62">
        <f t="shared" si="146"/>
        <v>425.30058672361548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0.22573151793399407</v>
      </c>
      <c r="BR193" s="23">
        <f>EXP(-LN(2)/2)*BR192+(1-EXP(-LN(2)/2))/(LN(2)/2)*BL193*BO193*VLOOKUP('Données projet'!$B$11,Paramètres!$A$1:$I$89,3,0)*0.475*44/12</f>
        <v>1.3909048863217428E-23</v>
      </c>
      <c r="BS193" s="24">
        <f t="shared" si="169"/>
        <v>0.22573151793399407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349.9999999999996</v>
      </c>
      <c r="O194" s="14">
        <f>N194*VLOOKUP('Données projet'!$B$9,Paramètres!$A$1:$I$89,3,0)*VLOOKUP('Données projet'!$B$9,Paramètres!$A$1:$I$89,5,0)</f>
        <v>278.4599999999997</v>
      </c>
      <c r="P194" s="14">
        <f t="shared" si="141"/>
        <v>66.641458222154824</v>
      </c>
      <c r="Q194" s="22">
        <f t="shared" si="162"/>
        <v>601.05170640358574</v>
      </c>
      <c r="R194" s="62">
        <f t="shared" si="109"/>
        <v>894.385039736919</v>
      </c>
      <c r="S194" s="62">
        <f ca="1">AVERAGE(OFFSET($R$3,0,0,'Données projet'!$E$9+1,1))-AVERAGE(OFFSET($H$3,0,0,'Données projet'!$E$9+1,1))</f>
        <v>354.56491118410622</v>
      </c>
      <c r="T194" s="62">
        <f t="shared" si="142"/>
        <v>343.77208530767069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0.29567451842098486</v>
      </c>
      <c r="AB194" s="23">
        <f>EXP(-LN(2)/2)*AB193+(1-EXP(-LN(2)/2))/(LN(2)/2)*V194*Y194*VLOOKUP('Données projet'!$B$9,Paramètres!$A$1:$I$89,3,0)*0.475*44/12</f>
        <v>7.84000538129585E-24</v>
      </c>
      <c r="AC194" s="24">
        <f t="shared" si="163"/>
        <v>0.29567451842098486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417.99999999999972</v>
      </c>
      <c r="AJ194" s="14">
        <f>AI194*VLOOKUP('Données projet'!$B$10,Paramètres!$A$1:$I$89,3,0)*VLOOKUP('Données projet'!$B$10,Paramètres!$A$1:$I$89,5,0)</f>
        <v>306.47759999999982</v>
      </c>
      <c r="AK194" s="14">
        <f t="shared" si="164"/>
        <v>72.532724321633353</v>
      </c>
      <c r="AL194" s="22">
        <f t="shared" si="165"/>
        <v>660.10964819351113</v>
      </c>
      <c r="AM194" s="62">
        <f t="shared" si="113"/>
        <v>953.44298152684451</v>
      </c>
      <c r="AN194" s="62">
        <f ca="1">AVERAGE(OFFSET($AM$3,0,0,'Données projet'!$E$10+1,1))-AVERAGE(OFFSET($H$3,0,0,'Données projet'!$E$10+1,1))</f>
        <v>380.01621935031324</v>
      </c>
      <c r="AO194" s="62">
        <f t="shared" si="144"/>
        <v>365.76175372075869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0.26908536869407684</v>
      </c>
      <c r="AW194" s="23">
        <f>EXP(-LN(2)/2)*AW193+(1-EXP(-LN(2)/2))/(LN(2)/2)*AQ194*AT194*VLOOKUP('Données projet'!$B$10,Paramètres!$A$1:$I$89,3,0)*0.475*44/12</f>
        <v>8.6749518607350804E-24</v>
      </c>
      <c r="AX194" s="23">
        <f t="shared" si="166"/>
        <v>0.26908536869407684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-5.6843418860808015E-14</v>
      </c>
      <c r="BE194" s="14">
        <f>BD194*VLOOKUP('Données projet'!$B$11,Paramètres!$A$1:$I$89,3,0)*VLOOKUP('Données projet'!$B$11,Paramètres!$A$1:$I$89,5,0)</f>
        <v>-4.9658410716801891E-14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303.33040062722074</v>
      </c>
      <c r="BJ194" s="62">
        <f t="shared" si="146"/>
        <v>425.30058672361548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0.2195588777053844</v>
      </c>
      <c r="BR194" s="23">
        <f>EXP(-LN(2)/2)*BR193+(1-EXP(-LN(2)/2))/(LN(2)/2)*BL194*BO194*VLOOKUP('Données projet'!$B$11,Paramètres!$A$1:$I$89,3,0)*0.475*44/12</f>
        <v>9.8351827710360839E-24</v>
      </c>
      <c r="BS194" s="24">
        <f t="shared" si="169"/>
        <v>0.2195588777053844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349.9999999999996</v>
      </c>
      <c r="O195" s="14">
        <f>N195*VLOOKUP('Données projet'!$B$9,Paramètres!$A$1:$I$89,3,0)*VLOOKUP('Données projet'!$B$9,Paramètres!$A$1:$I$89,5,0)</f>
        <v>278.4599999999997</v>
      </c>
      <c r="P195" s="14">
        <f t="shared" si="141"/>
        <v>66.641458222154824</v>
      </c>
      <c r="Q195" s="22">
        <f t="shared" si="162"/>
        <v>601.05170640358574</v>
      </c>
      <c r="R195" s="62">
        <f t="shared" ref="R195:R203" si="191">Q195+(I195+J195)*44/12</f>
        <v>894.385039736919</v>
      </c>
      <c r="S195" s="62">
        <f ca="1">AVERAGE(OFFSET($R$3,0,0,'Données projet'!$E$9+1,1))-AVERAGE(OFFSET($H$3,0,0,'Données projet'!$E$9+1,1))</f>
        <v>354.56491118410622</v>
      </c>
      <c r="T195" s="62">
        <f t="shared" si="142"/>
        <v>343.77208530767069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0.28758928316591587</v>
      </c>
      <c r="AB195" s="23">
        <f>EXP(-LN(2)/2)*AB194+(1-EXP(-LN(2)/2))/(LN(2)/2)*V195*Y195*VLOOKUP('Données projet'!$B$9,Paramètres!$A$1:$I$89,3,0)*0.475*44/12</f>
        <v>5.5437209696533199E-24</v>
      </c>
      <c r="AC195" s="24">
        <f t="shared" si="163"/>
        <v>0.28758928316591587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417.99999999999972</v>
      </c>
      <c r="AJ195" s="14">
        <f>AI195*VLOOKUP('Données projet'!$B$10,Paramètres!$A$1:$I$89,3,0)*VLOOKUP('Données projet'!$B$10,Paramètres!$A$1:$I$89,5,0)</f>
        <v>306.47759999999982</v>
      </c>
      <c r="AK195" s="14">
        <f t="shared" si="164"/>
        <v>72.532724321633353</v>
      </c>
      <c r="AL195" s="22">
        <f t="shared" si="165"/>
        <v>660.10964819351113</v>
      </c>
      <c r="AM195" s="62">
        <f t="shared" si="113"/>
        <v>953.44298152684451</v>
      </c>
      <c r="AN195" s="62">
        <f ca="1">AVERAGE(OFFSET($AM$3,0,0,'Données projet'!$E$10+1,1))-AVERAGE(OFFSET($H$3,0,0,'Données projet'!$E$10+1,1))</f>
        <v>380.01621935031324</v>
      </c>
      <c r="AO195" s="62">
        <f t="shared" si="144"/>
        <v>365.76175372075869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0.26172721513655278</v>
      </c>
      <c r="AW195" s="23">
        <f>EXP(-LN(2)/2)*AW194+(1-EXP(-LN(2)/2))/(LN(2)/2)*AQ195*AT195*VLOOKUP('Données projet'!$B$10,Paramètres!$A$1:$I$89,3,0)*0.475*44/12</f>
        <v>6.1341172871926339E-24</v>
      </c>
      <c r="AX195" s="23">
        <f t="shared" si="166"/>
        <v>0.26172721513655278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-5.6843418860808015E-14</v>
      </c>
      <c r="BE195" s="14">
        <f>BD195*VLOOKUP('Données projet'!$B$11,Paramètres!$A$1:$I$89,3,0)*VLOOKUP('Données projet'!$B$11,Paramètres!$A$1:$I$89,5,0)</f>
        <v>-4.9658410716801891E-14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303.33040062722074</v>
      </c>
      <c r="BJ195" s="62">
        <f t="shared" si="146"/>
        <v>425.30058672361548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0.21355502864843109</v>
      </c>
      <c r="BR195" s="23">
        <f>EXP(-LN(2)/2)*BR194+(1-EXP(-LN(2)/2))/(LN(2)/2)*BL195*BO195*VLOOKUP('Données projet'!$B$11,Paramètres!$A$1:$I$89,3,0)*0.475*44/12</f>
        <v>6.9545244316087142E-24</v>
      </c>
      <c r="BS195" s="24">
        <f t="shared" si="169"/>
        <v>0.21355502864843109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349.9999999999996</v>
      </c>
      <c r="O196" s="14">
        <f>N196*VLOOKUP('Données projet'!$B$9,Paramètres!$A$1:$I$89,3,0)*VLOOKUP('Données projet'!$B$9,Paramètres!$A$1:$I$89,5,0)</f>
        <v>278.4599999999997</v>
      </c>
      <c r="P196" s="14">
        <f t="shared" si="141"/>
        <v>66.641458222154824</v>
      </c>
      <c r="Q196" s="22">
        <f t="shared" si="162"/>
        <v>601.05170640358574</v>
      </c>
      <c r="R196" s="62">
        <f t="shared" si="191"/>
        <v>894.385039736919</v>
      </c>
      <c r="S196" s="62">
        <f ca="1">AVERAGE(OFFSET($R$3,0,0,'Données projet'!$E$9+1,1))-AVERAGE(OFFSET($H$3,0,0,'Données projet'!$E$9+1,1))</f>
        <v>354.56491118410622</v>
      </c>
      <c r="T196" s="62">
        <f t="shared" si="142"/>
        <v>343.77208530767069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0.27972513909408081</v>
      </c>
      <c r="AB196" s="23">
        <f>EXP(-LN(2)/2)*AB195+(1-EXP(-LN(2)/2))/(LN(2)/2)*V196*Y196*VLOOKUP('Données projet'!$B$9,Paramètres!$A$1:$I$89,3,0)*0.475*44/12</f>
        <v>3.920002690647925E-24</v>
      </c>
      <c r="AC196" s="24">
        <f t="shared" si="163"/>
        <v>0.27972513909408081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417.99999999999972</v>
      </c>
      <c r="AJ196" s="14">
        <f>AI196*VLOOKUP('Données projet'!$B$10,Paramètres!$A$1:$I$89,3,0)*VLOOKUP('Données projet'!$B$10,Paramètres!$A$1:$I$89,5,0)</f>
        <v>306.47759999999982</v>
      </c>
      <c r="AK196" s="14">
        <f t="shared" si="164"/>
        <v>72.532724321633353</v>
      </c>
      <c r="AL196" s="22">
        <f t="shared" si="165"/>
        <v>660.10964819351113</v>
      </c>
      <c r="AM196" s="62">
        <f t="shared" ref="AM196:AM203" si="193">AL196+(AD196+AE196)*44/12</f>
        <v>953.44298152684451</v>
      </c>
      <c r="AN196" s="62">
        <f ca="1">AVERAGE(OFFSET($AM$3,0,0,'Données projet'!$E$10+1,1))-AVERAGE(OFFSET($H$3,0,0,'Données projet'!$E$10+1,1))</f>
        <v>380.01621935031324</v>
      </c>
      <c r="AO196" s="62">
        <f t="shared" si="144"/>
        <v>365.76175372075869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0.2545702706750077</v>
      </c>
      <c r="AW196" s="23">
        <f>EXP(-LN(2)/2)*AW195+(1-EXP(-LN(2)/2))/(LN(2)/2)*AQ196*AT196*VLOOKUP('Données projet'!$B$10,Paramètres!$A$1:$I$89,3,0)*0.475*44/12</f>
        <v>4.3374759303675402E-24</v>
      </c>
      <c r="AX196" s="23">
        <f t="shared" si="166"/>
        <v>0.2545702706750077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-5.6843418860808015E-14</v>
      </c>
      <c r="BE196" s="14">
        <f>BD196*VLOOKUP('Données projet'!$B$11,Paramètres!$A$1:$I$89,3,0)*VLOOKUP('Données projet'!$B$11,Paramètres!$A$1:$I$89,5,0)</f>
        <v>-4.9658410716801891E-14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303.33040062722074</v>
      </c>
      <c r="BJ196" s="62">
        <f t="shared" si="146"/>
        <v>425.30058672361548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0.20771535515966888</v>
      </c>
      <c r="BR196" s="23">
        <f>EXP(-LN(2)/2)*BR195+(1-EXP(-LN(2)/2))/(LN(2)/2)*BL196*BO196*VLOOKUP('Données projet'!$B$11,Paramètres!$A$1:$I$89,3,0)*0.475*44/12</f>
        <v>4.9175913855180419E-24</v>
      </c>
      <c r="BS196" s="24">
        <f t="shared" si="169"/>
        <v>0.20771535515966888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349.9999999999996</v>
      </c>
      <c r="O197" s="14">
        <f>N197*VLOOKUP('Données projet'!$B$9,Paramètres!$A$1:$I$89,3,0)*VLOOKUP('Données projet'!$B$9,Paramètres!$A$1:$I$89,5,0)</f>
        <v>278.4599999999997</v>
      </c>
      <c r="P197" s="14">
        <f t="shared" ref="P197:P203" si="203">EXP(-1.0587+0.8836*LN(O197)+0.284)</f>
        <v>66.641458222154824</v>
      </c>
      <c r="Q197" s="22">
        <f t="shared" si="162"/>
        <v>601.05170640358574</v>
      </c>
      <c r="R197" s="62">
        <f t="shared" si="191"/>
        <v>894.385039736919</v>
      </c>
      <c r="S197" s="62">
        <f ca="1">AVERAGE(OFFSET($R$3,0,0,'Données projet'!$E$9+1,1))-AVERAGE(OFFSET($H$3,0,0,'Données projet'!$E$9+1,1))</f>
        <v>354.56491118410622</v>
      </c>
      <c r="T197" s="62">
        <f t="shared" ref="T197:T203" si="204">$T$3</f>
        <v>343.77208530767069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0.27207604045544742</v>
      </c>
      <c r="AB197" s="23">
        <f>EXP(-LN(2)/2)*AB196+(1-EXP(-LN(2)/2))/(LN(2)/2)*V197*Y197*VLOOKUP('Données projet'!$B$9,Paramètres!$A$1:$I$89,3,0)*0.475*44/12</f>
        <v>2.7718604848266599E-24</v>
      </c>
      <c r="AC197" s="24">
        <f t="shared" si="163"/>
        <v>0.27207604045544742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417.99999999999972</v>
      </c>
      <c r="AJ197" s="14">
        <f>AI197*VLOOKUP('Données projet'!$B$10,Paramètres!$A$1:$I$89,3,0)*VLOOKUP('Données projet'!$B$10,Paramètres!$A$1:$I$89,5,0)</f>
        <v>306.47759999999982</v>
      </c>
      <c r="AK197" s="14">
        <f t="shared" si="164"/>
        <v>72.532724321633353</v>
      </c>
      <c r="AL197" s="22">
        <f t="shared" si="165"/>
        <v>660.10964819351113</v>
      </c>
      <c r="AM197" s="62">
        <f t="shared" si="193"/>
        <v>953.44298152684451</v>
      </c>
      <c r="AN197" s="62">
        <f ca="1">AVERAGE(OFFSET($AM$3,0,0,'Données projet'!$E$10+1,1))-AVERAGE(OFFSET($H$3,0,0,'Données projet'!$E$10+1,1))</f>
        <v>380.01621935031324</v>
      </c>
      <c r="AO197" s="62">
        <f t="shared" ref="AO197:AO203" si="205">$AO$3</f>
        <v>365.76175372075869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0.2476090332361309</v>
      </c>
      <c r="AW197" s="23">
        <f>EXP(-LN(2)/2)*AW196+(1-EXP(-LN(2)/2))/(LN(2)/2)*AQ197*AT197*VLOOKUP('Données projet'!$B$10,Paramètres!$A$1:$I$89,3,0)*0.475*44/12</f>
        <v>3.0670586435963169E-24</v>
      </c>
      <c r="AX197" s="23">
        <f t="shared" si="166"/>
        <v>0.2476090332361309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-5.6843418860808015E-14</v>
      </c>
      <c r="BE197" s="14">
        <f>BD197*VLOOKUP('Données projet'!$B$11,Paramètres!$A$1:$I$89,3,0)*VLOOKUP('Données projet'!$B$11,Paramètres!$A$1:$I$89,5,0)</f>
        <v>-4.9658410716801891E-14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303.33040062722074</v>
      </c>
      <c r="BJ197" s="62">
        <f t="shared" ref="BJ197:BJ203" si="206">$BJ$3</f>
        <v>425.30058672361548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0.20203536784955195</v>
      </c>
      <c r="BR197" s="23">
        <f>EXP(-LN(2)/2)*BR196+(1-EXP(-LN(2)/2))/(LN(2)/2)*BL197*BO197*VLOOKUP('Données projet'!$B$11,Paramètres!$A$1:$I$89,3,0)*0.475*44/12</f>
        <v>3.4772622158043571E-24</v>
      </c>
      <c r="BS197" s="24">
        <f t="shared" si="169"/>
        <v>0.20203536784955195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349.9999999999996</v>
      </c>
      <c r="O198" s="14">
        <f>N198*VLOOKUP('Données projet'!$B$9,Paramètres!$A$1:$I$89,3,0)*VLOOKUP('Données projet'!$B$9,Paramètres!$A$1:$I$89,5,0)</f>
        <v>278.4599999999997</v>
      </c>
      <c r="P198" s="14">
        <f t="shared" si="203"/>
        <v>66.641458222154824</v>
      </c>
      <c r="Q198" s="22">
        <f t="shared" si="162"/>
        <v>601.05170640358574</v>
      </c>
      <c r="R198" s="62">
        <f t="shared" si="191"/>
        <v>894.385039736919</v>
      </c>
      <c r="S198" s="62">
        <f ca="1">AVERAGE(OFFSET($R$3,0,0,'Données projet'!$E$9+1,1))-AVERAGE(OFFSET($H$3,0,0,'Données projet'!$E$9+1,1))</f>
        <v>354.56491118410622</v>
      </c>
      <c r="T198" s="62">
        <f t="shared" si="204"/>
        <v>343.77208530767069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0.26463610682133609</v>
      </c>
      <c r="AB198" s="23">
        <f>EXP(-LN(2)/2)*AB197+(1-EXP(-LN(2)/2))/(LN(2)/2)*V198*Y198*VLOOKUP('Données projet'!$B$9,Paramètres!$A$1:$I$89,3,0)*0.475*44/12</f>
        <v>1.9600013453239625E-24</v>
      </c>
      <c r="AC198" s="24">
        <f t="shared" si="163"/>
        <v>0.26463610682133609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417.99999999999972</v>
      </c>
      <c r="AJ198" s="14">
        <f>AI198*VLOOKUP('Données projet'!$B$10,Paramètres!$A$1:$I$89,3,0)*VLOOKUP('Données projet'!$B$10,Paramètres!$A$1:$I$89,5,0)</f>
        <v>306.47759999999982</v>
      </c>
      <c r="AK198" s="14">
        <f t="shared" si="164"/>
        <v>72.532724321633353</v>
      </c>
      <c r="AL198" s="22">
        <f t="shared" si="165"/>
        <v>660.10964819351113</v>
      </c>
      <c r="AM198" s="62">
        <f t="shared" si="193"/>
        <v>953.44298152684451</v>
      </c>
      <c r="AN198" s="62">
        <f ca="1">AVERAGE(OFFSET($AM$3,0,0,'Données projet'!$E$10+1,1))-AVERAGE(OFFSET($H$3,0,0,'Données projet'!$E$10+1,1))</f>
        <v>380.01621935031324</v>
      </c>
      <c r="AO198" s="62">
        <f t="shared" si="205"/>
        <v>365.76175372075869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0.24083815120109575</v>
      </c>
      <c r="AW198" s="23">
        <f>EXP(-LN(2)/2)*AW197+(1-EXP(-LN(2)/2))/(LN(2)/2)*AQ198*AT198*VLOOKUP('Données projet'!$B$10,Paramètres!$A$1:$I$89,3,0)*0.475*44/12</f>
        <v>2.1687379651837701E-24</v>
      </c>
      <c r="AX198" s="23">
        <f t="shared" si="166"/>
        <v>0.24083815120109575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-5.6843418860808015E-14</v>
      </c>
      <c r="BE198" s="14">
        <f>BD198*VLOOKUP('Données projet'!$B$11,Paramètres!$A$1:$I$89,3,0)*VLOOKUP('Données projet'!$B$11,Paramètres!$A$1:$I$89,5,0)</f>
        <v>-4.9658410716801891E-14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303.33040062722074</v>
      </c>
      <c r="BJ198" s="62">
        <f t="shared" si="206"/>
        <v>425.30058672361548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0.19651070009112773</v>
      </c>
      <c r="BR198" s="23">
        <f>EXP(-LN(2)/2)*BR197+(1-EXP(-LN(2)/2))/(LN(2)/2)*BL198*BO198*VLOOKUP('Données projet'!$B$11,Paramètres!$A$1:$I$89,3,0)*0.475*44/12</f>
        <v>2.458795692759021E-24</v>
      </c>
      <c r="BS198" s="24">
        <f t="shared" si="169"/>
        <v>0.19651070009112773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349.9999999999996</v>
      </c>
      <c r="O199" s="14">
        <f>N199*VLOOKUP('Données projet'!$B$9,Paramètres!$A$1:$I$89,3,0)*VLOOKUP('Données projet'!$B$9,Paramètres!$A$1:$I$89,5,0)</f>
        <v>278.4599999999997</v>
      </c>
      <c r="P199" s="14">
        <f t="shared" si="203"/>
        <v>66.641458222154824</v>
      </c>
      <c r="Q199" s="22">
        <f t="shared" si="162"/>
        <v>601.05170640358574</v>
      </c>
      <c r="R199" s="62">
        <f t="shared" si="191"/>
        <v>894.385039736919</v>
      </c>
      <c r="S199" s="62">
        <f ca="1">AVERAGE(OFFSET($R$3,0,0,'Données projet'!$E$9+1,1))-AVERAGE(OFFSET($H$3,0,0,'Données projet'!$E$9+1,1))</f>
        <v>354.56491118410622</v>
      </c>
      <c r="T199" s="62">
        <f t="shared" si="204"/>
        <v>343.77208530767069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0.25739961856369864</v>
      </c>
      <c r="AB199" s="23">
        <f>EXP(-LN(2)/2)*AB198+(1-EXP(-LN(2)/2))/(LN(2)/2)*V199*Y199*VLOOKUP('Données projet'!$B$9,Paramètres!$A$1:$I$89,3,0)*0.475*44/12</f>
        <v>1.38593024241333E-24</v>
      </c>
      <c r="AC199" s="24">
        <f t="shared" si="163"/>
        <v>0.25739961856369864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417.99999999999972</v>
      </c>
      <c r="AJ199" s="14">
        <f>AI199*VLOOKUP('Données projet'!$B$10,Paramètres!$A$1:$I$89,3,0)*VLOOKUP('Données projet'!$B$10,Paramètres!$A$1:$I$89,5,0)</f>
        <v>306.47759999999982</v>
      </c>
      <c r="AK199" s="14">
        <f t="shared" si="164"/>
        <v>72.532724321633353</v>
      </c>
      <c r="AL199" s="22">
        <f t="shared" si="165"/>
        <v>660.10964819351113</v>
      </c>
      <c r="AM199" s="62">
        <f t="shared" si="193"/>
        <v>953.44298152684451</v>
      </c>
      <c r="AN199" s="62">
        <f ca="1">AVERAGE(OFFSET($AM$3,0,0,'Données projet'!$E$10+1,1))-AVERAGE(OFFSET($H$3,0,0,'Données projet'!$E$10+1,1))</f>
        <v>380.01621935031324</v>
      </c>
      <c r="AO199" s="62">
        <f t="shared" si="205"/>
        <v>365.76175372075869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0.23425241929137386</v>
      </c>
      <c r="AW199" s="23">
        <f>EXP(-LN(2)/2)*AW198+(1-EXP(-LN(2)/2))/(LN(2)/2)*AQ199*AT199*VLOOKUP('Données projet'!$B$10,Paramètres!$A$1:$I$89,3,0)*0.475*44/12</f>
        <v>1.5335293217981585E-24</v>
      </c>
      <c r="AX199" s="23">
        <f t="shared" si="166"/>
        <v>0.23425241929137386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-5.6843418860808015E-14</v>
      </c>
      <c r="BE199" s="14">
        <f>BD199*VLOOKUP('Données projet'!$B$11,Paramètres!$A$1:$I$89,3,0)*VLOOKUP('Données projet'!$B$11,Paramètres!$A$1:$I$89,5,0)</f>
        <v>-4.9658410716801891E-14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303.33040062722074</v>
      </c>
      <c r="BJ199" s="62">
        <f t="shared" si="206"/>
        <v>425.30058672361548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0.19113710466308725</v>
      </c>
      <c r="BR199" s="23">
        <f>EXP(-LN(2)/2)*BR198+(1-EXP(-LN(2)/2))/(LN(2)/2)*BL199*BO199*VLOOKUP('Données projet'!$B$11,Paramètres!$A$1:$I$89,3,0)*0.475*44/12</f>
        <v>1.7386311079021786E-24</v>
      </c>
      <c r="BS199" s="24">
        <f t="shared" si="169"/>
        <v>0.19113710466308725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349.9999999999996</v>
      </c>
      <c r="O200" s="14">
        <f>N200*VLOOKUP('Données projet'!$B$9,Paramètres!$A$1:$I$89,3,0)*VLOOKUP('Données projet'!$B$9,Paramètres!$A$1:$I$89,5,0)</f>
        <v>278.4599999999997</v>
      </c>
      <c r="P200" s="14">
        <f t="shared" si="203"/>
        <v>66.641458222154824</v>
      </c>
      <c r="Q200" s="22">
        <f t="shared" si="162"/>
        <v>601.05170640358574</v>
      </c>
      <c r="R200" s="62">
        <f t="shared" si="191"/>
        <v>894.385039736919</v>
      </c>
      <c r="S200" s="62">
        <f ca="1">AVERAGE(OFFSET($R$3,0,0,'Données projet'!$E$9+1,1))-AVERAGE(OFFSET($H$3,0,0,'Données projet'!$E$9+1,1))</f>
        <v>354.56491118410622</v>
      </c>
      <c r="T200" s="62">
        <f t="shared" si="204"/>
        <v>343.77208530767069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0.25036101245801667</v>
      </c>
      <c r="AB200" s="23">
        <f>EXP(-LN(2)/2)*AB199+(1-EXP(-LN(2)/2))/(LN(2)/2)*V200*Y200*VLOOKUP('Données projet'!$B$9,Paramètres!$A$1:$I$89,3,0)*0.475*44/12</f>
        <v>9.8000067266198125E-25</v>
      </c>
      <c r="AC200" s="24">
        <f t="shared" si="163"/>
        <v>0.25036101245801667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417.99999999999972</v>
      </c>
      <c r="AJ200" s="14">
        <f>AI200*VLOOKUP('Données projet'!$B$10,Paramètres!$A$1:$I$89,3,0)*VLOOKUP('Données projet'!$B$10,Paramètres!$A$1:$I$89,5,0)</f>
        <v>306.47759999999982</v>
      </c>
      <c r="AK200" s="14">
        <f t="shared" si="164"/>
        <v>72.532724321633353</v>
      </c>
      <c r="AL200" s="22">
        <f t="shared" si="165"/>
        <v>660.10964819351113</v>
      </c>
      <c r="AM200" s="62">
        <f t="shared" si="193"/>
        <v>953.44298152684451</v>
      </c>
      <c r="AN200" s="62">
        <f ca="1">AVERAGE(OFFSET($AM$3,0,0,'Données projet'!$E$10+1,1))-AVERAGE(OFFSET($H$3,0,0,'Données projet'!$E$10+1,1))</f>
        <v>380.01621935031324</v>
      </c>
      <c r="AO200" s="62">
        <f t="shared" si="205"/>
        <v>365.76175372075869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0.22784677456705191</v>
      </c>
      <c r="AW200" s="23">
        <f>EXP(-LN(2)/2)*AW199+(1-EXP(-LN(2)/2))/(LN(2)/2)*AQ200*AT200*VLOOKUP('Données projet'!$B$10,Paramètres!$A$1:$I$89,3,0)*0.475*44/12</f>
        <v>1.0843689825918851E-24</v>
      </c>
      <c r="AX200" s="23">
        <f t="shared" si="166"/>
        <v>0.22784677456705191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-5.6843418860808015E-14</v>
      </c>
      <c r="BE200" s="14">
        <f>BD200*VLOOKUP('Données projet'!$B$11,Paramètres!$A$1:$I$89,3,0)*VLOOKUP('Données projet'!$B$11,Paramètres!$A$1:$I$89,5,0)</f>
        <v>-4.9658410716801891E-14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303.33040062722074</v>
      </c>
      <c r="BJ200" s="62">
        <f t="shared" si="206"/>
        <v>425.30058672361548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0.18591045048461166</v>
      </c>
      <c r="BR200" s="23">
        <f>EXP(-LN(2)/2)*BR199+(1-EXP(-LN(2)/2))/(LN(2)/2)*BL200*BO200*VLOOKUP('Données projet'!$B$11,Paramètres!$A$1:$I$89,3,0)*0.475*44/12</f>
        <v>1.2293978463795105E-24</v>
      </c>
      <c r="BS200" s="24">
        <f t="shared" si="169"/>
        <v>0.18591045048461166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349.9999999999996</v>
      </c>
      <c r="O201" s="14">
        <f>N201*VLOOKUP('Données projet'!$B$9,Paramètres!$A$1:$I$89,3,0)*VLOOKUP('Données projet'!$B$9,Paramètres!$A$1:$I$89,5,0)</f>
        <v>278.4599999999997</v>
      </c>
      <c r="P201" s="14">
        <f t="shared" si="203"/>
        <v>66.641458222154824</v>
      </c>
      <c r="Q201" s="22">
        <f t="shared" si="162"/>
        <v>601.05170640358574</v>
      </c>
      <c r="R201" s="62">
        <f t="shared" si="191"/>
        <v>894.385039736919</v>
      </c>
      <c r="S201" s="62">
        <f ca="1">AVERAGE(OFFSET($R$3,0,0,'Données projet'!$E$9+1,1))-AVERAGE(OFFSET($H$3,0,0,'Données projet'!$E$9+1,1))</f>
        <v>354.56491118410622</v>
      </c>
      <c r="T201" s="62">
        <f t="shared" si="204"/>
        <v>343.77208530767069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0.24351487740643876</v>
      </c>
      <c r="AB201" s="23">
        <f>EXP(-LN(2)/2)*AB200+(1-EXP(-LN(2)/2))/(LN(2)/2)*V201*Y201*VLOOKUP('Données projet'!$B$9,Paramètres!$A$1:$I$89,3,0)*0.475*44/12</f>
        <v>6.9296512120666498E-25</v>
      </c>
      <c r="AC201" s="24">
        <f t="shared" si="163"/>
        <v>0.24351487740643876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417.99999999999972</v>
      </c>
      <c r="AJ201" s="14">
        <f>AI201*VLOOKUP('Données projet'!$B$10,Paramètres!$A$1:$I$89,3,0)*VLOOKUP('Données projet'!$B$10,Paramètres!$A$1:$I$89,5,0)</f>
        <v>306.47759999999982</v>
      </c>
      <c r="AK201" s="14">
        <f t="shared" si="164"/>
        <v>72.532724321633353</v>
      </c>
      <c r="AL201" s="22">
        <f t="shared" si="165"/>
        <v>660.10964819351113</v>
      </c>
      <c r="AM201" s="62">
        <f t="shared" si="193"/>
        <v>953.44298152684451</v>
      </c>
      <c r="AN201" s="62">
        <f ca="1">AVERAGE(OFFSET($AM$3,0,0,'Données projet'!$E$10+1,1))-AVERAGE(OFFSET($H$3,0,0,'Données projet'!$E$10+1,1))</f>
        <v>380.01621935031324</v>
      </c>
      <c r="AO201" s="62">
        <f t="shared" si="205"/>
        <v>365.76175372075869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0.22161629253457474</v>
      </c>
      <c r="AW201" s="23">
        <f>EXP(-LN(2)/2)*AW200+(1-EXP(-LN(2)/2))/(LN(2)/2)*AQ201*AT201*VLOOKUP('Données projet'!$B$10,Paramètres!$A$1:$I$89,3,0)*0.475*44/12</f>
        <v>7.6676466089907923E-25</v>
      </c>
      <c r="AX201" s="23">
        <f t="shared" si="166"/>
        <v>0.22161629253457474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-5.6843418860808015E-14</v>
      </c>
      <c r="BE201" s="14">
        <f>BD201*VLOOKUP('Données projet'!$B$11,Paramètres!$A$1:$I$89,3,0)*VLOOKUP('Données projet'!$B$11,Paramètres!$A$1:$I$89,5,0)</f>
        <v>-4.9658410716801891E-14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303.33040062722074</v>
      </c>
      <c r="BJ201" s="62">
        <f t="shared" si="206"/>
        <v>425.30058672361548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0.18082671943950426</v>
      </c>
      <c r="BR201" s="23">
        <f>EXP(-LN(2)/2)*BR200+(1-EXP(-LN(2)/2))/(LN(2)/2)*BL201*BO201*VLOOKUP('Données projet'!$B$11,Paramètres!$A$1:$I$89,3,0)*0.475*44/12</f>
        <v>8.6931555395108928E-25</v>
      </c>
      <c r="BS201" s="24">
        <f t="shared" si="169"/>
        <v>0.18082671943950426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349.9999999999996</v>
      </c>
      <c r="O202" s="14">
        <f>N202*VLOOKUP('Données projet'!$B$9,Paramètres!$A$1:$I$89,3,0)*VLOOKUP('Données projet'!$B$9,Paramètres!$A$1:$I$89,5,0)</f>
        <v>278.4599999999997</v>
      </c>
      <c r="P202" s="14">
        <f t="shared" si="203"/>
        <v>66.641458222154824</v>
      </c>
      <c r="Q202" s="22">
        <f t="shared" si="162"/>
        <v>601.05170640358574</v>
      </c>
      <c r="R202" s="62">
        <f t="shared" si="191"/>
        <v>894.385039736919</v>
      </c>
      <c r="S202" s="62">
        <f ca="1">AVERAGE(OFFSET($R$3,0,0,'Données projet'!$E$9+1,1))-AVERAGE(OFFSET($H$3,0,0,'Données projet'!$E$9+1,1))</f>
        <v>354.56491118410622</v>
      </c>
      <c r="T202" s="62">
        <f t="shared" si="204"/>
        <v>343.77208530767069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0.23685595027786885</v>
      </c>
      <c r="AB202" s="23">
        <f>EXP(-LN(2)/2)*AB201+(1-EXP(-LN(2)/2))/(LN(2)/2)*V202*Y202*VLOOKUP('Données projet'!$B$9,Paramètres!$A$1:$I$89,3,0)*0.475*44/12</f>
        <v>4.9000033633099063E-25</v>
      </c>
      <c r="AC202" s="24">
        <f t="shared" si="163"/>
        <v>0.23685595027786885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417.99999999999972</v>
      </c>
      <c r="AJ202" s="14">
        <f>AI202*VLOOKUP('Données projet'!$B$10,Paramètres!$A$1:$I$89,3,0)*VLOOKUP('Données projet'!$B$10,Paramètres!$A$1:$I$89,5,0)</f>
        <v>306.47759999999982</v>
      </c>
      <c r="AK202" s="14">
        <f t="shared" si="164"/>
        <v>72.532724321633353</v>
      </c>
      <c r="AL202" s="22">
        <f t="shared" si="165"/>
        <v>660.10964819351113</v>
      </c>
      <c r="AM202" s="62">
        <f t="shared" si="193"/>
        <v>953.44298152684451</v>
      </c>
      <c r="AN202" s="62">
        <f ca="1">AVERAGE(OFFSET($AM$3,0,0,'Données projet'!$E$10+1,1))-AVERAGE(OFFSET($H$3,0,0,'Données projet'!$E$10+1,1))</f>
        <v>380.01621935031324</v>
      </c>
      <c r="AO202" s="62">
        <f t="shared" si="205"/>
        <v>365.76175372075869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0.21555618336092247</v>
      </c>
      <c r="AW202" s="23">
        <f>EXP(-LN(2)/2)*AW201+(1-EXP(-LN(2)/2))/(LN(2)/2)*AQ202*AT202*VLOOKUP('Données projet'!$B$10,Paramètres!$A$1:$I$89,3,0)*0.475*44/12</f>
        <v>5.4218449129594253E-25</v>
      </c>
      <c r="AX202" s="23">
        <f t="shared" si="166"/>
        <v>0.21555618336092247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-5.6843418860808015E-14</v>
      </c>
      <c r="BE202" s="14">
        <f>BD202*VLOOKUP('Données projet'!$B$11,Paramètres!$A$1:$I$89,3,0)*VLOOKUP('Données projet'!$B$11,Paramètres!$A$1:$I$89,5,0)</f>
        <v>-4.9658410716801891E-14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303.33040062722074</v>
      </c>
      <c r="BJ202" s="62">
        <f t="shared" si="206"/>
        <v>425.30058672361548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0.17588200328716713</v>
      </c>
      <c r="BR202" s="23">
        <f>EXP(-LN(2)/2)*BR201+(1-EXP(-LN(2)/2))/(LN(2)/2)*BL202*BO202*VLOOKUP('Données projet'!$B$11,Paramètres!$A$1:$I$89,3,0)*0.475*44/12</f>
        <v>6.1469892318975524E-25</v>
      </c>
      <c r="BS202" s="24">
        <f t="shared" si="169"/>
        <v>0.17588200328716713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349.9999999999996</v>
      </c>
      <c r="O203" s="14">
        <f>N203*VLOOKUP('Données projet'!$B$9,Paramètres!$A$1:$I$89,3,0)*VLOOKUP('Données projet'!$B$9,Paramètres!$A$1:$I$89,5,0)</f>
        <v>278.4599999999997</v>
      </c>
      <c r="P203" s="14">
        <f t="shared" si="203"/>
        <v>66.641458222154824</v>
      </c>
      <c r="Q203" s="22">
        <f t="shared" si="162"/>
        <v>601.05170640358574</v>
      </c>
      <c r="R203" s="62">
        <f t="shared" si="191"/>
        <v>894.385039736919</v>
      </c>
      <c r="S203" s="62">
        <f ca="1">AVERAGE(OFFSET($R$3,0,0,'Données projet'!$E$9+1,1))-AVERAGE(OFFSET($H$3,0,0,'Données projet'!$E$9+1,1))</f>
        <v>354.56491118410622</v>
      </c>
      <c r="T203" s="62">
        <f t="shared" si="204"/>
        <v>343.77208530767069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0.23037911186180743</v>
      </c>
      <c r="AB203" s="23">
        <f>EXP(-LN(2)/2)*AB202+(1-EXP(-LN(2)/2))/(LN(2)/2)*V203*Y203*VLOOKUP('Données projet'!$B$9,Paramètres!$A$1:$I$89,3,0)*0.475*44/12</f>
        <v>3.4648256060333249E-25</v>
      </c>
      <c r="AC203" s="24">
        <f t="shared" si="163"/>
        <v>0.23037911186180743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417.99999999999972</v>
      </c>
      <c r="AJ203" s="14">
        <f>AI203*VLOOKUP('Données projet'!$B$10,Paramètres!$A$1:$I$89,3,0)*VLOOKUP('Données projet'!$B$10,Paramètres!$A$1:$I$89,5,0)</f>
        <v>306.47759999999982</v>
      </c>
      <c r="AK203" s="14">
        <f t="shared" si="164"/>
        <v>72.532724321633353</v>
      </c>
      <c r="AL203" s="22">
        <f t="shared" si="165"/>
        <v>660.10964819351113</v>
      </c>
      <c r="AM203" s="62">
        <f t="shared" si="193"/>
        <v>953.44298152684451</v>
      </c>
      <c r="AN203" s="62">
        <f ca="1">AVERAGE(OFFSET($AM$3,0,0,'Données projet'!$E$10+1,1))-AVERAGE(OFFSET($H$3,0,0,'Données projet'!$E$10+1,1))</f>
        <v>380.01621935031324</v>
      </c>
      <c r="AO203" s="62">
        <f t="shared" si="205"/>
        <v>365.76175372075869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0.20966178819131101</v>
      </c>
      <c r="AW203" s="23">
        <f>EXP(-LN(2)/2)*AW202+(1-EXP(-LN(2)/2))/(LN(2)/2)*AQ203*AT203*VLOOKUP('Données projet'!$B$10,Paramètres!$A$1:$I$89,3,0)*0.475*44/12</f>
        <v>3.8338233044953962E-25</v>
      </c>
      <c r="AX203" s="23">
        <f t="shared" si="166"/>
        <v>0.20966178819131101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-5.6843418860808015E-14</v>
      </c>
      <c r="BE203" s="14">
        <f>BD203*VLOOKUP('Données projet'!$B$11,Paramètres!$A$1:$I$89,3,0)*VLOOKUP('Données projet'!$B$11,Paramètres!$A$1:$I$89,5,0)</f>
        <v>-4.9658410716801891E-14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303.33040062722074</v>
      </c>
      <c r="BJ203" s="62">
        <f t="shared" si="206"/>
        <v>425.30058672361548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0.17107250065804697</v>
      </c>
      <c r="BR203" s="23">
        <f>EXP(-LN(2)/2)*BR202+(1-EXP(-LN(2)/2))/(LN(2)/2)*BL203*BO203*VLOOKUP('Données projet'!$B$11,Paramètres!$A$1:$I$89,3,0)*0.475*44/12</f>
        <v>4.3465777697554464E-25</v>
      </c>
      <c r="BS203" s="24">
        <f t="shared" si="169"/>
        <v>0.17107250065804697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1.2709816152101407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1.3423796509621049</v>
      </c>
      <c r="BA205" s="88">
        <f>EXP(LN('Données projet'!B88)/'Données projet'!A88)</f>
        <v>1.3655017210306359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5" workbookViewId="0">
      <selection activeCell="M9" sqref="M9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Erable sycomore</v>
      </c>
      <c r="B6" s="155">
        <f>'Données projet'!D9</f>
        <v>0.76590000000000003</v>
      </c>
      <c r="C6" s="156">
        <f ca="1">IF(OR('Données projet'!B9="",'Données projet'!C9="",'Données projet'!C9=0%),0,Calculateur!S3)</f>
        <v>354.56491118410622</v>
      </c>
      <c r="D6" s="156">
        <f>IF(OR('Données projet'!B9="",'Données projet'!C9="",'Données projet'!C9=0%),0,Calculateur!T3)</f>
        <v>343.77208530767069</v>
      </c>
      <c r="E6" s="156">
        <f ca="1">MIN(C6,D6)</f>
        <v>343.77208530767069</v>
      </c>
      <c r="F6" s="156">
        <f ca="1">E6*B6</f>
        <v>263.29504013714501</v>
      </c>
      <c r="G6" s="156">
        <f ca="1">F6*(100%-'Données projet'!$C$24)*(100%-'Données projet'!$C$25)*(100%-'Données projet'!$C$26)*(100%-'Données projet'!$C$27)</f>
        <v>236.96553612343052</v>
      </c>
      <c r="H6" s="157">
        <f>IF(OR('Données projet'!B9="",'Données projet'!C9="",'Données projet'!C9=0%),0,AVERAGE(Calculateur!$AC$3:$AC$33)*B6)</f>
        <v>8.5743317755099966</v>
      </c>
      <c r="I6" s="158">
        <f>H6*(100%-'Données projet'!$C$24)*(100%-'Données projet'!$C$25)*(100%-'Données projet'!$C$26)*(100%-'Données projet'!$C$27)</f>
        <v>7.7168985979589975</v>
      </c>
      <c r="J6" s="159">
        <f>IF(OR('Données projet'!B9="",'Données projet'!C9="",'Données projet'!C9=0%),0,SUM(Calculateur!$V$3:$V$33)*VLOOKUP('Données projet'!$B$9,Paramètres!$A$1:$I$89,9,0)*B6)</f>
        <v>26.232075000000002</v>
      </c>
      <c r="K6" s="160">
        <f>J6*(100%-'Données projet'!$C$24)*(100%-'Données projet'!$C$25)*(100%-'Données projet'!$C$26)*(100%-'Données projet'!$C$27)</f>
        <v>23.608867500000002</v>
      </c>
      <c r="L6" s="161">
        <f ca="1">G6+I6+K6</f>
        <v>268.29130222138951</v>
      </c>
      <c r="M6" s="25">
        <f ca="1">L6/B6</f>
        <v>350.29547228279085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Châtaignier</v>
      </c>
      <c r="B7" s="163">
        <f>'Données projet'!D10</f>
        <v>0.76590000000000003</v>
      </c>
      <c r="C7" s="156">
        <f ca="1">IF(OR('Données projet'!B10="",'Données projet'!C10="",'Données projet'!C10=0%),0,Calculateur!AN3)</f>
        <v>380.01621935031324</v>
      </c>
      <c r="D7" s="156">
        <f>IF(OR('Données projet'!B10="",'Données projet'!C10="",'Données projet'!C10=0%),0,Calculateur!AO3)</f>
        <v>365.76175372075869</v>
      </c>
      <c r="E7" s="156">
        <f t="shared" ref="E7:E15" ca="1" si="0">MIN(C7,D7)</f>
        <v>365.76175372075869</v>
      </c>
      <c r="F7" s="156">
        <f t="shared" ref="F7:F15" ca="1" si="1">E7*B7</f>
        <v>280.13692717472907</v>
      </c>
      <c r="G7" s="156">
        <f ca="1">F7*(100%-'Données projet'!$C$24)*(100%-'Données projet'!$C$25)*(100%-'Données projet'!$C$26)*(100%-'Données projet'!$C$27)</f>
        <v>252.12323445725616</v>
      </c>
      <c r="H7" s="164">
        <f>IF(OR('Données projet'!B10="",'Données projet'!C10="",'Données projet'!C10=0%),0,AVERAGE(Calculateur!$AX$3:$AX$33)*B7)</f>
        <v>8.7609999029463701</v>
      </c>
      <c r="I7" s="158">
        <f>H7*(100%-'Données projet'!$C$24)*(100%-'Données projet'!$C$25)*(100%-'Données projet'!$C$26)*(100%-'Données projet'!$C$27)</f>
        <v>7.8848999126517336</v>
      </c>
      <c r="J7" s="159">
        <f>IF(OR('Données projet'!B10="",'Données projet'!C10="",'Données projet'!C10=0%),0,SUM(Calculateur!$AQ$3:$AQ$33)*VLOOKUP('Données projet'!$B$10,Paramètres!$A$1:$I$89,9,0)*B7)</f>
        <v>33.508125</v>
      </c>
      <c r="K7" s="160">
        <f>J7*(100%-'Données projet'!$C$24)*(100%-'Données projet'!$C$25)*(100%-'Données projet'!$C$26)*(100%-'Données projet'!$C$27)</f>
        <v>30.1573125</v>
      </c>
      <c r="L7" s="161">
        <f t="shared" ref="L7:L15" ca="1" si="2">G7+I7+K7</f>
        <v>290.1654468699079</v>
      </c>
      <c r="M7" s="25">
        <f ca="1">L7/B7</f>
        <v>378.8555253556703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Chêne rouge d'Amérique</v>
      </c>
      <c r="B8" s="163">
        <f>'Données projet'!D11</f>
        <v>0.76590000000000003</v>
      </c>
      <c r="C8" s="156">
        <f ca="1">IF(OR('Données projet'!B11="",'Données projet'!C11="",'Données projet'!C11=0%),0,Calculateur!BI3)</f>
        <v>303.33040062722074</v>
      </c>
      <c r="D8" s="156">
        <f>IF(OR('Données projet'!B11="",'Données projet'!C11="",'Données projet'!C11=0%),0,Calculateur!BJ3)</f>
        <v>425.30058672361548</v>
      </c>
      <c r="E8" s="156">
        <f t="shared" ca="1" si="0"/>
        <v>303.33040062722074</v>
      </c>
      <c r="F8" s="156">
        <f t="shared" ca="1" si="1"/>
        <v>232.32075384038836</v>
      </c>
      <c r="G8" s="156">
        <f ca="1">F8*(100%-'Données projet'!$C$24)*(100%-'Données projet'!$C$25)*(100%-'Données projet'!$C$26)*(100%-'Données projet'!$C$27)</f>
        <v>209.08867845634953</v>
      </c>
      <c r="H8" s="164">
        <f>IF(OR('Données projet'!B11="",'Données projet'!C11="",'Données projet'!C11=0%),0,AVERAGE(Calculateur!$BS$3:$BS$33)*B8)</f>
        <v>2.7976022387552826</v>
      </c>
      <c r="I8" s="158">
        <f>H8*(100%-'Données projet'!$C$24)*(100%-'Données projet'!$C$25)*(100%-'Données projet'!$C$26)*(100%-'Données projet'!$C$27)</f>
        <v>2.5178420148797542</v>
      </c>
      <c r="J8" s="159">
        <f>IF(OR('Données projet'!B11="",'Données projet'!C11="",'Données projet'!C11=0%),0,SUM(Calculateur!$BL$3:$BL$33)*VLOOKUP('Données projet'!$B$11,Paramètres!$A$1:$I$89,9,0)*B8)</f>
        <v>35.805824999999999</v>
      </c>
      <c r="K8" s="160">
        <f>J8*(100%-'Données projet'!$C$24)*(100%-'Données projet'!$C$25)*(100%-'Données projet'!$C$26)*(100%-'Données projet'!$C$27)</f>
        <v>32.2252425</v>
      </c>
      <c r="L8" s="161">
        <f t="shared" ca="1" si="2"/>
        <v>243.8317629712293</v>
      </c>
      <c r="M8" s="25">
        <f ca="1">L8/B8</f>
        <v>318.3597897522252</v>
      </c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775.75272115226244</v>
      </c>
      <c r="G16" s="175">
        <f t="shared" ca="1" si="3"/>
        <v>698.17744903703624</v>
      </c>
      <c r="H16" s="176">
        <f t="shared" si="3"/>
        <v>20.132933917211648</v>
      </c>
      <c r="I16" s="176">
        <f t="shared" si="3"/>
        <v>18.119640525490485</v>
      </c>
      <c r="J16" s="177">
        <f t="shared" si="3"/>
        <v>95.546025</v>
      </c>
      <c r="K16" s="177">
        <f t="shared" si="3"/>
        <v>85.991422499999999</v>
      </c>
      <c r="L16" s="178">
        <f t="shared" ca="1" si="3"/>
        <v>802.28851206252671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Erable sycomore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Châtaignier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Chêne rouge d'Amérique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E1" zoomScale="90" zoomScaleNormal="90" workbookViewId="0">
      <selection activeCell="N16" sqref="N1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Erable sycomore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1548.2850655392697</v>
      </c>
      <c r="U10" s="190">
        <f>'Données projet'!D9</f>
        <v>0.76590000000000003</v>
      </c>
      <c r="V10" s="189">
        <f>U10*T10</f>
        <v>1185.8315316965268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Châtaignier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1624.2878513000378</v>
      </c>
      <c r="U11" s="190">
        <f>'Données projet'!D10</f>
        <v>0.76590000000000003</v>
      </c>
      <c r="V11" s="189">
        <f t="shared" ref="V11" si="0">U11*T11</f>
        <v>1244.0420653106989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rouge d'Amérique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6804.9289247442739</v>
      </c>
      <c r="U12" s="190">
        <f>'Données projet'!D11</f>
        <v>0.76590000000000003</v>
      </c>
      <c r="V12" s="189">
        <f t="shared" ref="V12:V19" si="1">U12*T12</f>
        <v>5211.8950634616394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Erable sycomore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f>19431/2.3</f>
        <v>8448.2608695652179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420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450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10</v>
      </c>
      <c r="B23" s="193">
        <f>'Données projet'!D36</f>
        <v>0</v>
      </c>
      <c r="C23" s="206">
        <v>0</v>
      </c>
      <c r="D23" s="194">
        <f>B23*C23</f>
        <v>0</v>
      </c>
      <c r="E23" s="206"/>
      <c r="F23" s="261"/>
      <c r="H23" s="203">
        <v>3</v>
      </c>
      <c r="I23" s="204">
        <v>480</v>
      </c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-15554.616927140949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15</v>
      </c>
      <c r="B24" s="193">
        <f>'Données projet'!D37</f>
        <v>32</v>
      </c>
      <c r="C24" s="206">
        <v>10</v>
      </c>
      <c r="D24" s="194">
        <f t="shared" ref="D24:D42" si="2">B24*C24</f>
        <v>320</v>
      </c>
      <c r="E24" s="206"/>
      <c r="F24" s="264"/>
      <c r="H24" s="203">
        <v>4</v>
      </c>
      <c r="I24" s="204">
        <v>480</v>
      </c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20</v>
      </c>
      <c r="B25" s="193">
        <f>'Données projet'!D38</f>
        <v>35</v>
      </c>
      <c r="C25" s="206">
        <v>10</v>
      </c>
      <c r="D25" s="194">
        <f t="shared" si="2"/>
        <v>350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2">
        <f ca="1">T23-T24</f>
        <v>-15554.616927140949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25</v>
      </c>
      <c r="B26" s="193">
        <f>'Données projet'!D39</f>
        <v>35</v>
      </c>
      <c r="C26" s="206">
        <v>20</v>
      </c>
      <c r="D26" s="194">
        <f t="shared" si="2"/>
        <v>700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30</v>
      </c>
      <c r="B27" s="193">
        <f>'Données projet'!D40</f>
        <v>35</v>
      </c>
      <c r="C27" s="206">
        <v>20</v>
      </c>
      <c r="D27" s="194">
        <f t="shared" si="2"/>
        <v>700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35</v>
      </c>
      <c r="B28" s="193">
        <f>'Données projet'!D41</f>
        <v>35</v>
      </c>
      <c r="C28" s="206">
        <v>30</v>
      </c>
      <c r="D28" s="194">
        <f t="shared" si="2"/>
        <v>1050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40</v>
      </c>
      <c r="B29" s="193">
        <f>'Données projet'!D42</f>
        <v>35</v>
      </c>
      <c r="C29" s="206">
        <v>30</v>
      </c>
      <c r="D29" s="194">
        <f t="shared" si="2"/>
        <v>1050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45</v>
      </c>
      <c r="B30" s="193">
        <f>'Données projet'!D43</f>
        <v>24</v>
      </c>
      <c r="C30" s="206">
        <v>30</v>
      </c>
      <c r="D30" s="194">
        <f t="shared" si="2"/>
        <v>720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50</v>
      </c>
      <c r="B31" s="193">
        <f>'Données projet'!D44</f>
        <v>19</v>
      </c>
      <c r="C31" s="206">
        <v>40</v>
      </c>
      <c r="D31" s="194">
        <f t="shared" si="2"/>
        <v>760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55</v>
      </c>
      <c r="B32" s="193">
        <f>'Données projet'!D45</f>
        <v>16</v>
      </c>
      <c r="C32" s="206">
        <v>40</v>
      </c>
      <c r="D32" s="194">
        <f t="shared" si="2"/>
        <v>640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60</v>
      </c>
      <c r="B33" s="193">
        <f>'Données projet'!D46</f>
        <v>14</v>
      </c>
      <c r="C33" s="206">
        <v>50</v>
      </c>
      <c r="D33" s="194">
        <f t="shared" si="2"/>
        <v>700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65</v>
      </c>
      <c r="B34" s="193">
        <f>'Données projet'!D47</f>
        <v>13</v>
      </c>
      <c r="C34" s="206">
        <v>50</v>
      </c>
      <c r="D34" s="194">
        <f t="shared" si="2"/>
        <v>650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70</v>
      </c>
      <c r="B35" s="193">
        <f>'Données projet'!D48</f>
        <v>13</v>
      </c>
      <c r="C35" s="206">
        <v>60</v>
      </c>
      <c r="D35" s="194">
        <f t="shared" si="2"/>
        <v>780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75</v>
      </c>
      <c r="B36" s="193">
        <f>'Données projet'!D49</f>
        <v>12</v>
      </c>
      <c r="C36" s="206">
        <v>60</v>
      </c>
      <c r="D36" s="194">
        <f t="shared" si="2"/>
        <v>720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80</v>
      </c>
      <c r="B37" s="193">
        <f>'Données projet'!D50</f>
        <v>11</v>
      </c>
      <c r="C37" s="206">
        <v>70</v>
      </c>
      <c r="D37" s="194">
        <f t="shared" si="2"/>
        <v>770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Châtaignier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10</v>
      </c>
      <c r="B54" s="193">
        <f>'Données projet'!D62</f>
        <v>7</v>
      </c>
      <c r="C54" s="204">
        <v>0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15</v>
      </c>
      <c r="B55" s="193">
        <f>'Données projet'!D63</f>
        <v>42</v>
      </c>
      <c r="C55" s="204">
        <v>10</v>
      </c>
      <c r="D55" s="191">
        <f t="shared" ref="D55:D73" si="4">B55*C55</f>
        <v>420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20</v>
      </c>
      <c r="B56" s="193">
        <f>'Données projet'!D64</f>
        <v>42</v>
      </c>
      <c r="C56" s="204">
        <v>10</v>
      </c>
      <c r="D56" s="191">
        <f t="shared" si="4"/>
        <v>420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25</v>
      </c>
      <c r="B57" s="193">
        <f>'Données projet'!D65</f>
        <v>42</v>
      </c>
      <c r="C57" s="204">
        <v>20</v>
      </c>
      <c r="D57" s="191">
        <f t="shared" si="4"/>
        <v>840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30</v>
      </c>
      <c r="B58" s="193">
        <f>'Données projet'!D66</f>
        <v>42</v>
      </c>
      <c r="C58" s="204">
        <v>20</v>
      </c>
      <c r="D58" s="191">
        <f t="shared" si="4"/>
        <v>840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35</v>
      </c>
      <c r="B59" s="193">
        <f>'Données projet'!D67</f>
        <v>42</v>
      </c>
      <c r="C59" s="204">
        <v>30</v>
      </c>
      <c r="D59" s="191">
        <f t="shared" si="4"/>
        <v>1260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40</v>
      </c>
      <c r="B60" s="193">
        <f>'Données projet'!D68</f>
        <v>40</v>
      </c>
      <c r="C60" s="204">
        <v>30</v>
      </c>
      <c r="D60" s="191">
        <f t="shared" si="4"/>
        <v>1200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45</v>
      </c>
      <c r="B61" s="193">
        <f>'Données projet'!D69</f>
        <v>26</v>
      </c>
      <c r="C61" s="204">
        <v>30</v>
      </c>
      <c r="D61" s="191">
        <f t="shared" si="4"/>
        <v>780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50</v>
      </c>
      <c r="B62" s="193">
        <f>'Données projet'!D70</f>
        <v>21</v>
      </c>
      <c r="C62" s="204">
        <v>40</v>
      </c>
      <c r="D62" s="191">
        <f t="shared" si="4"/>
        <v>840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55</v>
      </c>
      <c r="B63" s="193">
        <f>'Données projet'!D71</f>
        <v>18</v>
      </c>
      <c r="C63" s="204">
        <v>40</v>
      </c>
      <c r="D63" s="191">
        <f t="shared" si="4"/>
        <v>720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60</v>
      </c>
      <c r="B64" s="193">
        <f>'Données projet'!D72</f>
        <v>17</v>
      </c>
      <c r="C64" s="204">
        <v>50</v>
      </c>
      <c r="D64" s="191">
        <f t="shared" si="4"/>
        <v>850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65</v>
      </c>
      <c r="B65" s="193">
        <f>'Données projet'!D73</f>
        <v>16</v>
      </c>
      <c r="C65" s="204">
        <v>50</v>
      </c>
      <c r="D65" s="191">
        <f t="shared" si="4"/>
        <v>800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70</v>
      </c>
      <c r="B66" s="193">
        <f>'Données projet'!D74</f>
        <v>15</v>
      </c>
      <c r="C66" s="204">
        <v>60</v>
      </c>
      <c r="D66" s="191">
        <f t="shared" si="4"/>
        <v>900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75</v>
      </c>
      <c r="B67" s="193">
        <f>'Données projet'!D75</f>
        <v>14</v>
      </c>
      <c r="C67" s="204">
        <v>60</v>
      </c>
      <c r="D67" s="191">
        <f t="shared" si="4"/>
        <v>840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80</v>
      </c>
      <c r="B68" s="193">
        <f>'Données projet'!D76</f>
        <v>13</v>
      </c>
      <c r="C68" s="204">
        <v>70</v>
      </c>
      <c r="D68" s="191">
        <f t="shared" si="4"/>
        <v>910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Chêne rouge d'Amérique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15</v>
      </c>
      <c r="B85" s="193">
        <f>'Données projet'!D88</f>
        <v>34</v>
      </c>
      <c r="C85" s="204">
        <v>10</v>
      </c>
      <c r="D85" s="191">
        <f>B85*C85</f>
        <v>340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20</v>
      </c>
      <c r="B86" s="193">
        <f>'Données projet'!D89</f>
        <v>50</v>
      </c>
      <c r="C86" s="204">
        <v>20</v>
      </c>
      <c r="D86" s="191">
        <f t="shared" ref="D86:D104" si="6">B86*C86</f>
        <v>1000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25</v>
      </c>
      <c r="B87" s="193">
        <f>'Données projet'!D90</f>
        <v>52</v>
      </c>
      <c r="C87" s="204">
        <v>30</v>
      </c>
      <c r="D87" s="191">
        <f t="shared" si="6"/>
        <v>1560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30</v>
      </c>
      <c r="B88" s="193">
        <f>'Données projet'!D91</f>
        <v>51</v>
      </c>
      <c r="C88" s="204">
        <v>40</v>
      </c>
      <c r="D88" s="191">
        <f t="shared" si="6"/>
        <v>2040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35</v>
      </c>
      <c r="B89" s="193">
        <f>'Données projet'!D92</f>
        <v>49</v>
      </c>
      <c r="C89" s="204">
        <v>50</v>
      </c>
      <c r="D89" s="191">
        <f t="shared" si="6"/>
        <v>2450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str">
        <f>IF(O88+1&lt;=MIN('Données projet'!$E$9:$E$18),O88+1,"STOP")</f>
        <v>STOP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40</v>
      </c>
      <c r="B90" s="193">
        <f>'Données projet'!D93</f>
        <v>45</v>
      </c>
      <c r="C90" s="204">
        <v>60</v>
      </c>
      <c r="D90" s="191">
        <f t="shared" si="6"/>
        <v>2700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45</v>
      </c>
      <c r="B91" s="193">
        <f>'Données projet'!D94</f>
        <v>41</v>
      </c>
      <c r="C91" s="204">
        <v>70</v>
      </c>
      <c r="D91" s="191">
        <f t="shared" si="6"/>
        <v>2870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50</v>
      </c>
      <c r="B92" s="193">
        <f>'Données projet'!D95</f>
        <v>37</v>
      </c>
      <c r="C92" s="204">
        <v>80</v>
      </c>
      <c r="D92" s="191">
        <f t="shared" si="6"/>
        <v>2960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55</v>
      </c>
      <c r="B93" s="193">
        <f>'Données projet'!D96</f>
        <v>258</v>
      </c>
      <c r="C93" s="204">
        <v>150</v>
      </c>
      <c r="D93" s="191">
        <f t="shared" si="6"/>
        <v>38700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NEVEU Tancrede</cp:lastModifiedBy>
  <dcterms:created xsi:type="dcterms:W3CDTF">2021-02-01T08:22:39Z</dcterms:created>
  <dcterms:modified xsi:type="dcterms:W3CDTF">2024-07-18T16:12:11Z</dcterms:modified>
</cp:coreProperties>
</file>