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SAINT-VICTOR D'EPINE (27) - SCI SAINT VICTOR-SWC A6\Dossier déposé 28032024\"/>
    </mc:Choice>
  </mc:AlternateContent>
  <xr:revisionPtr revIDLastSave="0" documentId="13_ncr:1_{2B015E51-0AEF-4628-8DC8-66EDD4CE207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A155" i="2"/>
  <c r="ED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DH156" i="2"/>
  <c r="EX156" i="2"/>
  <c r="EB156" i="2"/>
  <c r="ED155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EY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HG161" i="2"/>
  <c r="EX161" i="2"/>
  <c r="EB161" i="2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X164" i="2"/>
  <c r="DI163" i="2"/>
  <c r="EA164" i="2"/>
  <c r="ED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Y166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D174" i="2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W185" i="2"/>
  <c r="EA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Y189" i="2" s="1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CN193" i="2"/>
  <c r="ED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I202" i="2" l="1"/>
  <c r="FS202" i="2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83" i="2" l="1" a="1"/>
  <c r="BC83" i="2" s="1"/>
  <c r="BC143" i="2" a="1"/>
  <c r="BC143" i="2" s="1"/>
  <c r="BC7" i="2" a="1"/>
  <c r="BC7" i="2" s="1"/>
  <c r="BC151" i="2" a="1"/>
  <c r="BC151" i="2" s="1"/>
  <c r="BC65" i="2" a="1"/>
  <c r="BC65" i="2" s="1"/>
  <c r="BC130" i="2" a="1"/>
  <c r="BC130" i="2" s="1"/>
  <c r="BC192" i="2" a="1"/>
  <c r="BC192" i="2" s="1"/>
  <c r="BC55" i="2" a="1"/>
  <c r="BC55" i="2" s="1"/>
  <c r="BC117" i="2" a="1"/>
  <c r="BC117" i="2" s="1"/>
  <c r="FS203" i="2"/>
  <c r="BC181" i="2" a="1"/>
  <c r="BC181" i="2" s="1"/>
  <c r="BC114" i="2" a="1"/>
  <c r="BC114" i="2" s="1"/>
  <c r="BC47" i="2" a="1"/>
  <c r="BC47" i="2" s="1"/>
  <c r="BC18" i="2" a="1"/>
  <c r="BC18" i="2" s="1"/>
  <c r="BC38" i="2" a="1"/>
  <c r="BC38" i="2" s="1"/>
  <c r="EI153" i="2" a="1"/>
  <c r="EI153" i="2" s="1"/>
  <c r="BC126" i="2" a="1"/>
  <c r="BC126" i="2" s="1"/>
  <c r="BC185" i="2" a="1"/>
  <c r="BC185" i="2" s="1"/>
  <c r="BC82" i="2" a="1"/>
  <c r="BC82" i="2" s="1"/>
  <c r="BC68" i="2" a="1"/>
  <c r="BC68" i="2" s="1"/>
  <c r="BC84" i="2" a="1"/>
  <c r="BC84" i="2" s="1"/>
  <c r="BC32" i="2" a="1"/>
  <c r="BC32" i="2" s="1"/>
  <c r="BC31" i="2" a="1"/>
  <c r="BC31" i="2" s="1"/>
  <c r="BC58" i="2" a="1"/>
  <c r="BC58" i="2" s="1"/>
  <c r="BC164" i="2" a="1"/>
  <c r="BC164" i="2" s="1"/>
  <c r="AH199" i="2" a="1"/>
  <c r="AH199" i="2" s="1"/>
  <c r="AH19" i="2" a="1"/>
  <c r="AH19" i="2" s="1"/>
  <c r="BX107" i="2" a="1"/>
  <c r="BX107" i="2" s="1"/>
  <c r="CS116" i="2" a="1"/>
  <c r="CS116" i="2" s="1"/>
  <c r="CS161" i="2" a="1"/>
  <c r="CS161" i="2" s="1"/>
  <c r="CS114" i="2" a="1"/>
  <c r="CS114" i="2" s="1"/>
  <c r="CS56" i="2" a="1"/>
  <c r="CS56" i="2" s="1"/>
  <c r="CS120" i="2" a="1"/>
  <c r="CS120" i="2" s="1"/>
  <c r="CS72" i="2" a="1"/>
  <c r="CS72" i="2" s="1"/>
  <c r="CS185" i="2" a="1"/>
  <c r="CS185" i="2" s="1"/>
  <c r="CS24" i="2" a="1"/>
  <c r="CS24" i="2" s="1"/>
  <c r="CS77" i="2" a="1"/>
  <c r="CS77" i="2" s="1"/>
  <c r="CS134" i="2" a="1"/>
  <c r="CS134" i="2" s="1"/>
  <c r="CS129" i="2" a="1"/>
  <c r="CS129" i="2" s="1"/>
  <c r="CS52" i="2" a="1"/>
  <c r="CS52" i="2" s="1"/>
  <c r="CS137" i="2" a="1"/>
  <c r="CS137" i="2" s="1"/>
  <c r="CS66" i="2" a="1"/>
  <c r="CS66" i="2" s="1"/>
  <c r="BC34" i="2" a="1"/>
  <c r="BC34" i="2" s="1"/>
  <c r="AH151" i="2" a="1"/>
  <c r="AH151" i="2" s="1"/>
  <c r="AH62" i="2" a="1"/>
  <c r="AH62" i="2" s="1"/>
  <c r="AH163" i="2" a="1"/>
  <c r="AH163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<sst xmlns="http://schemas.openxmlformats.org/spreadsheetml/2006/main" count="1175" uniqueCount="324">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</sst>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2.0624912291627764</c:v>
                </c:pt>
                <c:pt idx="2">
                  <c:v>2.9945430481859217</c:v>
                </c:pt>
                <c:pt idx="3">
                  <c:v>4.3496872758658158</c:v>
                </c:pt>
                <c:pt idx="4">
                  <c:v>6.320788555997809</c:v>
                </c:pt>
                <c:pt idx="5">
                  <c:v>9.1889709365564034</c:v>
                </c:pt>
                <c:pt idx="6">
                  <c:v>13.364152517582584</c:v>
                </c:pt>
                <c:pt idx="7">
                  <c:v>19.444257450131246</c:v>
                </c:pt>
                <c:pt idx="8">
                  <c:v>28.301736999378914</c:v>
                </c:pt>
                <c:pt idx="9">
                  <c:v>41.210031255524335</c:v>
                </c:pt>
                <c:pt idx="10">
                  <c:v>60.028460935167708</c:v>
                </c:pt>
                <c:pt idx="11">
                  <c:v>65.856755599682018</c:v>
                </c:pt>
                <c:pt idx="12">
                  <c:v>83.748638090882295</c:v>
                </c:pt>
                <c:pt idx="13">
                  <c:v>101.54363811496934</c:v>
                </c:pt>
                <c:pt idx="14">
                  <c:v>119.26121337444526</c:v>
                </c:pt>
                <c:pt idx="15">
                  <c:v>136.9145198877824</c:v>
                </c:pt>
                <c:pt idx="16">
                  <c:v>119.73912556974642</c:v>
                </c:pt>
                <c:pt idx="17">
                  <c:v>138.34335910198348</c:v>
                </c:pt>
                <c:pt idx="18">
                  <c:v>156.88740899092929</c:v>
                </c:pt>
                <c:pt idx="19">
                  <c:v>175.37939831841334</c:v>
                </c:pt>
                <c:pt idx="20">
                  <c:v>193.82559249840713</c:v>
                </c:pt>
                <c:pt idx="21">
                  <c:v>169.93164565483679</c:v>
                </c:pt>
                <c:pt idx="22">
                  <c:v>186.26311995847519</c:v>
                </c:pt>
                <c:pt idx="23">
                  <c:v>202.56116919355532</c:v>
                </c:pt>
                <c:pt idx="24">
                  <c:v>218.82886210158497</c:v>
                </c:pt>
                <c:pt idx="25">
                  <c:v>235.0687734575271</c:v>
                </c:pt>
                <c:pt idx="26">
                  <c:v>210.8165194357947</c:v>
                </c:pt>
                <c:pt idx="27">
                  <c:v>224.24513753374686</c:v>
                </c:pt>
                <c:pt idx="28">
                  <c:v>237.65532761500836</c:v>
                </c:pt>
                <c:pt idx="29">
                  <c:v>251.0482763599305</c:v>
                </c:pt>
                <c:pt idx="30">
                  <c:v>264.42503341914335</c:v>
                </c:pt>
                <c:pt idx="31">
                  <c:v>242.8265187332286</c:v>
                </c:pt>
                <c:pt idx="32">
                  <c:v>252.92667016047722</c:v>
                </c:pt>
                <c:pt idx="33">
                  <c:v>263.01768756325686</c:v>
                </c:pt>
                <c:pt idx="34">
                  <c:v>273.09997104096175</c:v>
                </c:pt>
                <c:pt idx="35">
                  <c:v>283.17388871622381</c:v>
                </c:pt>
                <c:pt idx="36">
                  <c:v>266.06672343826102</c:v>
                </c:pt>
                <c:pt idx="37">
                  <c:v>273.56870812584953</c:v>
                </c:pt>
                <c:pt idx="38">
                  <c:v>281.06606938968815</c:v>
                </c:pt>
                <c:pt idx="39">
                  <c:v>288.55894809233223</c:v>
                </c:pt>
                <c:pt idx="40">
                  <c:v>296.04747717569848</c:v>
                </c:pt>
                <c:pt idx="41">
                  <c:v>282.70551490450038</c:v>
                </c:pt>
                <c:pt idx="42">
                  <c:v>288.09077194522132</c:v>
                </c:pt>
                <c:pt idx="43">
                  <c:v>293.47377793906503</c:v>
                </c:pt>
                <c:pt idx="44">
                  <c:v>298.85458006272216</c:v>
                </c:pt>
                <c:pt idx="45">
                  <c:v>304.23322365298316</c:v>
                </c:pt>
                <c:pt idx="46">
                  <c:v>294.17574569077777</c:v>
                </c:pt>
                <c:pt idx="47">
                  <c:v>298.15285967061317</c:v>
                </c:pt>
                <c:pt idx="48">
                  <c:v>302.12879127431222</c:v>
                </c:pt>
                <c:pt idx="49">
                  <c:v>306.10355828446768</c:v>
                </c:pt>
                <c:pt idx="50">
                  <c:v>310.07717798339257</c:v>
                </c:pt>
                <c:pt idx="51">
                  <c:v>9.8459716521636505E-13</c:v>
                </c:pt>
                <c:pt idx="52">
                  <c:v>9.8459716521636505E-13</c:v>
                </c:pt>
                <c:pt idx="53">
                  <c:v>9.8459716521636505E-13</c:v>
                </c:pt>
                <c:pt idx="54">
                  <c:v>9.8459716521636505E-13</c:v>
                </c:pt>
                <c:pt idx="55">
                  <c:v>9.8459716521636505E-13</c:v>
                </c:pt>
                <c:pt idx="56">
                  <c:v>9.8459716521636505E-13</c:v>
                </c:pt>
                <c:pt idx="57">
                  <c:v>9.8459716521636505E-13</c:v>
                </c:pt>
                <c:pt idx="58">
                  <c:v>9.8459716521636505E-13</c:v>
                </c:pt>
                <c:pt idx="59">
                  <c:v>9.8459716521636505E-13</c:v>
                </c:pt>
                <c:pt idx="60">
                  <c:v>9.8459716521636505E-13</c:v>
                </c:pt>
                <c:pt idx="61">
                  <c:v>9.8459716521636505E-13</c:v>
                </c:pt>
                <c:pt idx="62">
                  <c:v>9.8459716521636505E-13</c:v>
                </c:pt>
                <c:pt idx="63">
                  <c:v>9.8459716521636505E-13</c:v>
                </c:pt>
                <c:pt idx="64">
                  <c:v>9.8459716521636505E-13</c:v>
                </c:pt>
                <c:pt idx="65">
                  <c:v>9.8459716521636505E-13</c:v>
                </c:pt>
                <c:pt idx="66">
                  <c:v>9.8459716521636505E-13</c:v>
                </c:pt>
                <c:pt idx="67">
                  <c:v>9.8459716521636505E-13</c:v>
                </c:pt>
                <c:pt idx="68">
                  <c:v>9.8459716521636505E-13</c:v>
                </c:pt>
                <c:pt idx="69">
                  <c:v>9.8459716521636505E-13</c:v>
                </c:pt>
                <c:pt idx="70">
                  <c:v>9.8459716521636505E-13</c:v>
                </c:pt>
                <c:pt idx="71">
                  <c:v>9.8459716521636505E-13</c:v>
                </c:pt>
                <c:pt idx="72">
                  <c:v>9.8459716521636505E-13</c:v>
                </c:pt>
                <c:pt idx="73">
                  <c:v>9.8459716521636505E-13</c:v>
                </c:pt>
                <c:pt idx="74">
                  <c:v>9.8459716521636505E-13</c:v>
                </c:pt>
                <c:pt idx="75">
                  <c:v>9.8459716521636505E-13</c:v>
                </c:pt>
                <c:pt idx="76">
                  <c:v>9.8459716521636505E-13</c:v>
                </c:pt>
                <c:pt idx="77">
                  <c:v>9.8459716521636505E-13</c:v>
                </c:pt>
                <c:pt idx="78">
                  <c:v>9.8459716521636505E-13</c:v>
                </c:pt>
                <c:pt idx="79">
                  <c:v>9.8459716521636505E-13</c:v>
                </c:pt>
                <c:pt idx="80">
                  <c:v>9.8459716521636505E-13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47.018549415760241</c:v>
                </c:pt>
                <c:pt idx="12">
                  <c:v>72.819412853406718</c:v>
                </c:pt>
                <c:pt idx="13">
                  <c:v>98.382385232551442</c:v>
                </c:pt>
                <c:pt idx="14">
                  <c:v>123.77905784317947</c:v>
                </c:pt>
                <c:pt idx="15">
                  <c:v>149.0486227432686</c:v>
                </c:pt>
                <c:pt idx="16">
                  <c:v>121.2135337586074</c:v>
                </c:pt>
                <c:pt idx="17">
                  <c:v>160.52873780727217</c:v>
                </c:pt>
                <c:pt idx="18">
                  <c:v>199.61433013638177</c:v>
                </c:pt>
                <c:pt idx="19">
                  <c:v>238.52184729375207</c:v>
                </c:pt>
                <c:pt idx="20">
                  <c:v>277.28448730625303</c:v>
                </c:pt>
                <c:pt idx="21">
                  <c:v>250.82687328804488</c:v>
                </c:pt>
                <c:pt idx="22">
                  <c:v>290.4916672508881</c:v>
                </c:pt>
                <c:pt idx="23">
                  <c:v>330.03533047043965</c:v>
                </c:pt>
                <c:pt idx="24">
                  <c:v>369.47440867571919</c:v>
                </c:pt>
                <c:pt idx="25">
                  <c:v>408.82162307769659</c:v>
                </c:pt>
                <c:pt idx="26">
                  <c:v>381.9750163229524</c:v>
                </c:pt>
                <c:pt idx="27">
                  <c:v>420.67178503971542</c:v>
                </c:pt>
                <c:pt idx="28">
                  <c:v>459.29189612945765</c:v>
                </c:pt>
                <c:pt idx="29">
                  <c:v>497.84269099902531</c:v>
                </c:pt>
                <c:pt idx="30">
                  <c:v>536.33028230526634</c:v>
                </c:pt>
                <c:pt idx="31">
                  <c:v>507.78080123832484</c:v>
                </c:pt>
                <c:pt idx="32">
                  <c:v>544.39274292303924</c:v>
                </c:pt>
                <c:pt idx="33">
                  <c:v>580.95302152081194</c:v>
                </c:pt>
                <c:pt idx="34">
                  <c:v>617.46533937261358</c:v>
                </c:pt>
                <c:pt idx="35">
                  <c:v>653.93292590911062</c:v>
                </c:pt>
                <c:pt idx="36">
                  <c:v>622.41265158590397</c:v>
                </c:pt>
                <c:pt idx="37">
                  <c:v>655.78606828503825</c:v>
                </c:pt>
                <c:pt idx="38">
                  <c:v>689.12451036530547</c:v>
                </c:pt>
                <c:pt idx="39">
                  <c:v>722.4299047179835</c:v>
                </c:pt>
                <c:pt idx="40">
                  <c:v>755.70398638076642</c:v>
                </c:pt>
                <c:pt idx="41">
                  <c:v>723.97105006359288</c:v>
                </c:pt>
                <c:pt idx="42">
                  <c:v>753.85622038809424</c:v>
                </c:pt>
                <c:pt idx="43">
                  <c:v>783.71733289708129</c:v>
                </c:pt>
                <c:pt idx="44">
                  <c:v>813.55543162241747</c:v>
                </c:pt>
                <c:pt idx="45">
                  <c:v>843.37147790032338</c:v>
                </c:pt>
                <c:pt idx="46">
                  <c:v>826.46812566691642</c:v>
                </c:pt>
                <c:pt idx="47">
                  <c:v>849.5164565411493</c:v>
                </c:pt>
                <c:pt idx="48">
                  <c:v>872.55224031999614</c:v>
                </c:pt>
                <c:pt idx="49">
                  <c:v>895.57585440568471</c:v>
                </c:pt>
                <c:pt idx="50">
                  <c:v>918.58765524270802</c:v>
                </c:pt>
                <c:pt idx="51">
                  <c:v>905.70248180090823</c:v>
                </c:pt>
                <c:pt idx="52">
                  <c:v>925.02888890897827</c:v>
                </c:pt>
                <c:pt idx="53">
                  <c:v>944.34726310686267</c:v>
                </c:pt>
                <c:pt idx="54">
                  <c:v>963.65779164622188</c:v>
                </c:pt>
                <c:pt idx="55">
                  <c:v>982.9606536726501</c:v>
                </c:pt>
                <c:pt idx="56">
                  <c:v>972.2377775515339</c:v>
                </c:pt>
                <c:pt idx="57">
                  <c:v>989.08697106582531</c:v>
                </c:pt>
                <c:pt idx="58">
                  <c:v>1005.930492699439</c:v>
                </c:pt>
                <c:pt idx="59">
                  <c:v>1022.7684506802146</c:v>
                </c:pt>
                <c:pt idx="60">
                  <c:v>1039.6009493866386</c:v>
                </c:pt>
                <c:pt idx="61">
                  <c:v>1027.9718011684006</c:v>
                </c:pt>
                <c:pt idx="62">
                  <c:v>1042.3548454739253</c:v>
                </c:pt>
                <c:pt idx="63">
                  <c:v>1056.7339885600179</c:v>
                </c:pt>
                <c:pt idx="64">
                  <c:v>1071.1092909258921</c:v>
                </c:pt>
                <c:pt idx="65">
                  <c:v>1085.4808113164818</c:v>
                </c:pt>
                <c:pt idx="66">
                  <c:v>1073.8615751797745</c:v>
                </c:pt>
                <c:pt idx="67">
                  <c:v>1086.7037466464953</c:v>
                </c:pt>
                <c:pt idx="68">
                  <c:v>1099.5429474201762</c:v>
                </c:pt>
                <c:pt idx="69">
                  <c:v>1112.3792170356678</c:v>
                </c:pt>
                <c:pt idx="70">
                  <c:v>1125.2125940421261</c:v>
                </c:pt>
                <c:pt idx="71">
                  <c:v>1114.2127328194563</c:v>
                </c:pt>
                <c:pt idx="72">
                  <c:v>1126.1291541408468</c:v>
                </c:pt>
                <c:pt idx="73">
                  <c:v>1138.0431160387755</c:v>
                </c:pt>
                <c:pt idx="74">
                  <c:v>1149.9546478578516</c:v>
                </c:pt>
                <c:pt idx="75">
                  <c:v>1161.8637782859496</c:v>
                </c:pt>
                <c:pt idx="76">
                  <c:v>1151.1762071706803</c:v>
                </c:pt>
                <c:pt idx="77">
                  <c:v>1161.8637782859496</c:v>
                </c:pt>
                <c:pt idx="78">
                  <c:v>1172.5494379433878</c:v>
                </c:pt>
                <c:pt idx="79">
                  <c:v>1183.2332059967234</c:v>
                </c:pt>
                <c:pt idx="80">
                  <c:v>1193.9151019123562</c:v>
                </c:pt>
                <c:pt idx="81">
                  <c:v>1174.0758058767628</c:v>
                </c:pt>
                <c:pt idx="82">
                  <c:v>1174.0758058767628</c:v>
                </c:pt>
                <c:pt idx="83">
                  <c:v>1174.0758058767628</c:v>
                </c:pt>
                <c:pt idx="84">
                  <c:v>1174.0758058767628</c:v>
                </c:pt>
                <c:pt idx="85">
                  <c:v>1174.0758058767628</c:v>
                </c:pt>
                <c:pt idx="86">
                  <c:v>1174.0758058767628</c:v>
                </c:pt>
                <c:pt idx="87">
                  <c:v>1174.0758058767628</c:v>
                </c:pt>
                <c:pt idx="88">
                  <c:v>1174.0758058767628</c:v>
                </c:pt>
                <c:pt idx="89">
                  <c:v>1174.0758058767628</c:v>
                </c:pt>
                <c:pt idx="90">
                  <c:v>1174.0758058767628</c:v>
                </c:pt>
                <c:pt idx="91">
                  <c:v>1174.0758058767628</c:v>
                </c:pt>
                <c:pt idx="92">
                  <c:v>1174.0758058767628</c:v>
                </c:pt>
                <c:pt idx="93">
                  <c:v>1174.0758058767628</c:v>
                </c:pt>
                <c:pt idx="94">
                  <c:v>1174.0758058767628</c:v>
                </c:pt>
                <c:pt idx="95">
                  <c:v>1174.0758058767628</c:v>
                </c:pt>
                <c:pt idx="96">
                  <c:v>1174.0758058767628</c:v>
                </c:pt>
                <c:pt idx="97">
                  <c:v>1174.0758058767628</c:v>
                </c:pt>
                <c:pt idx="98">
                  <c:v>1174.0758058767628</c:v>
                </c:pt>
                <c:pt idx="99">
                  <c:v>1174.0758058767628</c:v>
                </c:pt>
                <c:pt idx="100">
                  <c:v>1174.0758058767628</c:v>
                </c:pt>
                <c:pt idx="101">
                  <c:v>1174.0758058767628</c:v>
                </c:pt>
                <c:pt idx="102">
                  <c:v>1174.0758058767628</c:v>
                </c:pt>
                <c:pt idx="103">
                  <c:v>1174.0758058767628</c:v>
                </c:pt>
                <c:pt idx="104">
                  <c:v>1174.0758058767628</c:v>
                </c:pt>
                <c:pt idx="105">
                  <c:v>1174.0758058767628</c:v>
                </c:pt>
                <c:pt idx="106">
                  <c:v>1174.0758058767628</c:v>
                </c:pt>
                <c:pt idx="107">
                  <c:v>1174.0758058767628</c:v>
                </c:pt>
                <c:pt idx="108">
                  <c:v>1174.0758058767628</c:v>
                </c:pt>
                <c:pt idx="109">
                  <c:v>1174.0758058767628</c:v>
                </c:pt>
                <c:pt idx="110">
                  <c:v>1174.0758058767628</c:v>
                </c:pt>
                <c:pt idx="111">
                  <c:v>1174.0758058767628</c:v>
                </c:pt>
                <c:pt idx="112">
                  <c:v>1174.0758058767628</c:v>
                </c:pt>
                <c:pt idx="113">
                  <c:v>1174.0758058767628</c:v>
                </c:pt>
                <c:pt idx="114">
                  <c:v>1174.0758058767628</c:v>
                </c:pt>
                <c:pt idx="115">
                  <c:v>1174.0758058767628</c:v>
                </c:pt>
                <c:pt idx="116">
                  <c:v>1174.0758058767628</c:v>
                </c:pt>
                <c:pt idx="117">
                  <c:v>1174.0758058767628</c:v>
                </c:pt>
                <c:pt idx="118">
                  <c:v>1174.0758058767628</c:v>
                </c:pt>
                <c:pt idx="119">
                  <c:v>1174.0758058767628</c:v>
                </c:pt>
                <c:pt idx="120">
                  <c:v>1174.0758058767628</c:v>
                </c:pt>
                <c:pt idx="121">
                  <c:v>1174.0758058767628</c:v>
                </c:pt>
                <c:pt idx="122">
                  <c:v>1174.0758058767628</c:v>
                </c:pt>
                <c:pt idx="123">
                  <c:v>1174.0758058767628</c:v>
                </c:pt>
                <c:pt idx="124">
                  <c:v>1174.0758058767628</c:v>
                </c:pt>
                <c:pt idx="125">
                  <c:v>1174.0758058767628</c:v>
                </c:pt>
                <c:pt idx="126">
                  <c:v>1174.0758058767628</c:v>
                </c:pt>
                <c:pt idx="127">
                  <c:v>1174.0758058767628</c:v>
                </c:pt>
                <c:pt idx="128">
                  <c:v>1174.0758058767628</c:v>
                </c:pt>
                <c:pt idx="129">
                  <c:v>1174.0758058767628</c:v>
                </c:pt>
                <c:pt idx="130">
                  <c:v>1174.0758058767628</c:v>
                </c:pt>
                <c:pt idx="131">
                  <c:v>1174.0758058767628</c:v>
                </c:pt>
                <c:pt idx="132">
                  <c:v>1174.0758058767628</c:v>
                </c:pt>
                <c:pt idx="133">
                  <c:v>1174.0758058767628</c:v>
                </c:pt>
                <c:pt idx="134">
                  <c:v>1174.0758058767628</c:v>
                </c:pt>
                <c:pt idx="135">
                  <c:v>1174.0758058767628</c:v>
                </c:pt>
                <c:pt idx="136">
                  <c:v>1174.0758058767628</c:v>
                </c:pt>
                <c:pt idx="137">
                  <c:v>1174.0758058767628</c:v>
                </c:pt>
                <c:pt idx="138">
                  <c:v>1174.0758058767628</c:v>
                </c:pt>
                <c:pt idx="139">
                  <c:v>1174.0758058767628</c:v>
                </c:pt>
                <c:pt idx="140">
                  <c:v>1174.0758058767628</c:v>
                </c:pt>
                <c:pt idx="141">
                  <c:v>1174.0758058767628</c:v>
                </c:pt>
                <c:pt idx="142">
                  <c:v>1174.0758058767628</c:v>
                </c:pt>
                <c:pt idx="143">
                  <c:v>1174.0758058767628</c:v>
                </c:pt>
                <c:pt idx="144">
                  <c:v>1174.0758058767628</c:v>
                </c:pt>
                <c:pt idx="145">
                  <c:v>1174.0758058767628</c:v>
                </c:pt>
                <c:pt idx="146">
                  <c:v>1174.0758058767628</c:v>
                </c:pt>
                <c:pt idx="147">
                  <c:v>1174.0758058767628</c:v>
                </c:pt>
                <c:pt idx="148">
                  <c:v>1174.0758058767628</c:v>
                </c:pt>
                <c:pt idx="149">
                  <c:v>1174.0758058767628</c:v>
                </c:pt>
                <c:pt idx="150">
                  <c:v>1174.0758058767628</c:v>
                </c:pt>
                <c:pt idx="151">
                  <c:v>1174.0758058767628</c:v>
                </c:pt>
                <c:pt idx="152">
                  <c:v>1174.0758058767628</c:v>
                </c:pt>
                <c:pt idx="153">
                  <c:v>1174.0758058767628</c:v>
                </c:pt>
                <c:pt idx="154">
                  <c:v>1174.0758058767628</c:v>
                </c:pt>
                <c:pt idx="155">
                  <c:v>1174.0758058767628</c:v>
                </c:pt>
                <c:pt idx="156">
                  <c:v>1174.0758058767628</c:v>
                </c:pt>
                <c:pt idx="157">
                  <c:v>1174.0758058767628</c:v>
                </c:pt>
                <c:pt idx="158">
                  <c:v>1174.0758058767628</c:v>
                </c:pt>
                <c:pt idx="159">
                  <c:v>1174.0758058767628</c:v>
                </c:pt>
                <c:pt idx="160">
                  <c:v>1174.0758058767628</c:v>
                </c:pt>
                <c:pt idx="161">
                  <c:v>1174.0758058767628</c:v>
                </c:pt>
                <c:pt idx="162">
                  <c:v>1174.0758058767628</c:v>
                </c:pt>
                <c:pt idx="163">
                  <c:v>1174.0758058767628</c:v>
                </c:pt>
                <c:pt idx="164">
                  <c:v>1174.0758058767628</c:v>
                </c:pt>
                <c:pt idx="165">
                  <c:v>1174.0758058767628</c:v>
                </c:pt>
                <c:pt idx="166">
                  <c:v>1174.0758058767628</c:v>
                </c:pt>
                <c:pt idx="167">
                  <c:v>1174.0758058767628</c:v>
                </c:pt>
                <c:pt idx="168">
                  <c:v>1174.0758058767628</c:v>
                </c:pt>
                <c:pt idx="169">
                  <c:v>1174.0758058767628</c:v>
                </c:pt>
                <c:pt idx="170">
                  <c:v>1174.0758058767628</c:v>
                </c:pt>
                <c:pt idx="171">
                  <c:v>1174.0758058767628</c:v>
                </c:pt>
                <c:pt idx="172">
                  <c:v>1174.0758058767628</c:v>
                </c:pt>
                <c:pt idx="173">
                  <c:v>1174.0758058767628</c:v>
                </c:pt>
                <c:pt idx="174">
                  <c:v>1174.0758058767628</c:v>
                </c:pt>
                <c:pt idx="175">
                  <c:v>1174.0758058767628</c:v>
                </c:pt>
                <c:pt idx="176">
                  <c:v>1174.0758058767628</c:v>
                </c:pt>
                <c:pt idx="177">
                  <c:v>1174.0758058767628</c:v>
                </c:pt>
                <c:pt idx="178">
                  <c:v>1174.0758058767628</c:v>
                </c:pt>
                <c:pt idx="179">
                  <c:v>1174.0758058767628</c:v>
                </c:pt>
                <c:pt idx="180">
                  <c:v>1174.0758058767628</c:v>
                </c:pt>
                <c:pt idx="181">
                  <c:v>1174.0758058767628</c:v>
                </c:pt>
                <c:pt idx="182">
                  <c:v>1174.0758058767628</c:v>
                </c:pt>
                <c:pt idx="183">
                  <c:v>1174.0758058767628</c:v>
                </c:pt>
                <c:pt idx="184">
                  <c:v>1174.0758058767628</c:v>
                </c:pt>
                <c:pt idx="185">
                  <c:v>1174.0758058767628</c:v>
                </c:pt>
                <c:pt idx="186">
                  <c:v>1174.0758058767628</c:v>
                </c:pt>
                <c:pt idx="187">
                  <c:v>1174.0758058767628</c:v>
                </c:pt>
                <c:pt idx="188">
                  <c:v>1174.0758058767628</c:v>
                </c:pt>
                <c:pt idx="189">
                  <c:v>1174.0758058767628</c:v>
                </c:pt>
                <c:pt idx="190">
                  <c:v>1174.0758058767628</c:v>
                </c:pt>
                <c:pt idx="191">
                  <c:v>1174.0758058767628</c:v>
                </c:pt>
                <c:pt idx="192">
                  <c:v>1174.0758058767628</c:v>
                </c:pt>
                <c:pt idx="193">
                  <c:v>1174.0758058767628</c:v>
                </c:pt>
                <c:pt idx="194">
                  <c:v>1174.0758058767628</c:v>
                </c:pt>
                <c:pt idx="195">
                  <c:v>1174.0758058767628</c:v>
                </c:pt>
                <c:pt idx="196">
                  <c:v>1174.0758058767628</c:v>
                </c:pt>
                <c:pt idx="197">
                  <c:v>1174.0758058767628</c:v>
                </c:pt>
                <c:pt idx="198">
                  <c:v>1174.0758058767628</c:v>
                </c:pt>
                <c:pt idx="199">
                  <c:v>1174.0758058767628</c:v>
                </c:pt>
                <c:pt idx="200">
                  <c:v>1174.0758058767628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2" sqref="E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3.77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0.1565</v>
      </c>
      <c r="D9" s="36">
        <f t="shared" ref="D9:D18" si="0">C9*$C$5</f>
        <v>0.590005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4.4999999999999998E-2</v>
      </c>
      <c r="D10" s="36">
        <f t="shared" si="0"/>
        <v>0.16965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0.379</v>
      </c>
      <c r="D11" s="36">
        <f t="shared" si="0"/>
        <v>1.42883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81</v>
      </c>
      <c r="C12" s="35">
        <v>0.16200000000000001</v>
      </c>
      <c r="D12" s="36">
        <f t="shared" si="0"/>
        <v>0.61074000000000006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13</v>
      </c>
      <c r="C13" s="35">
        <v>0.11799999999999999</v>
      </c>
      <c r="D13" s="36">
        <f t="shared" si="0"/>
        <v>0.44485999999999998</v>
      </c>
      <c r="E13" s="37">
        <v>55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</v>
      </c>
      <c r="C14" s="35">
        <v>0.11799999999999999</v>
      </c>
      <c r="D14" s="36">
        <f t="shared" si="0"/>
        <v>0.44485999999999998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1.7999999999999999E-2</v>
      </c>
      <c r="D15" s="36">
        <f t="shared" si="0"/>
        <v>6.785999999999999E-2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0.99650000000000005</v>
      </c>
      <c r="D19" s="41">
        <f>SUM(D9:D18)</f>
        <v>3.7568049999999995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>
        <v>0.3</v>
      </c>
      <c r="G63" s="54">
        <v>0.7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>
        <v>0.5</v>
      </c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154.44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8.1284210526315785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21</v>
      </c>
      <c r="B89" s="63">
        <v>195.15</v>
      </c>
      <c r="C89" s="63">
        <v>2</v>
      </c>
      <c r="D89" s="63">
        <v>64.58</v>
      </c>
      <c r="E89" s="54">
        <v>0.1</v>
      </c>
      <c r="F89" s="54">
        <v>0.4</v>
      </c>
      <c r="G89" s="54">
        <v>0.5</v>
      </c>
      <c r="H89" s="54">
        <v>0</v>
      </c>
      <c r="I89" s="56">
        <f t="shared" ref="I89:I107" si="3">IF(A89&lt;&gt;0,(B89-(B88-D88))/(A89-A88),"")</f>
        <v>20.355000000000004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28</v>
      </c>
      <c r="B90" s="63">
        <v>281.86</v>
      </c>
      <c r="C90" s="63">
        <v>3</v>
      </c>
      <c r="D90" s="53">
        <v>67.61</v>
      </c>
      <c r="E90" s="54">
        <v>0.4</v>
      </c>
      <c r="F90" s="54">
        <v>0.3</v>
      </c>
      <c r="G90" s="54">
        <v>0.3</v>
      </c>
      <c r="H90" s="54">
        <v>0</v>
      </c>
      <c r="I90" s="56">
        <f t="shared" si="3"/>
        <v>21.612857142857145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53">
        <v>377.12</v>
      </c>
      <c r="C91" s="63">
        <v>4</v>
      </c>
      <c r="D91" s="53">
        <v>86.68</v>
      </c>
      <c r="E91" s="54">
        <v>0.5</v>
      </c>
      <c r="F91" s="54">
        <v>0.3</v>
      </c>
      <c r="G91" s="54">
        <v>0.2</v>
      </c>
      <c r="H91" s="54">
        <v>0</v>
      </c>
      <c r="I91" s="56">
        <f t="shared" si="3"/>
        <v>23.267142857142858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42</v>
      </c>
      <c r="B92" s="53">
        <v>450.23</v>
      </c>
      <c r="C92" s="63">
        <v>5</v>
      </c>
      <c r="D92" s="53">
        <v>99.98</v>
      </c>
      <c r="E92" s="54"/>
      <c r="F92" s="54"/>
      <c r="G92" s="54"/>
      <c r="H92" s="54"/>
      <c r="I92" s="56">
        <f t="shared" si="3"/>
        <v>22.82714285714286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49</v>
      </c>
      <c r="B93" s="53">
        <v>503.83</v>
      </c>
      <c r="C93" s="63">
        <v>6</v>
      </c>
      <c r="D93" s="53">
        <v>112.61</v>
      </c>
      <c r="E93" s="93"/>
      <c r="F93" s="93"/>
      <c r="G93" s="93"/>
      <c r="H93" s="93"/>
      <c r="I93" s="56">
        <f t="shared" si="3"/>
        <v>21.939999999999998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56</v>
      </c>
      <c r="B94" s="53">
        <v>533.49</v>
      </c>
      <c r="C94" s="63">
        <v>7</v>
      </c>
      <c r="D94" s="53">
        <v>94.57</v>
      </c>
      <c r="E94" s="93"/>
      <c r="F94" s="93"/>
      <c r="G94" s="93"/>
      <c r="H94" s="93"/>
      <c r="I94" s="56">
        <f t="shared" si="3"/>
        <v>20.324285714285718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63</v>
      </c>
      <c r="B95" s="53">
        <v>569</v>
      </c>
      <c r="C95" s="63">
        <v>8</v>
      </c>
      <c r="D95" s="53">
        <v>99.49</v>
      </c>
      <c r="E95" s="54"/>
      <c r="F95" s="54"/>
      <c r="G95" s="54"/>
      <c r="H95" s="54"/>
      <c r="I95" s="56">
        <f t="shared" si="3"/>
        <v>18.58285714285714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69</v>
      </c>
      <c r="B96" s="53">
        <v>569.98</v>
      </c>
      <c r="C96" s="63">
        <v>9</v>
      </c>
      <c r="D96" s="53">
        <v>0</v>
      </c>
      <c r="E96" s="93"/>
      <c r="F96" s="93"/>
      <c r="G96" s="93"/>
      <c r="H96" s="93"/>
      <c r="I96" s="56">
        <f t="shared" si="3"/>
        <v>16.745000000000005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70</v>
      </c>
      <c r="B97" s="53">
        <v>586.05999999999995</v>
      </c>
      <c r="C97" s="63">
        <v>10</v>
      </c>
      <c r="D97" s="53">
        <v>586.05999999999995</v>
      </c>
      <c r="E97" s="93"/>
      <c r="F97" s="93"/>
      <c r="G97" s="93"/>
      <c r="H97" s="93"/>
      <c r="I97" s="56">
        <f t="shared" si="3"/>
        <v>16.079999999999927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53"/>
      <c r="C98" s="63"/>
      <c r="D98" s="5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53"/>
      <c r="C99" s="63"/>
      <c r="D99" s="5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53"/>
      <c r="C100" s="63"/>
      <c r="D100" s="5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53"/>
      <c r="C101" s="63"/>
      <c r="D101" s="5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Mélèze hybride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48</v>
      </c>
      <c r="C114" s="53">
        <v>1</v>
      </c>
      <c r="D114" s="63">
        <v>10</v>
      </c>
      <c r="E114" s="54"/>
      <c r="F114" s="54"/>
      <c r="G114" s="54"/>
      <c r="H114" s="54">
        <v>1</v>
      </c>
      <c r="I114" s="56">
        <f>IFERROR(B114/A114,"")</f>
        <v>4.8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112</v>
      </c>
      <c r="C115" s="53">
        <v>2</v>
      </c>
      <c r="D115" s="63">
        <v>30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160</v>
      </c>
      <c r="C116" s="53">
        <v>3</v>
      </c>
      <c r="D116" s="63">
        <v>34</v>
      </c>
      <c r="E116" s="54"/>
      <c r="F116" s="54"/>
      <c r="G116" s="54"/>
      <c r="H116" s="54">
        <v>1</v>
      </c>
      <c r="I116" s="56">
        <f t="shared" si="4"/>
        <v>15.6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195</v>
      </c>
      <c r="C117" s="53">
        <v>4</v>
      </c>
      <c r="D117" s="63">
        <v>32</v>
      </c>
      <c r="E117" s="54"/>
      <c r="F117" s="54"/>
      <c r="G117" s="54"/>
      <c r="H117" s="54">
        <v>1</v>
      </c>
      <c r="I117" s="56">
        <f t="shared" si="4"/>
        <v>13.8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220</v>
      </c>
      <c r="C118" s="53">
        <v>5</v>
      </c>
      <c r="D118" s="63">
        <v>27</v>
      </c>
      <c r="E118" s="54"/>
      <c r="F118" s="54">
        <v>0.5</v>
      </c>
      <c r="G118" s="54"/>
      <c r="H118" s="54">
        <v>0.5</v>
      </c>
      <c r="I118" s="56">
        <f t="shared" si="4"/>
        <v>11.4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236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247</v>
      </c>
      <c r="C120" s="63">
        <v>7</v>
      </c>
      <c r="D120" s="63">
        <v>16</v>
      </c>
      <c r="E120" s="93"/>
      <c r="F120" s="93"/>
      <c r="G120" s="93"/>
      <c r="H120" s="93"/>
      <c r="I120" s="56">
        <f t="shared" si="4"/>
        <v>6.4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254</v>
      </c>
      <c r="C121" s="63">
        <v>8</v>
      </c>
      <c r="D121" s="63">
        <v>12</v>
      </c>
      <c r="E121" s="93"/>
      <c r="F121" s="93"/>
      <c r="G121" s="93"/>
      <c r="H121" s="93"/>
      <c r="I121" s="56">
        <f t="shared" si="4"/>
        <v>4.5999999999999996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259</v>
      </c>
      <c r="C122" s="63">
        <v>9</v>
      </c>
      <c r="D122" s="63">
        <v>259</v>
      </c>
      <c r="E122" s="93"/>
      <c r="F122" s="93"/>
      <c r="G122" s="93"/>
      <c r="H122" s="93"/>
      <c r="I122" s="56">
        <f t="shared" si="4"/>
        <v>3.4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rouge d'Amérique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107</v>
      </c>
      <c r="C140" s="53">
        <v>1</v>
      </c>
      <c r="D140" s="63">
        <v>34</v>
      </c>
      <c r="E140" s="54"/>
      <c r="F140" s="54"/>
      <c r="G140" s="54"/>
      <c r="H140" s="54">
        <v>1</v>
      </c>
      <c r="I140" s="60">
        <f>IFERROR(B140/A140,"")</f>
        <v>7.1333333333333337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154</v>
      </c>
      <c r="C141" s="53">
        <v>2</v>
      </c>
      <c r="D141" s="63">
        <v>50</v>
      </c>
      <c r="E141" s="54"/>
      <c r="F141" s="54">
        <v>0.5</v>
      </c>
      <c r="G141" s="54">
        <v>0.5</v>
      </c>
      <c r="H141" s="54"/>
      <c r="I141" s="60">
        <f t="shared" ref="I141:I159" si="5">IF(A141&lt;&gt;0,(B141-(B140-D140))/(A141-A140),"")</f>
        <v>16.2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183</v>
      </c>
      <c r="C142" s="53">
        <v>3</v>
      </c>
      <c r="D142" s="63">
        <v>52</v>
      </c>
      <c r="E142" s="54"/>
      <c r="F142" s="54">
        <v>0.6</v>
      </c>
      <c r="G142" s="54">
        <v>0.4</v>
      </c>
      <c r="H142" s="54"/>
      <c r="I142" s="60">
        <f t="shared" si="5"/>
        <v>15.8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205</v>
      </c>
      <c r="C143" s="53">
        <v>4</v>
      </c>
      <c r="D143" s="63">
        <v>51</v>
      </c>
      <c r="E143" s="54"/>
      <c r="F143" s="54">
        <v>0.7</v>
      </c>
      <c r="G143" s="54">
        <v>0.3</v>
      </c>
      <c r="H143" s="54"/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222</v>
      </c>
      <c r="C144" s="53">
        <v>5</v>
      </c>
      <c r="D144" s="63">
        <v>49</v>
      </c>
      <c r="E144" s="54"/>
      <c r="F144" s="54"/>
      <c r="G144" s="54"/>
      <c r="H144" s="54"/>
      <c r="I144" s="60">
        <f t="shared" si="5"/>
        <v>13.6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235</v>
      </c>
      <c r="C145" s="53">
        <v>6</v>
      </c>
      <c r="D145" s="63">
        <v>45</v>
      </c>
      <c r="E145" s="54"/>
      <c r="F145" s="54"/>
      <c r="G145" s="54"/>
      <c r="H145" s="54"/>
      <c r="I145" s="60">
        <f t="shared" si="5"/>
        <v>12.4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245</v>
      </c>
      <c r="C146" s="53">
        <v>7</v>
      </c>
      <c r="D146" s="63">
        <v>41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252</v>
      </c>
      <c r="C147" s="53">
        <v>8</v>
      </c>
      <c r="D147" s="63">
        <v>37</v>
      </c>
      <c r="E147" s="54"/>
      <c r="F147" s="54"/>
      <c r="G147" s="54"/>
      <c r="H147" s="54"/>
      <c r="I147" s="60">
        <f>IF(A147&lt;&gt;0,(B147-(B146-D146))/(A147-A146),"")</f>
        <v>9.6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258</v>
      </c>
      <c r="C148" s="53">
        <v>9</v>
      </c>
      <c r="D148" s="63">
        <v>258</v>
      </c>
      <c r="E148" s="54"/>
      <c r="F148" s="54"/>
      <c r="G148" s="54"/>
      <c r="H148" s="54"/>
      <c r="I148" s="60">
        <f t="shared" si="5"/>
        <v>8.6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Châtaignier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19</v>
      </c>
      <c r="C166" s="63">
        <v>19</v>
      </c>
      <c r="D166" s="63">
        <v>7</v>
      </c>
      <c r="E166" s="54"/>
      <c r="F166" s="54"/>
      <c r="G166" s="54"/>
      <c r="H166" s="54">
        <v>1</v>
      </c>
      <c r="I166" s="52">
        <f>IFERROR(B166/A166,"")</f>
        <v>1.9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91</v>
      </c>
      <c r="C167" s="63">
        <v>84</v>
      </c>
      <c r="D167" s="63">
        <v>42</v>
      </c>
      <c r="E167" s="54"/>
      <c r="F167" s="54">
        <v>0.4</v>
      </c>
      <c r="G167" s="54">
        <v>0.6</v>
      </c>
      <c r="H167" s="54"/>
      <c r="I167" s="52">
        <f t="shared" ref="I167:I185" si="6">IF(A167&lt;&gt;0,(B167-(B166-D166))/(A167-A166),"")</f>
        <v>15.8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172</v>
      </c>
      <c r="C168" s="63">
        <v>123</v>
      </c>
      <c r="D168" s="63">
        <v>42</v>
      </c>
      <c r="E168" s="54"/>
      <c r="F168" s="54">
        <v>0.4</v>
      </c>
      <c r="G168" s="54">
        <v>0.6</v>
      </c>
      <c r="H168" s="54"/>
      <c r="I168" s="52">
        <f t="shared" si="6"/>
        <v>24.6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256</v>
      </c>
      <c r="C169" s="63">
        <v>165</v>
      </c>
      <c r="D169" s="63">
        <v>42</v>
      </c>
      <c r="E169" s="54"/>
      <c r="F169" s="54">
        <v>0.5</v>
      </c>
      <c r="G169" s="54">
        <v>0.5</v>
      </c>
      <c r="H169" s="54"/>
      <c r="I169" s="52">
        <f t="shared" si="6"/>
        <v>25.2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338</v>
      </c>
      <c r="C170" s="63">
        <v>205</v>
      </c>
      <c r="D170" s="63">
        <v>42</v>
      </c>
      <c r="E170" s="54"/>
      <c r="F170" s="54">
        <v>0.6</v>
      </c>
      <c r="G170" s="54">
        <v>0.4</v>
      </c>
      <c r="H170" s="54"/>
      <c r="I170" s="52">
        <f t="shared" si="6"/>
        <v>24.8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414</v>
      </c>
      <c r="C171" s="63">
        <v>239</v>
      </c>
      <c r="D171" s="63">
        <v>42</v>
      </c>
      <c r="E171" s="54"/>
      <c r="F171" s="54"/>
      <c r="G171" s="54"/>
      <c r="H171" s="54"/>
      <c r="I171" s="52">
        <f t="shared" si="6"/>
        <v>23.6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480</v>
      </c>
      <c r="C172" s="63">
        <v>263</v>
      </c>
      <c r="D172" s="63">
        <v>40</v>
      </c>
      <c r="E172" s="54"/>
      <c r="F172" s="54"/>
      <c r="G172" s="54"/>
      <c r="H172" s="54"/>
      <c r="I172" s="52">
        <f t="shared" si="6"/>
        <v>21.6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537</v>
      </c>
      <c r="C173" s="53">
        <v>280</v>
      </c>
      <c r="D173" s="53">
        <v>26</v>
      </c>
      <c r="E173" s="54"/>
      <c r="F173" s="54"/>
      <c r="G173" s="54"/>
      <c r="H173" s="54"/>
      <c r="I173" s="52">
        <f t="shared" si="6"/>
        <v>19.399999999999999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586</v>
      </c>
      <c r="C174" s="53">
        <v>303</v>
      </c>
      <c r="D174" s="53">
        <v>21</v>
      </c>
      <c r="E174" s="54"/>
      <c r="F174" s="54"/>
      <c r="G174" s="54"/>
      <c r="H174" s="54"/>
      <c r="I174" s="52">
        <f t="shared" si="6"/>
        <v>15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628</v>
      </c>
      <c r="C175" s="53">
        <v>324</v>
      </c>
      <c r="D175" s="53">
        <v>18</v>
      </c>
      <c r="E175" s="54"/>
      <c r="F175" s="54"/>
      <c r="G175" s="54"/>
      <c r="H175" s="54"/>
      <c r="I175" s="52">
        <f t="shared" si="6"/>
        <v>12.6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665</v>
      </c>
      <c r="C176" s="53">
        <v>343</v>
      </c>
      <c r="D176" s="53">
        <v>17</v>
      </c>
      <c r="E176" s="54"/>
      <c r="F176" s="54"/>
      <c r="G176" s="54"/>
      <c r="H176" s="54"/>
      <c r="I176" s="52">
        <f t="shared" si="6"/>
        <v>11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695</v>
      </c>
      <c r="C177" s="53">
        <v>356</v>
      </c>
      <c r="D177" s="53">
        <v>16</v>
      </c>
      <c r="E177" s="54"/>
      <c r="F177" s="54"/>
      <c r="G177" s="54"/>
      <c r="H177" s="54"/>
      <c r="I177" s="52">
        <f t="shared" si="6"/>
        <v>9.4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721</v>
      </c>
      <c r="C178" s="53">
        <v>366</v>
      </c>
      <c r="D178" s="53">
        <v>15</v>
      </c>
      <c r="E178" s="54"/>
      <c r="F178" s="54"/>
      <c r="G178" s="54"/>
      <c r="H178" s="54"/>
      <c r="I178" s="52">
        <f t="shared" si="6"/>
        <v>8.4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745</v>
      </c>
      <c r="C179" s="53">
        <v>375</v>
      </c>
      <c r="D179" s="53">
        <v>14</v>
      </c>
      <c r="E179" s="54"/>
      <c r="F179" s="54"/>
      <c r="G179" s="54"/>
      <c r="H179" s="54"/>
      <c r="I179" s="52">
        <f t="shared" si="6"/>
        <v>7.8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766</v>
      </c>
      <c r="C180" s="53">
        <v>382</v>
      </c>
      <c r="D180" s="53">
        <v>13</v>
      </c>
      <c r="E180" s="54"/>
      <c r="F180" s="54"/>
      <c r="G180" s="54"/>
      <c r="H180" s="54"/>
      <c r="I180" s="52">
        <f t="shared" si="6"/>
        <v>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6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63">
        <v>2</v>
      </c>
      <c r="D193" s="63">
        <v>28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63">
        <v>3</v>
      </c>
      <c r="D194" s="63">
        <v>28</v>
      </c>
      <c r="E194" s="54"/>
      <c r="F194" s="54"/>
      <c r="G194" s="54"/>
      <c r="H194" s="54">
        <v>1</v>
      </c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63">
        <v>4</v>
      </c>
      <c r="D195" s="63">
        <v>28</v>
      </c>
      <c r="E195" s="54"/>
      <c r="F195" s="54"/>
      <c r="G195" s="54"/>
      <c r="H195" s="54"/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6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6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v>231</v>
      </c>
      <c r="C198" s="63">
        <v>7</v>
      </c>
      <c r="D198" s="63">
        <v>28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254</v>
      </c>
      <c r="C199" s="53">
        <v>8</v>
      </c>
      <c r="D199" s="53">
        <v>28</v>
      </c>
      <c r="E199" s="54"/>
      <c r="F199" s="54"/>
      <c r="G199" s="54"/>
      <c r="H199" s="54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273</v>
      </c>
      <c r="C200" s="53">
        <v>9</v>
      </c>
      <c r="D200" s="53">
        <v>28</v>
      </c>
      <c r="E200" s="54"/>
      <c r="F200" s="54"/>
      <c r="G200" s="54"/>
      <c r="H200" s="54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289</v>
      </c>
      <c r="C201" s="53">
        <v>10</v>
      </c>
      <c r="D201" s="53">
        <v>28</v>
      </c>
      <c r="E201" s="54"/>
      <c r="F201" s="54"/>
      <c r="G201" s="54"/>
      <c r="H201" s="54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302</v>
      </c>
      <c r="C202" s="53">
        <v>11</v>
      </c>
      <c r="D202" s="53">
        <v>28</v>
      </c>
      <c r="E202" s="54"/>
      <c r="F202" s="54"/>
      <c r="G202" s="54"/>
      <c r="H202" s="54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312</v>
      </c>
      <c r="C203" s="53">
        <v>12</v>
      </c>
      <c r="D203" s="53">
        <v>28</v>
      </c>
      <c r="E203" s="54"/>
      <c r="F203" s="54"/>
      <c r="G203" s="54"/>
      <c r="H203" s="54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320</v>
      </c>
      <c r="C204" s="53">
        <v>13</v>
      </c>
      <c r="D204" s="53">
        <v>28</v>
      </c>
      <c r="E204" s="54"/>
      <c r="F204" s="54"/>
      <c r="G204" s="54"/>
      <c r="H204" s="54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326</v>
      </c>
      <c r="C205" s="53">
        <v>14</v>
      </c>
      <c r="D205" s="53">
        <v>28</v>
      </c>
      <c r="E205" s="54"/>
      <c r="F205" s="54"/>
      <c r="G205" s="54"/>
      <c r="H205" s="54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4"/>
      <c r="F206" s="54"/>
      <c r="G206" s="54"/>
      <c r="H206" s="54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4"/>
      <c r="F207" s="54"/>
      <c r="G207" s="54"/>
      <c r="H207" s="54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4"/>
      <c r="F209" s="54"/>
      <c r="G209" s="54"/>
      <c r="H209" s="54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4"/>
      <c r="F210" s="54"/>
      <c r="G210" s="54"/>
      <c r="H210" s="54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4"/>
      <c r="F211" s="54"/>
      <c r="G211" s="54"/>
      <c r="H211" s="54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0.75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0.25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0.54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0.75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Douglas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Mélèze hybride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rouge d'Amérique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Châtaignier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Alisier torminal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2.7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7.4250000000000016</v>
      </c>
      <c r="H3" s="70">
        <f>(B3+E3+F3)*44/12+(C3+D3)*0.475*44/12</f>
        <v>217.06666666666669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207.16666666666666</v>
      </c>
      <c r="S3" s="62">
        <f ca="1">AVERAGE(OFFSET($R$3,0,0,'Données projet'!$E$9+1,1))-AVERAGE(OFFSET($H$3,0,0,'Données projet'!$E$9+1,1))</f>
        <v>427.57091071251745</v>
      </c>
      <c r="T3" s="62">
        <f>IF('Données projet'!E9&gt;30,$R$33-$H$33,LOOKUP('Données projet'!$E$9,$A$3:$A$203,R3:R203)-LOOKUP('Données projet'!$E$9,$A$3:$A$203,$H$3:$H$203))</f>
        <v>272.62827206514726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207.16666666666666</v>
      </c>
      <c r="AN3" s="62">
        <f ca="1">AVERAGE(OFFSET($AM$3,0,0,'Données projet'!$E$10+1,1))-AVERAGE(OFFSET($H$3,0,0,'Données projet'!$E$10+1,1))</f>
        <v>475.54515523869958</v>
      </c>
      <c r="AO3" s="62">
        <f>IF('Données projet'!E10&gt;30,$AM$33-$H$33,LOOKUP('Données projet'!$E$10,$A$3:$A$203,AM3:AM203)-LOOKUP('Données projet'!$E$10,$A$3:$A$203,$H$3:$H$203))</f>
        <v>301.02979240961452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207.16666666666666</v>
      </c>
      <c r="BI3" s="62">
        <f ca="1">AVERAGE(OFFSET($BH$3,0,0,'Données projet'!$E$11+1,1))-AVERAGE(OFFSET($H$3,0,0,'Données projet'!$E$11+1,1))</f>
        <v>381.71417599784968</v>
      </c>
      <c r="BJ3" s="62">
        <f>IF('Données projet'!E11&gt;30,$BH$33-$H$33,LOOKUP('Données projet'!$E$11,$A$3:$A$203,BH3:BH203)-LOOKUP('Données projet'!$E$11,$A$3:$A$203,$H$3:$H$203))</f>
        <v>350.49230135197979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207.16666666666666</v>
      </c>
      <c r="CD3" s="62">
        <f ca="1">AVERAGE(OFFSET($CC$3,0,0,'Données projet'!$E$12+1,1))-AVERAGE(OFFSET($H$3,0,0,'Données projet'!$E$12+1,1))</f>
        <v>202.72043399839748</v>
      </c>
      <c r="CE3" s="62">
        <f>IF('Données projet'!E12&gt;30,$CC$33-$H$33,LOOKUP('Données projet'!$E$12,$A$3:$A$203,CC3:CC203)-LOOKUP('Données projet'!$E$12,$A$3:$A$203,$H$3:$H$203))</f>
        <v>295.50255983395789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207.16666666666666</v>
      </c>
      <c r="CY3" s="62">
        <f ca="1">AVERAGE(OFFSET($CX$3,0,0,'Données projet'!$E$13+1,1))-AVERAGE(OFFSET($H$3,0,0,'Données projet'!$E$13+1,1))</f>
        <v>297.56177871222496</v>
      </c>
      <c r="CZ3" s="62">
        <f>IF('Données projet'!E13&gt;30,$CX$33-$H$33,LOOKUP('Données projet'!$E$13,$A$3:$A$203,CX3:CX203)-LOOKUP('Données projet'!$E$13,$A$3:$A$203,$H$3:$H$203))</f>
        <v>421.5717731815397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207.16666666666666</v>
      </c>
      <c r="DT3" s="62">
        <f ca="1">AVERAGE(OFFSET($DS$3,0,0,'Données projet'!$E$14+1,1))-AVERAGE(OFFSET($H$3,0,0,'Données projet'!$E$14+1,1))</f>
        <v>667.0152731006724</v>
      </c>
      <c r="DU3" s="62">
        <f>IF('Données projet'!E14&gt;30,$DS$33-$H$33,LOOKUP('Données projet'!$E$14,$A$3:$A$203,DS3:DS203)-LOOKUP('Données projet'!$E$14,$A$3:$A$203,$H$3:$H$203))</f>
        <v>567.40780872008088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207.16666666666666</v>
      </c>
      <c r="EO3" s="62">
        <f ca="1">AVERAGE(OFFSET($EN$3,0,0,'Données projet'!$E$15+1,1))-AVERAGE(OFFSET($H$3,0,0,'Données projet'!$E$15+1,1))</f>
        <v>454.99849419289757</v>
      </c>
      <c r="EP3" s="62">
        <f>IF('Données projet'!E15&gt;30,$EN$33-$H$33,LOOKUP('Données projet'!$E$15,$A$3:$A$203,EN3:EN203)-LOOKUP('Données projet'!$E$15,$A$3:$A$203,$H$3:$H$203))</f>
        <v>288.86643267991928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2.7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0.2223</v>
      </c>
      <c r="D4" s="12">
        <f>IFERROR(EXP(-1.0587+0.8836*LN(C4)+0.284),0)</f>
        <v>0.12204156666612695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8.0895188128644566</v>
      </c>
      <c r="H4" s="70">
        <f t="shared" ref="H4:H67" si="1">(B4+E4+F4)*44/12+(C4+D4)*0.475*44/12</f>
        <v>217.66639489527685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212.08859299564077</v>
      </c>
      <c r="S4" s="62">
        <f ca="1">AVERAGE(OFFSET($R$3,0,0,'Données projet'!$E$9+1,1))-AVERAGE(OFFSET($H$3,0,0,'Données projet'!$E$9+1,1))</f>
        <v>427.57091071251745</v>
      </c>
      <c r="T4" s="62">
        <f>$T$3</f>
        <v>272.62827206514726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212.41835805812195</v>
      </c>
      <c r="AN4" s="62">
        <f ca="1">AVERAGE(OFFSET($AM$3,0,0,'Données projet'!$E$10+1,1))-AVERAGE(OFFSET($H$3,0,0,'Données projet'!$E$10+1,1))</f>
        <v>475.54515523869958</v>
      </c>
      <c r="AO4" s="62">
        <f>$AO$3</f>
        <v>301.02979240961452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8.1284210526315785</v>
      </c>
      <c r="BD4" s="13">
        <f>IF('Données projet'!$A$88&gt;35,BD3+BC4-BL3,IF(A4&lt;'Données projet'!$A$88,$BA$205^A4,IF(A4='Données projet'!$A$88,'Données projet'!$B$88,BD3+BC4-BL3)))</f>
        <v>1.3037606943669584</v>
      </c>
      <c r="BE4" s="14">
        <f>BD4*VLOOKUP('Données projet'!$B$11,Paramètres!$A$1:$I$89,3,0)*VLOOKUP('Données projet'!$B$11,Paramètres!$A$1:$I$89,5,0)</f>
        <v>0.72880222815112972</v>
      </c>
      <c r="BF4" s="14">
        <f>EXP(-1.0587+0.8836*LN(BE4)+0.284)</f>
        <v>0.34846084744582984</v>
      </c>
      <c r="BG4" s="22">
        <f t="shared" ref="BG4:BG67" si="7">(BE4+BF4)*0.475*44/12</f>
        <v>1.876233189998038</v>
      </c>
      <c r="BH4" s="62">
        <f t="shared" ref="BH4:BH67" si="8">BG4+(AY4+AZ4)*44/12</f>
        <v>211.1238364134658</v>
      </c>
      <c r="BI4" s="62">
        <f ca="1">AVERAGE(OFFSET($BH$3,0,0,'Données projet'!$E$11+1,1))-AVERAGE(OFFSET($H$3,0,0,'Données projet'!$E$11+1,1))</f>
        <v>381.71417599784968</v>
      </c>
      <c r="BJ4" s="62">
        <f>$BJ$3</f>
        <v>350.49230135197979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4.8</v>
      </c>
      <c r="BY4" s="13">
        <f>IF('Données projet'!$A$114&gt;35,BY3+BX4-CG3,IF(A4&lt;'Données projet'!$A$114,$BV$205^A4,IF(A4='Données projet'!$A$114,'Données projet'!$B$114,BY3+BX4-CG3)))</f>
        <v>1.4727333575346888</v>
      </c>
      <c r="BZ4" s="14">
        <f>BY4*VLOOKUP('Données projet'!$B$12,Paramètres!$A$1:$I$89,3,0)*VLOOKUP('Données projet'!$B$12,Paramètres!$A$1:$I$89,5,0)</f>
        <v>0.80411241321394011</v>
      </c>
      <c r="CA4" s="14">
        <f>EXP(-1.0587+0.8836*LN(BZ4)+0.284)</f>
        <v>0.38009307721444852</v>
      </c>
      <c r="CB4" s="22">
        <f t="shared" ref="CB4:CB67" si="10">(BZ4+CA4)*0.475*44/12</f>
        <v>2.0624912291627764</v>
      </c>
      <c r="CC4" s="62">
        <f t="shared" ref="CC4:CC67" si="11">CB4+(BT4+BU4)*44/12</f>
        <v>211.31009445263055</v>
      </c>
      <c r="CD4" s="62">
        <f ca="1">AVERAGE(OFFSET($CC$3,0,0,'Données projet'!$E$12+1,1))-AVERAGE(OFFSET($H$3,0,0,'Données projet'!$E$12+1,1))</f>
        <v>202.72043399839748</v>
      </c>
      <c r="CE4" s="62">
        <f>$CE$3</f>
        <v>295.50255983395789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7.1333333333333337</v>
      </c>
      <c r="CT4" s="13">
        <f>IF('Données projet'!$A$140&gt;35,CT3+CS4-DB3,IF(A4&lt;'Données projet'!$A$140,$CQ$205^A4,IF(A4='Données projet'!$A$140,'Données projet'!$B$140,CT3+CS4-DB3)))</f>
        <v>1.3655017210306359</v>
      </c>
      <c r="CU4" s="18">
        <f>CT4*VLOOKUP('Données projet'!$B$13,Paramètres!$A$1:$I$89,3,0)*VLOOKUP('Données projet'!$B$13,Paramètres!$A$1:$I$89,5,0)</f>
        <v>1.1929023034923638</v>
      </c>
      <c r="CV4" s="14">
        <f>EXP(-1.0587+0.8836*LN(CU4)+0.284)</f>
        <v>0.53856749022761552</v>
      </c>
      <c r="CW4" s="22">
        <f t="shared" ref="CW4:CW67" si="13">(CU4+CV4)*0.475*44/12</f>
        <v>3.015643224062297</v>
      </c>
      <c r="CX4" s="62">
        <f t="shared" ref="CX4:CX67" si="14">CW4+(CO4+CP4)*44/12</f>
        <v>212.26324644753007</v>
      </c>
      <c r="CY4" s="62">
        <f ca="1">AVERAGE(OFFSET($CX$3,0,0,'Données projet'!$E$13+1,1))-AVERAGE(OFFSET($H$3,0,0,'Données projet'!$E$13+1,1))</f>
        <v>297.56177871222496</v>
      </c>
      <c r="CZ4" s="62">
        <f>$CZ$3</f>
        <v>421.5717731815397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1.9</v>
      </c>
      <c r="DO4" s="13">
        <f>IF('Données projet'!$A$166&gt;35,DO3+DN4-DW3,IF(A4&lt;'Données projet'!$A$166,$DL$205^A4,IF(A4='Données projet'!$A$166,'Données projet'!$B$166,DO3+DN4-DW3)))</f>
        <v>1.3423796509621049</v>
      </c>
      <c r="DP4" s="18">
        <f>DO4*VLOOKUP('Données projet'!$B$14,Paramètres!$A$1:$I$89,3,0)*VLOOKUP('Données projet'!$B$14,Paramètres!$A$1:$I$89,5,0)</f>
        <v>0.98423276008541516</v>
      </c>
      <c r="DQ4" s="14">
        <f>EXP(-1.0587+0.8836*LN(DP4)+0.284)</f>
        <v>0.45441566615213064</v>
      </c>
      <c r="DR4" s="22">
        <f t="shared" ref="DR4:DR67" si="16">(DP4+DQ4)*0.475*44/12</f>
        <v>2.5056460090303925</v>
      </c>
      <c r="DS4" s="62">
        <f t="shared" ref="DS4:DS67" si="17">DR4+(DJ4+DK4)*44/12</f>
        <v>211.75324923249815</v>
      </c>
      <c r="DT4" s="62">
        <f ca="1">AVERAGE(OFFSET($DS$3,0,0,'Données projet'!$E$14+1,1))-AVERAGE(OFFSET($H$3,0,0,'Données projet'!$E$14+1,1))</f>
        <v>667.0152731006724</v>
      </c>
      <c r="DU4" s="62">
        <f>$DU$3</f>
        <v>567.40780872008088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1.1986225139154763</v>
      </c>
      <c r="EL4" s="14">
        <f>EXP(-1.0587+0.8836*LN(EK4)+0.284)</f>
        <v>0.54084878793982472</v>
      </c>
      <c r="EM4" s="22">
        <f t="shared" ref="EM4:EM67" si="19">(EK4+EL4)*0.475*44/12</f>
        <v>3.0295791840646493</v>
      </c>
      <c r="EN4" s="62">
        <f t="shared" ref="EN4:EN67" si="20">EM4+(EE4+EF4)*44/12</f>
        <v>212.27718240753242</v>
      </c>
      <c r="EO4" s="62">
        <f ca="1">AVERAGE(OFFSET($EN$3,0,0,'Données projet'!$E$15+1,1))-AVERAGE(OFFSET($H$3,0,0,'Données projet'!$E$15+1,1))</f>
        <v>454.99849419289757</v>
      </c>
      <c r="EP4" s="62">
        <f>$EP$3</f>
        <v>288.86643267991928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56.734194818521509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2.7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</v>
      </c>
      <c r="D5" s="12">
        <f t="shared" ref="D5:D68" si="32">IFERROR(EXP(-1.0587+0.8836*LN(C5)+0.284),0)</f>
        <v>0.22516344164861962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8.7175259400236538</v>
      </c>
      <c r="H5" s="70">
        <f t="shared" si="1"/>
        <v>218.23317132753803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214.8072567831272</v>
      </c>
      <c r="S5" s="62">
        <f ca="1">AVERAGE(OFFSET($R$3,0,0,'Données projet'!$E$9+1,1))-AVERAGE(OFFSET($H$3,0,0,'Données projet'!$E$9+1,1))</f>
        <v>427.57091071251745</v>
      </c>
      <c r="T5" s="62">
        <f t="shared" ref="T5:T68" si="34">$T$3</f>
        <v>272.62827206514726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215.21305001329512</v>
      </c>
      <c r="AN5" s="62">
        <f ca="1">AVERAGE(OFFSET($AM$3,0,0,'Données projet'!$E$10+1,1))-AVERAGE(OFFSET($H$3,0,0,'Données projet'!$E$10+1,1))</f>
        <v>475.54515523869958</v>
      </c>
      <c r="AO5" s="62">
        <f t="shared" ref="AO5:AO68" si="36">$AO$3</f>
        <v>301.02979240961452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8.1284210526315785</v>
      </c>
      <c r="BD5" s="13">
        <f>IF('Données projet'!$A$88&gt;35,BD4+BC5-BL4,IF(A5&lt;'Données projet'!$A$88,$BA$205^A5,IF(A5='Données projet'!$A$88,'Données projet'!$B$88,BD4+BC5-BL4)))</f>
        <v>1.6997919481762136</v>
      </c>
      <c r="BE5" s="14">
        <f>BD5*VLOOKUP('Données projet'!$B$11,Paramètres!$A$1:$I$89,3,0)*VLOOKUP('Données projet'!$B$11,Paramètres!$A$1:$I$89,5,0)</f>
        <v>0.95018369903050348</v>
      </c>
      <c r="BF5" s="14">
        <f t="shared" ref="BF5:BF68" si="37">EXP(-1.0587+0.8836*LN(BE5)+0.284)</f>
        <v>0.44049688197714731</v>
      </c>
      <c r="BG5" s="22">
        <f t="shared" si="7"/>
        <v>2.4221020119216585</v>
      </c>
      <c r="BH5" s="62">
        <f t="shared" si="8"/>
        <v>213.73574501828318</v>
      </c>
      <c r="BI5" s="62">
        <f ca="1">AVERAGE(OFFSET($BH$3,0,0,'Données projet'!$E$11+1,1))-AVERAGE(OFFSET($H$3,0,0,'Données projet'!$E$11+1,1))</f>
        <v>381.71417599784968</v>
      </c>
      <c r="BJ5" s="62">
        <f t="shared" ref="BJ5:BJ68" si="38">$BJ$3</f>
        <v>350.49230135197979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4.8</v>
      </c>
      <c r="BY5" s="13">
        <f>IF('Données projet'!$A$114&gt;35,BY4+BX5-CG4,IF(A5&lt;'Données projet'!$A$114,$BV$205^A5,IF(A5='Données projet'!$A$114,'Données projet'!$B$114,BY4+BX5-CG4)))</f>
        <v>2.1689435423953976</v>
      </c>
      <c r="BZ5" s="14">
        <f>BY5*VLOOKUP('Données projet'!$B$12,Paramètres!$A$1:$I$89,3,0)*VLOOKUP('Données projet'!$B$12,Paramètres!$A$1:$I$89,5,0)</f>
        <v>1.1842431741478872</v>
      </c>
      <c r="CA5" s="14">
        <f t="shared" ref="CA5:CA68" si="39">EXP(-1.0587+0.8836*LN(BZ5)+0.284)</f>
        <v>0.53511168605455617</v>
      </c>
      <c r="CB5" s="22">
        <f t="shared" si="10"/>
        <v>2.9945430481859217</v>
      </c>
      <c r="CC5" s="62">
        <f t="shared" si="11"/>
        <v>214.30818605454746</v>
      </c>
      <c r="CD5" s="62">
        <f ca="1">AVERAGE(OFFSET($CC$3,0,0,'Données projet'!$E$12+1,1))-AVERAGE(OFFSET($H$3,0,0,'Données projet'!$E$12+1,1))</f>
        <v>202.72043399839748</v>
      </c>
      <c r="CE5" s="62">
        <f t="shared" ref="CE5:CE68" si="40">$CE$3</f>
        <v>295.50255983395789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7.1333333333333337</v>
      </c>
      <c r="CT5" s="13">
        <f>IF('Données projet'!$A$140&gt;35,CT4+CS5-DB4,IF(A5&lt;'Données projet'!$A$140,$CQ$205^A5,IF(A5='Données projet'!$A$140,'Données projet'!$B$140,CT4+CS5-DB4)))</f>
        <v>1.8645949501376287</v>
      </c>
      <c r="CU5" s="18">
        <f>CT5*VLOOKUP('Données projet'!$B$13,Paramètres!$A$1:$I$89,3,0)*VLOOKUP('Données projet'!$B$13,Paramètres!$A$1:$I$89,5,0)</f>
        <v>1.6289101484402326</v>
      </c>
      <c r="CV5" s="14">
        <f t="shared" ref="CV5:CV68" si="41">EXP(-1.0587+0.8836*LN(CU5)+0.284)</f>
        <v>0.70922554238821334</v>
      </c>
      <c r="CW5" s="22">
        <f t="shared" si="13"/>
        <v>4.0722529948595438</v>
      </c>
      <c r="CX5" s="62">
        <f t="shared" si="14"/>
        <v>215.38589600122108</v>
      </c>
      <c r="CY5" s="62">
        <f ca="1">AVERAGE(OFFSET($CX$3,0,0,'Données projet'!$E$13+1,1))-AVERAGE(OFFSET($H$3,0,0,'Données projet'!$E$13+1,1))</f>
        <v>297.56177871222496</v>
      </c>
      <c r="CZ5" s="62">
        <f t="shared" ref="CZ5:CZ68" si="42">$CZ$3</f>
        <v>421.5717731815397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1.9</v>
      </c>
      <c r="DO5" s="13">
        <f>IF('Données projet'!$A$166&gt;35,DO4+DN5-DW4,IF(A5&lt;'Données projet'!$A$166,$DL$205^A5,IF(A5='Données projet'!$A$166,'Données projet'!$B$166,DO4+DN5-DW4)))</f>
        <v>1.8019831273171425</v>
      </c>
      <c r="DP5" s="18">
        <f>DO5*VLOOKUP('Données projet'!$B$14,Paramètres!$A$1:$I$89,3,0)*VLOOKUP('Données projet'!$B$14,Paramètres!$A$1:$I$89,5,0)</f>
        <v>1.3212140289489287</v>
      </c>
      <c r="DQ5" s="14">
        <f t="shared" ref="DQ5:DQ68" si="43">EXP(-1.0587+0.8836*LN(DP5)+0.284)</f>
        <v>0.58944591680017422</v>
      </c>
      <c r="DR5" s="22">
        <f t="shared" si="16"/>
        <v>3.327732738846354</v>
      </c>
      <c r="DS5" s="62">
        <f t="shared" si="17"/>
        <v>214.64137574520788</v>
      </c>
      <c r="DT5" s="62">
        <f ca="1">AVERAGE(OFFSET($DS$3,0,0,'Données projet'!$E$14+1,1))-AVERAGE(OFFSET($H$3,0,0,'Données projet'!$E$14+1,1))</f>
        <v>667.0152731006724</v>
      </c>
      <c r="DU5" s="62">
        <f t="shared" ref="DU5:DU68" si="44">$DU$3</f>
        <v>567.40780872008088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1.4854176290995202</v>
      </c>
      <c r="EL5" s="14">
        <f t="shared" ref="EL5:EL68" si="45">EXP(-1.0587+0.8836*LN(EK5)+0.284)</f>
        <v>0.65372856897250708</v>
      </c>
      <c r="EM5" s="22">
        <f t="shared" si="19"/>
        <v>3.725679628308781</v>
      </c>
      <c r="EN5" s="62">
        <f t="shared" si="20"/>
        <v>215.0393226346703</v>
      </c>
      <c r="EO5" s="62">
        <f ca="1">AVERAGE(OFFSET($EN$3,0,0,'Données projet'!$E$15+1,1))-AVERAGE(OFFSET($H$3,0,0,'Données projet'!$E$15+1,1))</f>
        <v>454.99849419289757</v>
      </c>
      <c r="EP5" s="62">
        <f t="shared" ref="EP5:EP68" si="46">$EP$3</f>
        <v>288.86643267991928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56.964326880522847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2.7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0.66690000000000005</v>
      </c>
      <c r="D6" s="12">
        <f t="shared" si="32"/>
        <v>0.32217520592641097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9.3337416254720225</v>
      </c>
      <c r="H6" s="70">
        <f t="shared" si="1"/>
        <v>218.7893059836552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217.66177133207702</v>
      </c>
      <c r="S6" s="62">
        <f ca="1">AVERAGE(OFFSET($R$3,0,0,'Données projet'!$E$9+1,1))-AVERAGE(OFFSET($H$3,0,0,'Données projet'!$E$9+1,1))</f>
        <v>427.57091071251745</v>
      </c>
      <c r="T6" s="62">
        <f t="shared" si="34"/>
        <v>272.62827206514726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218.16118401538517</v>
      </c>
      <c r="AN6" s="62">
        <f ca="1">AVERAGE(OFFSET($AM$3,0,0,'Données projet'!$E$10+1,1))-AVERAGE(OFFSET($H$3,0,0,'Données projet'!$E$10+1,1))</f>
        <v>475.54515523869958</v>
      </c>
      <c r="AO6" s="62">
        <f t="shared" si="36"/>
        <v>301.02979240961452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8.1284210526315785</v>
      </c>
      <c r="BD6" s="13">
        <f>IF('Données projet'!$A$88&gt;35,BD5+BC6-BL5,IF(A6&lt;'Données projet'!$A$88,$BA$205^A6,IF(A6='Données projet'!$A$88,'Données projet'!$B$88,BD5+BC6-BL5)))</f>
        <v>2.2161219306335851</v>
      </c>
      <c r="BE6" s="14">
        <f>BD6*VLOOKUP('Données projet'!$B$11,Paramètres!$A$1:$I$89,3,0)*VLOOKUP('Données projet'!$B$11,Paramètres!$A$1:$I$89,5,0)</f>
        <v>1.2388121592241741</v>
      </c>
      <c r="BF6" s="14">
        <f t="shared" si="37"/>
        <v>0.5568416206694583</v>
      </c>
      <c r="BG6" s="22">
        <f t="shared" si="7"/>
        <v>3.1274303333147428</v>
      </c>
      <c r="BH6" s="62">
        <f t="shared" si="8"/>
        <v>216.49247477438593</v>
      </c>
      <c r="BI6" s="62">
        <f ca="1">AVERAGE(OFFSET($BH$3,0,0,'Données projet'!$E$11+1,1))-AVERAGE(OFFSET($H$3,0,0,'Données projet'!$E$11+1,1))</f>
        <v>381.71417599784968</v>
      </c>
      <c r="BJ6" s="62">
        <f t="shared" si="38"/>
        <v>350.49230135197979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4.8</v>
      </c>
      <c r="BY6" s="13">
        <f>IF('Données projet'!$A$114&gt;35,BY5+BX6-CG5,IF(A6&lt;'Données projet'!$A$114,$BV$205^A6,IF(A6='Données projet'!$A$114,'Données projet'!$B$114,BY5+BX6-CG5)))</f>
        <v>3.1942755054951557</v>
      </c>
      <c r="BZ6" s="14">
        <f>BY6*VLOOKUP('Données projet'!$B$12,Paramètres!$A$1:$I$89,3,0)*VLOOKUP('Données projet'!$B$12,Paramètres!$A$1:$I$89,5,0)</f>
        <v>1.7440744260003551</v>
      </c>
      <c r="CA6" s="14">
        <f t="shared" si="39"/>
        <v>0.75335367497523342</v>
      </c>
      <c r="CB6" s="22">
        <f t="shared" si="10"/>
        <v>4.3496872758658158</v>
      </c>
      <c r="CC6" s="62">
        <f t="shared" si="11"/>
        <v>217.714731716937</v>
      </c>
      <c r="CD6" s="62">
        <f ca="1">AVERAGE(OFFSET($CC$3,0,0,'Données projet'!$E$12+1,1))-AVERAGE(OFFSET($H$3,0,0,'Données projet'!$E$12+1,1))</f>
        <v>202.72043399839748</v>
      </c>
      <c r="CE6" s="62">
        <f t="shared" si="40"/>
        <v>295.50255983395789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7.1333333333333337</v>
      </c>
      <c r="CT6" s="13">
        <f>IF('Données projet'!$A$140&gt;35,CT5+CS6-DB5,IF(A6&lt;'Données projet'!$A$140,$CQ$205^A6,IF(A6='Données projet'!$A$140,'Données projet'!$B$140,CT5+CS6-DB5)))</f>
        <v>2.5461076134379645</v>
      </c>
      <c r="CU6" s="18">
        <f>CT6*VLOOKUP('Données projet'!$B$13,Paramètres!$A$1:$I$89,3,0)*VLOOKUP('Données projet'!$B$13,Paramètres!$A$1:$I$89,5,0)</f>
        <v>2.2242796110994063</v>
      </c>
      <c r="CV6" s="14">
        <f t="shared" si="41"/>
        <v>0.93396069963909534</v>
      </c>
      <c r="CW6" s="22">
        <f t="shared" si="13"/>
        <v>5.5006018745362235</v>
      </c>
      <c r="CX6" s="62">
        <f t="shared" si="14"/>
        <v>218.86564631560739</v>
      </c>
      <c r="CY6" s="62">
        <f ca="1">AVERAGE(OFFSET($CX$3,0,0,'Données projet'!$E$13+1,1))-AVERAGE(OFFSET($H$3,0,0,'Données projet'!$E$13+1,1))</f>
        <v>297.56177871222496</v>
      </c>
      <c r="CZ6" s="62">
        <f t="shared" si="42"/>
        <v>421.5717731815397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1.9</v>
      </c>
      <c r="DO6" s="13">
        <f>IF('Données projet'!$A$166&gt;35,DO5+DN6-DW5,IF(A6&lt;'Données projet'!$A$166,$DL$205^A6,IF(A6='Données projet'!$A$166,'Données projet'!$B$166,DO5+DN6-DW5)))</f>
        <v>2.4189454814875879</v>
      </c>
      <c r="DP6" s="18">
        <f>DO6*VLOOKUP('Données projet'!$B$14,Paramètres!$A$1:$I$89,3,0)*VLOOKUP('Données projet'!$B$14,Paramètres!$A$1:$I$89,5,0)</f>
        <v>1.7735708270266992</v>
      </c>
      <c r="DQ6" s="14">
        <f t="shared" si="43"/>
        <v>0.76460059525341872</v>
      </c>
      <c r="DR6" s="22">
        <f t="shared" si="16"/>
        <v>4.4206485604712045</v>
      </c>
      <c r="DS6" s="62">
        <f t="shared" si="17"/>
        <v>217.78569300154237</v>
      </c>
      <c r="DT6" s="62">
        <f ca="1">AVERAGE(OFFSET($DS$3,0,0,'Données projet'!$E$14+1,1))-AVERAGE(OFFSET($H$3,0,0,'Données projet'!$E$14+1,1))</f>
        <v>667.0152731006724</v>
      </c>
      <c r="DU6" s="62">
        <f t="shared" si="44"/>
        <v>567.40780872008088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1.8408343804855598</v>
      </c>
      <c r="EL6" s="14">
        <f t="shared" si="45"/>
        <v>0.79016732850363813</v>
      </c>
      <c r="EM6" s="22">
        <f t="shared" si="19"/>
        <v>4.5823279764895188</v>
      </c>
      <c r="EN6" s="62">
        <f t="shared" si="20"/>
        <v>217.9473724175607</v>
      </c>
      <c r="EO6" s="62">
        <f ca="1">AVERAGE(OFFSET($EN$3,0,0,'Données projet'!$E$15+1,1))-AVERAGE(OFFSET($H$3,0,0,'Données projet'!$E$15+1,1))</f>
        <v>454.99849419289757</v>
      </c>
      <c r="EP6" s="62">
        <f t="shared" si="46"/>
        <v>288.86643267991928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57.190466665746683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2.7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7" s="12">
        <f t="shared" si="32"/>
        <v>0.41542055579923082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9.9426887918932536</v>
      </c>
      <c r="H7" s="70">
        <f t="shared" si="1"/>
        <v>219.33888080135034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220.68721594816259</v>
      </c>
      <c r="S7" s="62">
        <f ca="1">AVERAGE(OFFSET($R$3,0,0,'Données projet'!$E$9+1,1))-AVERAGE(OFFSET($H$3,0,0,'Données projet'!$E$9+1,1))</f>
        <v>427.57091071251745</v>
      </c>
      <c r="T7" s="62">
        <f t="shared" si="34"/>
        <v>272.62827206514726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221.30192321818276</v>
      </c>
      <c r="AN7" s="62">
        <f ca="1">AVERAGE(OFFSET($AM$3,0,0,'Données projet'!$E$10+1,1))-AVERAGE(OFFSET($H$3,0,0,'Données projet'!$E$10+1,1))</f>
        <v>475.54515523869958</v>
      </c>
      <c r="AO7" s="62">
        <f t="shared" si="36"/>
        <v>301.02979240961452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8.1284210526315785</v>
      </c>
      <c r="BD7" s="13">
        <f>IF('Données projet'!$A$88&gt;35,BD6+BC7-BL6,IF(A7&lt;'Données projet'!$A$88,$BA$205^A7,IF(A7='Données projet'!$A$88,'Données projet'!$B$88,BD6+BC7-BL6)))</f>
        <v>2.8892926670846877</v>
      </c>
      <c r="BE7" s="14">
        <f>BD7*VLOOKUP('Données projet'!$B$11,Paramètres!$A$1:$I$89,3,0)*VLOOKUP('Données projet'!$B$11,Paramètres!$A$1:$I$89,5,0)</f>
        <v>1.6151146009003403</v>
      </c>
      <c r="BF7" s="14">
        <f t="shared" si="37"/>
        <v>0.70391551721783874</v>
      </c>
      <c r="BG7" s="22">
        <f t="shared" si="7"/>
        <v>4.0389774557224944</v>
      </c>
      <c r="BH7" s="62">
        <f t="shared" si="8"/>
        <v>219.44103892593361</v>
      </c>
      <c r="BI7" s="62">
        <f ca="1">AVERAGE(OFFSET($BH$3,0,0,'Données projet'!$E$11+1,1))-AVERAGE(OFFSET($H$3,0,0,'Données projet'!$E$11+1,1))</f>
        <v>381.71417599784968</v>
      </c>
      <c r="BJ7" s="62">
        <f t="shared" si="38"/>
        <v>350.49230135197979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4.8</v>
      </c>
      <c r="BY7" s="13">
        <f>IF('Données projet'!$A$114&gt;35,BY6+BX7-CG6,IF(A7&lt;'Données projet'!$A$114,$BV$205^A7,IF(A7='Données projet'!$A$114,'Données projet'!$B$114,BY6+BX7-CG6)))</f>
        <v>4.704316090098696</v>
      </c>
      <c r="BZ7" s="14">
        <f>BY7*VLOOKUP('Données projet'!$B$12,Paramètres!$A$1:$I$89,3,0)*VLOOKUP('Données projet'!$B$12,Paramètres!$A$1:$I$89,5,0)</f>
        <v>2.5685565851938881</v>
      </c>
      <c r="CA7" s="14">
        <f t="shared" si="39"/>
        <v>1.0606043082019834</v>
      </c>
      <c r="CB7" s="22">
        <f t="shared" si="10"/>
        <v>6.320788555997809</v>
      </c>
      <c r="CC7" s="62">
        <f t="shared" si="11"/>
        <v>221.72285002620893</v>
      </c>
      <c r="CD7" s="62">
        <f ca="1">AVERAGE(OFFSET($CC$3,0,0,'Données projet'!$E$12+1,1))-AVERAGE(OFFSET($H$3,0,0,'Données projet'!$E$12+1,1))</f>
        <v>202.72043399839748</v>
      </c>
      <c r="CE7" s="62">
        <f t="shared" si="40"/>
        <v>295.50255983395789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7.1333333333333337</v>
      </c>
      <c r="CT7" s="13">
        <f>IF('Données projet'!$A$140&gt;35,CT6+CS7-DB6,IF(A7&lt;'Données projet'!$A$140,$CQ$205^A7,IF(A7='Données projet'!$A$140,'Données projet'!$B$140,CT6+CS7-DB6)))</f>
        <v>3.4767143280787458</v>
      </c>
      <c r="CU7" s="18">
        <f>CT7*VLOOKUP('Données projet'!$B$13,Paramètres!$A$1:$I$89,3,0)*VLOOKUP('Données projet'!$B$13,Paramètres!$A$1:$I$89,5,0)</f>
        <v>3.0372576370095925</v>
      </c>
      <c r="CV7" s="14">
        <f t="shared" si="41"/>
        <v>1.2299085923119242</v>
      </c>
      <c r="CW7" s="22">
        <f t="shared" si="13"/>
        <v>7.4319811827349751</v>
      </c>
      <c r="CX7" s="62">
        <f t="shared" si="14"/>
        <v>222.8340426529461</v>
      </c>
      <c r="CY7" s="62">
        <f ca="1">AVERAGE(OFFSET($CX$3,0,0,'Données projet'!$E$13+1,1))-AVERAGE(OFFSET($H$3,0,0,'Données projet'!$E$13+1,1))</f>
        <v>297.56177871222496</v>
      </c>
      <c r="CZ7" s="62">
        <f t="shared" si="42"/>
        <v>421.5717731815397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1.9</v>
      </c>
      <c r="DO7" s="13">
        <f>IF('Données projet'!$A$166&gt;35,DO6+DN7-DW6,IF(A7&lt;'Données projet'!$A$166,$DL$205^A7,IF(A7='Données projet'!$A$166,'Données projet'!$B$166,DO6+DN7-DW6)))</f>
        <v>3.247143191135669</v>
      </c>
      <c r="DP7" s="18">
        <f>DO7*VLOOKUP('Données projet'!$B$14,Paramètres!$A$1:$I$89,3,0)*VLOOKUP('Données projet'!$B$14,Paramètres!$A$1:$I$89,5,0)</f>
        <v>2.3808053877406725</v>
      </c>
      <c r="DQ7" s="14">
        <f t="shared" si="43"/>
        <v>0.99180273134383279</v>
      </c>
      <c r="DR7" s="22">
        <f t="shared" si="16"/>
        <v>5.8739591407388465</v>
      </c>
      <c r="DS7" s="62">
        <f t="shared" si="17"/>
        <v>221.27602061094996</v>
      </c>
      <c r="DT7" s="62">
        <f ca="1">AVERAGE(OFFSET($DS$3,0,0,'Données projet'!$E$14+1,1))-AVERAGE(OFFSET($H$3,0,0,'Données projet'!$E$14+1,1))</f>
        <v>667.0152731006724</v>
      </c>
      <c r="DU7" s="62">
        <f t="shared" si="44"/>
        <v>567.40780872008088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2.2812919074024398</v>
      </c>
      <c r="EL7" s="14">
        <f t="shared" si="45"/>
        <v>0.95508202741684722</v>
      </c>
      <c r="EM7" s="22">
        <f t="shared" si="19"/>
        <v>5.6366846031435918</v>
      </c>
      <c r="EN7" s="62">
        <f t="shared" si="20"/>
        <v>221.0387460733547</v>
      </c>
      <c r="EO7" s="62">
        <f ca="1">AVERAGE(OFFSET($EN$3,0,0,'Données projet'!$E$15+1,1))-AVERAGE(OFFSET($H$3,0,0,'Données projet'!$E$15+1,1))</f>
        <v>454.99849419289757</v>
      </c>
      <c r="EP7" s="62">
        <f t="shared" si="46"/>
        <v>288.86643267991928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57.412683431269699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2.7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1.1114999999999999</v>
      </c>
      <c r="D8" s="12">
        <f t="shared" si="32"/>
        <v>0.50596173126156185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10.546417376118805</v>
      </c>
      <c r="H8" s="70">
        <f t="shared" si="1"/>
        <v>219.8837458486139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223.9267514701248</v>
      </c>
      <c r="S8" s="62">
        <f ca="1">AVERAGE(OFFSET($R$3,0,0,'Données projet'!$E$9+1,1))-AVERAGE(OFFSET($H$3,0,0,'Données projet'!$E$9+1,1))</f>
        <v>427.57091071251745</v>
      </c>
      <c r="T8" s="62">
        <f t="shared" si="34"/>
        <v>272.62827206514726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224.68346331690188</v>
      </c>
      <c r="AN8" s="62">
        <f ca="1">AVERAGE(OFFSET($AM$3,0,0,'Données projet'!$E$10+1,1))-AVERAGE(OFFSET($H$3,0,0,'Données projet'!$E$10+1,1))</f>
        <v>475.54515523869958</v>
      </c>
      <c r="AO8" s="62">
        <f t="shared" si="36"/>
        <v>301.02979240961452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8.1284210526315785</v>
      </c>
      <c r="BD8" s="13">
        <f>IF('Données projet'!$A$88&gt;35,BD7+BC8-BL7,IF(A8&lt;'Données projet'!$A$88,$BA$205^A8,IF(A8='Données projet'!$A$88,'Données projet'!$B$88,BD7+BC8-BL7)))</f>
        <v>3.7669462138676937</v>
      </c>
      <c r="BE8" s="14">
        <f>BD8*VLOOKUP('Données projet'!$B$11,Paramètres!$A$1:$I$89,3,0)*VLOOKUP('Données projet'!$B$11,Paramètres!$A$1:$I$89,5,0)</f>
        <v>2.1057229335520411</v>
      </c>
      <c r="BF8" s="14">
        <f t="shared" si="37"/>
        <v>0.88983480578256757</v>
      </c>
      <c r="BG8" s="22">
        <f t="shared" si="7"/>
        <v>5.2172630626744434</v>
      </c>
      <c r="BH8" s="62">
        <f t="shared" si="8"/>
        <v>222.64220669373378</v>
      </c>
      <c r="BI8" s="62">
        <f ca="1">AVERAGE(OFFSET($BH$3,0,0,'Données projet'!$E$11+1,1))-AVERAGE(OFFSET($H$3,0,0,'Données projet'!$E$11+1,1))</f>
        <v>381.71417599784968</v>
      </c>
      <c r="BJ8" s="62">
        <f t="shared" si="38"/>
        <v>350.49230135197979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4.8</v>
      </c>
      <c r="BY8" s="13">
        <f>IF('Données projet'!$A$114&gt;35,BY7+BX8-CG7,IF(A8&lt;'Données projet'!$A$114,$BV$205^A8,IF(A8='Données projet'!$A$114,'Données projet'!$B$114,BY7+BX8-CG7)))</f>
        <v>6.9282032302755123</v>
      </c>
      <c r="BZ8" s="14">
        <f>BY8*VLOOKUP('Données projet'!$B$12,Paramètres!$A$1:$I$89,3,0)*VLOOKUP('Données projet'!$B$12,Paramètres!$A$1:$I$89,5,0)</f>
        <v>3.7827989637304298</v>
      </c>
      <c r="CA8" s="14">
        <f t="shared" si="39"/>
        <v>1.4931652103689395</v>
      </c>
      <c r="CB8" s="22">
        <f t="shared" si="10"/>
        <v>9.1889709365564034</v>
      </c>
      <c r="CC8" s="62">
        <f t="shared" si="11"/>
        <v>226.61391456761575</v>
      </c>
      <c r="CD8" s="62">
        <f ca="1">AVERAGE(OFFSET($CC$3,0,0,'Données projet'!$E$12+1,1))-AVERAGE(OFFSET($H$3,0,0,'Données projet'!$E$12+1,1))</f>
        <v>202.72043399839748</v>
      </c>
      <c r="CE8" s="62">
        <f t="shared" si="40"/>
        <v>295.50255983395789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7.1333333333333337</v>
      </c>
      <c r="CT8" s="13">
        <f>IF('Données projet'!$A$140&gt;35,CT7+CS8-DB7,IF(A8&lt;'Données projet'!$A$140,$CQ$205^A8,IF(A8='Données projet'!$A$140,'Données projet'!$B$140,CT7+CS8-DB7)))</f>
        <v>4.7474593985233984</v>
      </c>
      <c r="CU8" s="18">
        <f>CT8*VLOOKUP('Données projet'!$B$13,Paramètres!$A$1:$I$89,3,0)*VLOOKUP('Données projet'!$B$13,Paramètres!$A$1:$I$89,5,0)</f>
        <v>4.1473805305500413</v>
      </c>
      <c r="CV8" s="14">
        <f t="shared" si="41"/>
        <v>1.6196346870133109</v>
      </c>
      <c r="CW8" s="22">
        <f t="shared" si="13"/>
        <v>10.044218170589504</v>
      </c>
      <c r="CX8" s="62">
        <f t="shared" si="14"/>
        <v>227.46916180164885</v>
      </c>
      <c r="CY8" s="62">
        <f ca="1">AVERAGE(OFFSET($CX$3,0,0,'Données projet'!$E$13+1,1))-AVERAGE(OFFSET($H$3,0,0,'Données projet'!$E$13+1,1))</f>
        <v>297.56177871222496</v>
      </c>
      <c r="CZ8" s="62">
        <f t="shared" si="42"/>
        <v>421.5717731815397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1.9</v>
      </c>
      <c r="DO8" s="13">
        <f>IF('Données projet'!$A$166&gt;35,DO7+DN8-DW7,IF(A8&lt;'Données projet'!$A$166,$DL$205^A8,IF(A8='Données projet'!$A$166,'Données projet'!$B$166,DO7+DN8-DW7)))</f>
        <v>4.3588989435406749</v>
      </c>
      <c r="DP8" s="18">
        <f>DO8*VLOOKUP('Données projet'!$B$14,Paramètres!$A$1:$I$89,3,0)*VLOOKUP('Données projet'!$B$14,Paramètres!$A$1:$I$89,5,0)</f>
        <v>3.1959447054040226</v>
      </c>
      <c r="DQ8" s="14">
        <f t="shared" si="43"/>
        <v>1.2865182998910156</v>
      </c>
      <c r="DR8" s="22">
        <f t="shared" si="16"/>
        <v>7.8069564008888577</v>
      </c>
      <c r="DS8" s="62">
        <f t="shared" si="17"/>
        <v>225.23190003194819</v>
      </c>
      <c r="DT8" s="62">
        <f ca="1">AVERAGE(OFFSET($DS$3,0,0,'Données projet'!$E$14+1,1))-AVERAGE(OFFSET($H$3,0,0,'Données projet'!$E$14+1,1))</f>
        <v>667.0152731006724</v>
      </c>
      <c r="DU8" s="62">
        <f t="shared" si="44"/>
        <v>567.40780872008088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2.8271379663210752</v>
      </c>
      <c r="EL8" s="14">
        <f t="shared" si="45"/>
        <v>1.1544158385061292</v>
      </c>
      <c r="EM8" s="22">
        <f t="shared" si="19"/>
        <v>6.9345395434073795</v>
      </c>
      <c r="EN8" s="62">
        <f t="shared" si="20"/>
        <v>224.3594831744667</v>
      </c>
      <c r="EO8" s="62">
        <f ca="1">AVERAGE(OFFSET($EN$3,0,0,'Données projet'!$E$15+1,1))-AVERAGE(OFFSET($H$3,0,0,'Données projet'!$E$15+1,1))</f>
        <v>454.99849419289757</v>
      </c>
      <c r="EP8" s="62">
        <f t="shared" si="46"/>
        <v>288.86643267991928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57.631045232713149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2.7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1.3337999999999999</v>
      </c>
      <c r="D9" s="12">
        <f t="shared" si="32"/>
        <v>0.59440467835601563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11.146096747704593</v>
      </c>
      <c r="H9" s="70">
        <f t="shared" si="1"/>
        <v>220.42495648147008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227.43350357528263</v>
      </c>
      <c r="S9" s="62">
        <f ca="1">AVERAGE(OFFSET($R$3,0,0,'Données projet'!$E$9+1,1))-AVERAGE(OFFSET($H$3,0,0,'Données projet'!$E$9+1,1))</f>
        <v>427.57091071251745</v>
      </c>
      <c r="T9" s="62">
        <f t="shared" si="34"/>
        <v>272.62827206514726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228.36513794712963</v>
      </c>
      <c r="AN9" s="62">
        <f ca="1">AVERAGE(OFFSET($AM$3,0,0,'Données projet'!$E$10+1,1))-AVERAGE(OFFSET($H$3,0,0,'Données projet'!$E$10+1,1))</f>
        <v>475.54515523869958</v>
      </c>
      <c r="AO9" s="62">
        <f t="shared" si="36"/>
        <v>301.02979240961452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8.1284210526315785</v>
      </c>
      <c r="BD9" s="13">
        <f>IF('Données projet'!$A$88&gt;35,BD8+BC9-BL8,IF(A9&lt;'Données projet'!$A$88,$BA$205^A9,IF(A9='Données projet'!$A$88,'Données projet'!$B$88,BD8+BC9-BL8)))</f>
        <v>4.911196411435129</v>
      </c>
      <c r="BE9" s="14">
        <f>BD9*VLOOKUP('Données projet'!$B$11,Paramètres!$A$1:$I$89,3,0)*VLOOKUP('Données projet'!$B$11,Paramètres!$A$1:$I$89,5,0)</f>
        <v>2.7453587939922373</v>
      </c>
      <c r="BF9" s="14">
        <f t="shared" si="37"/>
        <v>1.1248593932289483</v>
      </c>
      <c r="BG9" s="22">
        <f t="shared" si="7"/>
        <v>6.7406300094102312</v>
      </c>
      <c r="BH9" s="62">
        <f t="shared" si="8"/>
        <v>226.1745661413901</v>
      </c>
      <c r="BI9" s="62">
        <f ca="1">AVERAGE(OFFSET($BH$3,0,0,'Données projet'!$E$11+1,1))-AVERAGE(OFFSET($H$3,0,0,'Données projet'!$E$11+1,1))</f>
        <v>381.71417599784968</v>
      </c>
      <c r="BJ9" s="62">
        <f t="shared" si="38"/>
        <v>350.49230135197979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4.8</v>
      </c>
      <c r="BY9" s="13">
        <f>IF('Données projet'!$A$114&gt;35,BY8+BX9-CG8,IF(A9&lt;'Données projet'!$A$114,$BV$205^A9,IF(A9='Données projet'!$A$114,'Données projet'!$B$114,BY8+BX9-CG8)))</f>
        <v>10.203396005006331</v>
      </c>
      <c r="BZ9" s="14">
        <f>BY9*VLOOKUP('Données projet'!$B$12,Paramètres!$A$1:$I$89,3,0)*VLOOKUP('Données projet'!$B$12,Paramètres!$A$1:$I$89,5,0)</f>
        <v>5.5710542187334564</v>
      </c>
      <c r="CA9" s="14">
        <f t="shared" si="39"/>
        <v>2.1021433990173093</v>
      </c>
      <c r="CB9" s="22">
        <f t="shared" si="10"/>
        <v>13.364152517582584</v>
      </c>
      <c r="CC9" s="62">
        <f t="shared" si="11"/>
        <v>232.79808864956246</v>
      </c>
      <c r="CD9" s="62">
        <f ca="1">AVERAGE(OFFSET($CC$3,0,0,'Données projet'!$E$12+1,1))-AVERAGE(OFFSET($H$3,0,0,'Données projet'!$E$12+1,1))</f>
        <v>202.72043399839748</v>
      </c>
      <c r="CE9" s="62">
        <f t="shared" si="40"/>
        <v>295.50255983395789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7.1333333333333337</v>
      </c>
      <c r="CT9" s="13">
        <f>IF('Données projet'!$A$140&gt;35,CT8+CS9-DB8,IF(A9&lt;'Données projet'!$A$140,$CQ$205^A9,IF(A9='Données projet'!$A$140,'Données projet'!$B$140,CT8+CS9-DB8)))</f>
        <v>6.4826639792067677</v>
      </c>
      <c r="CU9" s="18">
        <f>CT9*VLOOKUP('Données projet'!$B$13,Paramètres!$A$1:$I$89,3,0)*VLOOKUP('Données projet'!$B$13,Paramètres!$A$1:$I$89,5,0)</f>
        <v>5.6632552522350332</v>
      </c>
      <c r="CV9" s="14">
        <f t="shared" si="41"/>
        <v>2.1328548607386395</v>
      </c>
      <c r="CW9" s="22">
        <f t="shared" si="13"/>
        <v>13.578225113429147</v>
      </c>
      <c r="CX9" s="62">
        <f t="shared" si="14"/>
        <v>233.012161245409</v>
      </c>
      <c r="CY9" s="62">
        <f ca="1">AVERAGE(OFFSET($CX$3,0,0,'Données projet'!$E$13+1,1))-AVERAGE(OFFSET($H$3,0,0,'Données projet'!$E$13+1,1))</f>
        <v>297.56177871222496</v>
      </c>
      <c r="CZ9" s="62">
        <f t="shared" si="42"/>
        <v>421.5717731815397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1.9</v>
      </c>
      <c r="DO9" s="13">
        <f>IF('Données projet'!$A$166&gt;35,DO8+DN9-DW8,IF(A9&lt;'Données projet'!$A$166,$DL$205^A9,IF(A9='Données projet'!$A$166,'Données projet'!$B$166,DO8+DN9-DW8)))</f>
        <v>5.8512972424092187</v>
      </c>
      <c r="DP9" s="18">
        <f>DO9*VLOOKUP('Données projet'!$B$14,Paramètres!$A$1:$I$89,3,0)*VLOOKUP('Données projet'!$B$14,Paramètres!$A$1:$I$89,5,0)</f>
        <v>4.290171138134439</v>
      </c>
      <c r="DQ9" s="14">
        <f t="shared" si="43"/>
        <v>1.6688090117596963</v>
      </c>
      <c r="DR9" s="22">
        <f t="shared" si="16"/>
        <v>10.378557094398952</v>
      </c>
      <c r="DS9" s="62">
        <f t="shared" si="17"/>
        <v>229.81249322637882</v>
      </c>
      <c r="DT9" s="62">
        <f ca="1">AVERAGE(OFFSET($DS$3,0,0,'Données projet'!$E$14+1,1))-AVERAGE(OFFSET($H$3,0,0,'Données projet'!$E$14+1,1))</f>
        <v>667.0152731006724</v>
      </c>
      <c r="DU9" s="62">
        <f t="shared" si="44"/>
        <v>567.40780872008088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3.5035889333929422</v>
      </c>
      <c r="EL9" s="14">
        <f t="shared" si="45"/>
        <v>1.3953523257036018</v>
      </c>
      <c r="EM9" s="22">
        <f t="shared" si="19"/>
        <v>8.5323226929264795</v>
      </c>
      <c r="EN9" s="62">
        <f t="shared" si="20"/>
        <v>227.96625882490633</v>
      </c>
      <c r="EO9" s="62">
        <f ca="1">AVERAGE(OFFSET($EN$3,0,0,'Données projet'!$E$15+1,1))-AVERAGE(OFFSET($H$3,0,0,'Données projet'!$E$15+1,1))</f>
        <v>454.99849419289757</v>
      </c>
      <c r="EP9" s="62">
        <f t="shared" si="46"/>
        <v>288.86643267991928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57.845618945085413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2.7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1.5560999999999998</v>
      </c>
      <c r="D10" s="12">
        <f t="shared" si="32"/>
        <v>0.68114002706701815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11.742480753988984</v>
      </c>
      <c r="H10" s="70">
        <f t="shared" si="1"/>
        <v>220.96319304714174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231.2728859369426</v>
      </c>
      <c r="S10" s="62">
        <f ca="1">AVERAGE(OFFSET($R$3,0,0,'Données projet'!$E$9+1,1))-AVERAGE(OFFSET($H$3,0,0,'Données projet'!$E$9+1,1))</f>
        <v>427.57091071251745</v>
      </c>
      <c r="T10" s="62">
        <f t="shared" si="34"/>
        <v>272.62827206514726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232.4200159376224</v>
      </c>
      <c r="AN10" s="62">
        <f ca="1">AVERAGE(OFFSET($AM$3,0,0,'Données projet'!$E$10+1,1))-AVERAGE(OFFSET($H$3,0,0,'Données projet'!$E$10+1,1))</f>
        <v>475.54515523869958</v>
      </c>
      <c r="AO10" s="62">
        <f t="shared" si="36"/>
        <v>301.02979240961452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8.1284210526315785</v>
      </c>
      <c r="BD10" s="13">
        <f>IF('Données projet'!$A$88&gt;35,BD9+BC10-BL9,IF(A10&lt;'Données projet'!$A$88,$BA$205^A10,IF(A10='Données projet'!$A$88,'Données projet'!$B$88,BD9+BC10-BL9)))</f>
        <v>6.403024843545178</v>
      </c>
      <c r="BE10" s="14">
        <f>BD10*VLOOKUP('Données projet'!$B$11,Paramètres!$A$1:$I$89,3,0)*VLOOKUP('Données projet'!$B$11,Paramètres!$A$1:$I$89,5,0)</f>
        <v>3.5792908875417546</v>
      </c>
      <c r="BF10" s="14">
        <f t="shared" si="37"/>
        <v>1.4219590493795295</v>
      </c>
      <c r="BG10" s="22">
        <f t="shared" si="7"/>
        <v>8.7105103068045704</v>
      </c>
      <c r="BH10" s="62">
        <f t="shared" si="8"/>
        <v>230.13979023432435</v>
      </c>
      <c r="BI10" s="62">
        <f ca="1">AVERAGE(OFFSET($BH$3,0,0,'Données projet'!$E$11+1,1))-AVERAGE(OFFSET($H$3,0,0,'Données projet'!$E$11+1,1))</f>
        <v>381.71417599784968</v>
      </c>
      <c r="BJ10" s="62">
        <f t="shared" si="38"/>
        <v>350.49230135197979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4.8</v>
      </c>
      <c r="BY10" s="13">
        <f>IF('Données projet'!$A$114&gt;35,BY9+BX10-CG9,IF(A10&lt;'Données projet'!$A$114,$BV$205^A10,IF(A10='Données projet'!$A$114,'Données projet'!$B$114,BY9+BX10-CG9)))</f>
        <v>15.026881656709007</v>
      </c>
      <c r="BZ10" s="14">
        <f>BY10*VLOOKUP('Données projet'!$B$12,Paramètres!$A$1:$I$89,3,0)*VLOOKUP('Données projet'!$B$12,Paramètres!$A$1:$I$89,5,0)</f>
        <v>8.2046773845631176</v>
      </c>
      <c r="CA10" s="14">
        <f t="shared" si="39"/>
        <v>2.959489572450039</v>
      </c>
      <c r="CB10" s="22">
        <f t="shared" si="10"/>
        <v>19.444257450131246</v>
      </c>
      <c r="CC10" s="62">
        <f t="shared" si="11"/>
        <v>240.87353737765102</v>
      </c>
      <c r="CD10" s="62">
        <f ca="1">AVERAGE(OFFSET($CC$3,0,0,'Données projet'!$E$12+1,1))-AVERAGE(OFFSET($H$3,0,0,'Données projet'!$E$12+1,1))</f>
        <v>202.72043399839748</v>
      </c>
      <c r="CE10" s="62">
        <f t="shared" si="40"/>
        <v>295.50255983395789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7.1333333333333337</v>
      </c>
      <c r="CT10" s="13">
        <f>IF('Données projet'!$A$140&gt;35,CT9+CS10-DB9,IF(A10&lt;'Données projet'!$A$140,$CQ$205^A10,IF(A10='Données projet'!$A$140,'Données projet'!$B$140,CT9+CS10-DB9)))</f>
        <v>8.8520888204701524</v>
      </c>
      <c r="CU10" s="18">
        <f>CT10*VLOOKUP('Données projet'!$B$13,Paramètres!$A$1:$I$89,3,0)*VLOOKUP('Données projet'!$B$13,Paramètres!$A$1:$I$89,5,0)</f>
        <v>7.7331847935627263</v>
      </c>
      <c r="CV10" s="14">
        <f t="shared" si="41"/>
        <v>2.8087011802427866</v>
      </c>
      <c r="CW10" s="22">
        <f t="shared" si="13"/>
        <v>18.360451404377937</v>
      </c>
      <c r="CX10" s="62">
        <f t="shared" si="14"/>
        <v>239.78973133189771</v>
      </c>
      <c r="CY10" s="62">
        <f ca="1">AVERAGE(OFFSET($CX$3,0,0,'Données projet'!$E$13+1,1))-AVERAGE(OFFSET($H$3,0,0,'Données projet'!$E$13+1,1))</f>
        <v>297.56177871222496</v>
      </c>
      <c r="CZ10" s="62">
        <f t="shared" si="42"/>
        <v>421.5717731815397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1.9</v>
      </c>
      <c r="DO10" s="13">
        <f>IF('Données projet'!$A$166&gt;35,DO9+DN10-DW9,IF(A10&lt;'Données projet'!$A$166,$DL$205^A10,IF(A10='Données projet'!$A$166,'Données projet'!$B$166,DO9+DN10-DW9)))</f>
        <v>7.8546623499408135</v>
      </c>
      <c r="DP10" s="18">
        <f>DO10*VLOOKUP('Données projet'!$B$14,Paramètres!$A$1:$I$89,3,0)*VLOOKUP('Données projet'!$B$14,Paramètres!$A$1:$I$89,5,0)</f>
        <v>5.7590384349766044</v>
      </c>
      <c r="DQ10" s="14">
        <f t="shared" si="43"/>
        <v>2.1646979432521807</v>
      </c>
      <c r="DR10" s="22">
        <f t="shared" si="16"/>
        <v>13.800507525415135</v>
      </c>
      <c r="DS10" s="62">
        <f t="shared" si="17"/>
        <v>235.22978745293491</v>
      </c>
      <c r="DT10" s="62">
        <f ca="1">AVERAGE(OFFSET($DS$3,0,0,'Données projet'!$E$14+1,1))-AVERAGE(OFFSET($H$3,0,0,'Données projet'!$E$14+1,1))</f>
        <v>667.0152731006724</v>
      </c>
      <c r="DU10" s="62">
        <f t="shared" si="44"/>
        <v>567.40780872008088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4.3418947219498456</v>
      </c>
      <c r="EL10" s="14">
        <f t="shared" si="45"/>
        <v>1.6865743243491664</v>
      </c>
      <c r="EM10" s="22">
        <f t="shared" si="19"/>
        <v>10.499583588970779</v>
      </c>
      <c r="EN10" s="62">
        <f t="shared" si="20"/>
        <v>231.92886351649057</v>
      </c>
      <c r="EO10" s="62">
        <f ca="1">AVERAGE(OFFSET($EN$3,0,0,'Données projet'!$E$15+1,1))-AVERAGE(OFFSET($H$3,0,0,'Données projet'!$E$15+1,1))</f>
        <v>454.99849419289757</v>
      </c>
      <c r="EP10" s="62">
        <f t="shared" si="46"/>
        <v>288.86643267991928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58.056470283262968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2.7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1.7783999999999998</v>
      </c>
      <c r="D11" s="12">
        <f t="shared" si="32"/>
        <v>0.76643986660078545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12.336094479405027</v>
      </c>
      <c r="H11" s="70">
        <f t="shared" si="1"/>
        <v>221.49892943432974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235.5254662344494</v>
      </c>
      <c r="S11" s="62">
        <f ca="1">AVERAGE(OFFSET($R$3,0,0,'Données projet'!$E$9+1,1))-AVERAGE(OFFSET($H$3,0,0,'Données projet'!$E$9+1,1))</f>
        <v>427.57091071251745</v>
      </c>
      <c r="T11" s="62">
        <f t="shared" si="34"/>
        <v>272.62827206514726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236.93810562261484</v>
      </c>
      <c r="AN11" s="62">
        <f ca="1">AVERAGE(OFFSET($AM$3,0,0,'Données projet'!$E$10+1,1))-AVERAGE(OFFSET($H$3,0,0,'Données projet'!$E$10+1,1))</f>
        <v>475.54515523869958</v>
      </c>
      <c r="AO11" s="62">
        <f t="shared" si="36"/>
        <v>301.02979240961452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8.1284210526315785</v>
      </c>
      <c r="BD11" s="13">
        <f>IF('Données projet'!$A$88&gt;35,BD10+BC11-BL10,IF(A11&lt;'Données projet'!$A$88,$BA$205^A11,IF(A11='Données projet'!$A$88,'Données projet'!$B$88,BD10+BC11-BL10)))</f>
        <v>8.3480121160693486</v>
      </c>
      <c r="BE11" s="14">
        <f>BD11*VLOOKUP('Données projet'!$B$11,Paramètres!$A$1:$I$89,3,0)*VLOOKUP('Données projet'!$B$11,Paramètres!$A$1:$I$89,5,0)</f>
        <v>4.6665387728827659</v>
      </c>
      <c r="BF11" s="14">
        <f t="shared" si="37"/>
        <v>1.7975291403383375</v>
      </c>
      <c r="BG11" s="22">
        <f t="shared" si="7"/>
        <v>11.258251615526754</v>
      </c>
      <c r="BH11" s="62">
        <f t="shared" si="8"/>
        <v>234.66946340773026</v>
      </c>
      <c r="BI11" s="62">
        <f ca="1">AVERAGE(OFFSET($BH$3,0,0,'Données projet'!$E$11+1,1))-AVERAGE(OFFSET($H$3,0,0,'Données projet'!$E$11+1,1))</f>
        <v>381.71417599784968</v>
      </c>
      <c r="BJ11" s="62">
        <f t="shared" si="38"/>
        <v>350.49230135197979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4.8</v>
      </c>
      <c r="BY11" s="13">
        <f>IF('Données projet'!$A$114&gt;35,BY10+BX11-CG10,IF(A11&lt;'Données projet'!$A$114,$BV$205^A11,IF(A11='Données projet'!$A$114,'Données projet'!$B$114,BY10+BX11-CG10)))</f>
        <v>22.130589875561483</v>
      </c>
      <c r="BZ11" s="14">
        <f>BY11*VLOOKUP('Données projet'!$B$12,Paramètres!$A$1:$I$89,3,0)*VLOOKUP('Données projet'!$B$12,Paramètres!$A$1:$I$89,5,0)</f>
        <v>12.08330207205657</v>
      </c>
      <c r="CA11" s="14">
        <f t="shared" si="39"/>
        <v>4.166499075912184</v>
      </c>
      <c r="CB11" s="22">
        <f t="shared" si="10"/>
        <v>28.301736999378914</v>
      </c>
      <c r="CC11" s="62">
        <f t="shared" si="11"/>
        <v>251.71294879158242</v>
      </c>
      <c r="CD11" s="62">
        <f ca="1">AVERAGE(OFFSET($CC$3,0,0,'Données projet'!$E$12+1,1))-AVERAGE(OFFSET($H$3,0,0,'Données projet'!$E$12+1,1))</f>
        <v>202.72043399839748</v>
      </c>
      <c r="CE11" s="62">
        <f t="shared" si="40"/>
        <v>295.50255983395789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7.1333333333333337</v>
      </c>
      <c r="CT11" s="13">
        <f>IF('Données projet'!$A$140&gt;35,CT10+CS11-DB10,IF(A11&lt;'Données projet'!$A$140,$CQ$205^A11,IF(A11='Données projet'!$A$140,'Données projet'!$B$140,CT10+CS11-DB10)))</f>
        <v>12.087542519068045</v>
      </c>
      <c r="CU11" s="18">
        <f>CT11*VLOOKUP('Données projet'!$B$13,Paramètres!$A$1:$I$89,3,0)*VLOOKUP('Données projet'!$B$13,Paramètres!$A$1:$I$89,5,0)</f>
        <v>10.559677144657845</v>
      </c>
      <c r="CV11" s="14">
        <f t="shared" si="41"/>
        <v>3.6987056480557761</v>
      </c>
      <c r="CW11" s="22">
        <f t="shared" si="13"/>
        <v>24.83335003064289</v>
      </c>
      <c r="CX11" s="62">
        <f t="shared" si="14"/>
        <v>248.24456182284641</v>
      </c>
      <c r="CY11" s="62">
        <f ca="1">AVERAGE(OFFSET($CX$3,0,0,'Données projet'!$E$13+1,1))-AVERAGE(OFFSET($H$3,0,0,'Données projet'!$E$13+1,1))</f>
        <v>297.56177871222496</v>
      </c>
      <c r="CZ11" s="62">
        <f t="shared" si="42"/>
        <v>421.5717731815397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1.9</v>
      </c>
      <c r="DO11" s="13">
        <f>IF('Données projet'!$A$166&gt;35,DO10+DN11-DW10,IF(A11&lt;'Données projet'!$A$166,$DL$205^A11,IF(A11='Données projet'!$A$166,'Données projet'!$B$166,DO10+DN11-DW10)))</f>
        <v>10.543938903738736</v>
      </c>
      <c r="DP11" s="18">
        <f>DO11*VLOOKUP('Données projet'!$B$14,Paramètres!$A$1:$I$89,3,0)*VLOOKUP('Données projet'!$B$14,Paramètres!$A$1:$I$89,5,0)</f>
        <v>7.730816004221241</v>
      </c>
      <c r="DQ11" s="14">
        <f t="shared" si="43"/>
        <v>2.8079409641844508</v>
      </c>
      <c r="DR11" s="22">
        <f t="shared" si="16"/>
        <v>18.355001719973249</v>
      </c>
      <c r="DS11" s="62">
        <f t="shared" si="17"/>
        <v>241.76621351217676</v>
      </c>
      <c r="DT11" s="62">
        <f ca="1">AVERAGE(OFFSET($DS$3,0,0,'Données projet'!$E$14+1,1))-AVERAGE(OFFSET($H$3,0,0,'Données projet'!$E$14+1,1))</f>
        <v>667.0152731006724</v>
      </c>
      <c r="DU11" s="62">
        <f t="shared" si="44"/>
        <v>567.40780872008088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5.3807824305002701</v>
      </c>
      <c r="EL11" s="14">
        <f t="shared" si="45"/>
        <v>2.0385768519929188</v>
      </c>
      <c r="EM11" s="22">
        <f t="shared" si="19"/>
        <v>12.922050750342303</v>
      </c>
      <c r="EN11" s="62">
        <f t="shared" si="20"/>
        <v>236.33326254254581</v>
      </c>
      <c r="EO11" s="62">
        <f ca="1">AVERAGE(OFFSET($EN$3,0,0,'Données projet'!$E$15+1,1))-AVERAGE(OFFSET($H$3,0,0,'Données projet'!$E$15+1,1))</f>
        <v>454.99849419289757</v>
      </c>
      <c r="EP11" s="62">
        <f t="shared" si="46"/>
        <v>288.86643267991928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58.263663822116115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2.7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2.0006999999999997</v>
      </c>
      <c r="D12" s="12">
        <f t="shared" si="32"/>
        <v>0.85050418598513788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12.927323867690617</v>
      </c>
      <c r="H12" s="70">
        <f t="shared" si="1"/>
        <v>222.03251395725746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240.29050219348119</v>
      </c>
      <c r="S12" s="62">
        <f ca="1">AVERAGE(OFFSET($R$3,0,0,'Données projet'!$E$9+1,1))-AVERAGE(OFFSET($H$3,0,0,'Données projet'!$E$9+1,1))</f>
        <v>427.57091071251745</v>
      </c>
      <c r="T12" s="62">
        <f t="shared" si="34"/>
        <v>272.62827206514726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242.03030846685843</v>
      </c>
      <c r="AN12" s="62">
        <f ca="1">AVERAGE(OFFSET($AM$3,0,0,'Données projet'!$E$10+1,1))-AVERAGE(OFFSET($H$3,0,0,'Données projet'!$E$10+1,1))</f>
        <v>475.54515523869958</v>
      </c>
      <c r="AO12" s="62">
        <f t="shared" si="36"/>
        <v>301.02979240961452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8.1284210526315785</v>
      </c>
      <c r="BD12" s="13">
        <f>IF('Données projet'!$A$88&gt;35,BD11+BC12-BL11,IF(A12&lt;'Données projet'!$A$88,$BA$205^A12,IF(A12='Données projet'!$A$88,'Données projet'!$B$88,BD11+BC12-BL11)))</f>
        <v>10.883810073030356</v>
      </c>
      <c r="BE12" s="14">
        <f>BD12*VLOOKUP('Données projet'!$B$11,Paramètres!$A$1:$I$89,3,0)*VLOOKUP('Données projet'!$B$11,Paramètres!$A$1:$I$89,5,0)</f>
        <v>6.084049830823969</v>
      </c>
      <c r="BF12" s="14">
        <f t="shared" si="37"/>
        <v>2.272295402441705</v>
      </c>
      <c r="BG12" s="22">
        <f t="shared" si="7"/>
        <v>14.553967947937716</v>
      </c>
      <c r="BH12" s="62">
        <f t="shared" si="8"/>
        <v>239.93393234098465</v>
      </c>
      <c r="BI12" s="62">
        <f ca="1">AVERAGE(OFFSET($BH$3,0,0,'Données projet'!$E$11+1,1))-AVERAGE(OFFSET($H$3,0,0,'Données projet'!$E$11+1,1))</f>
        <v>381.71417599784968</v>
      </c>
      <c r="BJ12" s="62">
        <f t="shared" si="38"/>
        <v>350.49230135197979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4.8</v>
      </c>
      <c r="BY12" s="13">
        <f>IF('Données projet'!$A$114&gt;35,BY11+BX12-CG11,IF(A12&lt;'Données projet'!$A$114,$BV$205^A12,IF(A12='Données projet'!$A$114,'Données projet'!$B$114,BY11+BX12-CG11)))</f>
        <v>32.592457931658856</v>
      </c>
      <c r="BZ12" s="14">
        <f>BY12*VLOOKUP('Données projet'!$B$12,Paramètres!$A$1:$I$89,3,0)*VLOOKUP('Données projet'!$B$12,Paramètres!$A$1:$I$89,5,0)</f>
        <v>17.795482030685736</v>
      </c>
      <c r="CA12" s="14">
        <f t="shared" si="39"/>
        <v>5.8657799342086214</v>
      </c>
      <c r="CB12" s="22">
        <f t="shared" si="10"/>
        <v>41.210031255524335</v>
      </c>
      <c r="CC12" s="62">
        <f t="shared" si="11"/>
        <v>266.58999564857129</v>
      </c>
      <c r="CD12" s="62">
        <f ca="1">AVERAGE(OFFSET($CC$3,0,0,'Données projet'!$E$12+1,1))-AVERAGE(OFFSET($H$3,0,0,'Données projet'!$E$12+1,1))</f>
        <v>202.72043399839748</v>
      </c>
      <c r="CE12" s="62">
        <f t="shared" si="40"/>
        <v>295.50255983395789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7.1333333333333337</v>
      </c>
      <c r="CT12" s="13">
        <f>IF('Données projet'!$A$140&gt;35,CT11+CS12-DB11,IF(A12&lt;'Données projet'!$A$140,$CQ$205^A12,IF(A12='Données projet'!$A$140,'Données projet'!$B$140,CT11+CS12-DB11)))</f>
        <v>16.505560112818404</v>
      </c>
      <c r="CU12" s="18">
        <f>CT12*VLOOKUP('Données projet'!$B$13,Paramètres!$A$1:$I$89,3,0)*VLOOKUP('Données projet'!$B$13,Paramètres!$A$1:$I$89,5,0)</f>
        <v>14.419257314558161</v>
      </c>
      <c r="CV12" s="14">
        <f t="shared" si="41"/>
        <v>4.870729420129039</v>
      </c>
      <c r="CW12" s="22">
        <f t="shared" si="13"/>
        <v>33.596726896246878</v>
      </c>
      <c r="CX12" s="62">
        <f t="shared" si="14"/>
        <v>258.97669128929385</v>
      </c>
      <c r="CY12" s="62">
        <f ca="1">AVERAGE(OFFSET($CX$3,0,0,'Données projet'!$E$13+1,1))-AVERAGE(OFFSET($H$3,0,0,'Données projet'!$E$13+1,1))</f>
        <v>297.56177871222496</v>
      </c>
      <c r="CZ12" s="62">
        <f t="shared" si="42"/>
        <v>421.5717731815397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1.9</v>
      </c>
      <c r="DO12" s="13">
        <f>IF('Données projet'!$A$166&gt;35,DO11+DN12-DW11,IF(A12&lt;'Données projet'!$A$166,$DL$205^A12,IF(A12='Données projet'!$A$166,'Données projet'!$B$166,DO11+DN12-DW11)))</f>
        <v>14.153969025366564</v>
      </c>
      <c r="DP12" s="18">
        <f>DO12*VLOOKUP('Données projet'!$B$14,Paramètres!$A$1:$I$89,3,0)*VLOOKUP('Données projet'!$B$14,Paramètres!$A$1:$I$89,5,0)</f>
        <v>10.377690089398765</v>
      </c>
      <c r="DQ12" s="14">
        <f t="shared" si="43"/>
        <v>3.6423245482922235</v>
      </c>
      <c r="DR12" s="22">
        <f t="shared" si="16"/>
        <v>24.418192160645134</v>
      </c>
      <c r="DS12" s="62">
        <f t="shared" si="17"/>
        <v>249.79815655369208</v>
      </c>
      <c r="DT12" s="62">
        <f ca="1">AVERAGE(OFFSET($DS$3,0,0,'Données projet'!$E$14+1,1))-AVERAGE(OFFSET($H$3,0,0,'Données projet'!$E$14+1,1))</f>
        <v>667.0152731006724</v>
      </c>
      <c r="DU12" s="62">
        <f t="shared" si="44"/>
        <v>567.40780872008088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6.6682454132324853</v>
      </c>
      <c r="EL12" s="14">
        <f t="shared" si="45"/>
        <v>2.4640453263659414</v>
      </c>
      <c r="EM12" s="22">
        <f t="shared" si="19"/>
        <v>15.905406371467258</v>
      </c>
      <c r="EN12" s="62">
        <f t="shared" si="20"/>
        <v>241.2853707645142</v>
      </c>
      <c r="EO12" s="62">
        <f ca="1">AVERAGE(OFFSET($EN$3,0,0,'Données projet'!$E$15+1,1))-AVERAGE(OFFSET($H$3,0,0,'Données projet'!$E$15+1,1))</f>
        <v>454.99849419289757</v>
      </c>
      <c r="EP12" s="62">
        <f t="shared" si="46"/>
        <v>288.86643267991928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58.467263016285528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2.7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2.2229999999999999</v>
      </c>
      <c r="D13" s="12">
        <f t="shared" si="32"/>
        <v>0.93348592504562822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13.516464065877528</v>
      </c>
      <c r="H13" s="70">
        <f t="shared" si="1"/>
        <v>222.56421298612116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245.69030469815442</v>
      </c>
      <c r="S13" s="62">
        <f ca="1">AVERAGE(OFFSET($R$3,0,0,'Données projet'!$E$9+1,1))-AVERAGE(OFFSET($H$3,0,0,'Données projet'!$E$9+1,1))</f>
        <v>427.57091071251745</v>
      </c>
      <c r="T13" s="62">
        <f t="shared" si="34"/>
        <v>272.62827206514726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247.8332976677778</v>
      </c>
      <c r="AN13" s="62">
        <f ca="1">AVERAGE(OFFSET($AM$3,0,0,'Données projet'!$E$10+1,1))-AVERAGE(OFFSET($H$3,0,0,'Données projet'!$E$10+1,1))</f>
        <v>475.54515523869958</v>
      </c>
      <c r="AO13" s="62">
        <f t="shared" si="36"/>
        <v>301.02979240961452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8.1284210526315785</v>
      </c>
      <c r="BD13" s="13">
        <f>IF('Données projet'!$A$88&gt;35,BD12+BC13-BL12,IF(A13&lt;'Données projet'!$A$88,$BA$205^A13,IF(A13='Données projet'!$A$88,'Données projet'!$B$88,BD12+BC13-BL12)))</f>
        <v>14.189883778172153</v>
      </c>
      <c r="BE13" s="14">
        <f>BD13*VLOOKUP('Données projet'!$B$11,Paramètres!$A$1:$I$89,3,0)*VLOOKUP('Données projet'!$B$11,Paramètres!$A$1:$I$89,5,0)</f>
        <v>7.9321450319982336</v>
      </c>
      <c r="BF13" s="14">
        <f t="shared" si="37"/>
        <v>2.8724576865473512</v>
      </c>
      <c r="BG13" s="22">
        <f t="shared" si="7"/>
        <v>18.818016401466895</v>
      </c>
      <c r="BH13" s="62">
        <f t="shared" si="8"/>
        <v>246.15378276228006</v>
      </c>
      <c r="BI13" s="62">
        <f ca="1">AVERAGE(OFFSET($BH$3,0,0,'Données projet'!$E$11+1,1))-AVERAGE(OFFSET($H$3,0,0,'Données projet'!$E$11+1,1))</f>
        <v>381.71417599784968</v>
      </c>
      <c r="BJ13" s="62">
        <f t="shared" si="38"/>
        <v>350.49230135197979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48</v>
      </c>
      <c r="BW13" s="13">
        <f>VLOOKUP(A13,'Données projet'!$A$113:$I$133,9,0)</f>
        <v>4.8</v>
      </c>
      <c r="BX13" s="13">
        <f t="array" ref="BX13">INDEX(BW:BW,MIN(IF(ISNUMBER(BW13:BW209),ROW(BW13:BW209),"")))</f>
        <v>4.8</v>
      </c>
      <c r="BY13" s="13">
        <f>IF('Données projet'!$A$114&gt;35,BY12+BX13-CG12,IF(A13&lt;'Données projet'!$A$114,$BV$205^A13,IF(A13='Données projet'!$A$114,'Données projet'!$B$114,BY12+BX13-CG12)))</f>
        <v>48</v>
      </c>
      <c r="BZ13" s="14">
        <f>BY13*VLOOKUP('Données projet'!$B$12,Paramètres!$A$1:$I$89,3,0)*VLOOKUP('Données projet'!$B$12,Paramètres!$A$1:$I$89,5,0)</f>
        <v>26.208000000000002</v>
      </c>
      <c r="CA13" s="14">
        <f t="shared" si="39"/>
        <v>8.2581019723450986</v>
      </c>
      <c r="CB13" s="22">
        <f t="shared" si="10"/>
        <v>60.028460935167708</v>
      </c>
      <c r="CC13" s="62">
        <f t="shared" si="11"/>
        <v>287.36422729598087</v>
      </c>
      <c r="CD13" s="62">
        <f ca="1">AVERAGE(OFFSET($CC$3,0,0,'Données projet'!$E$12+1,1))-AVERAGE(OFFSET($H$3,0,0,'Données projet'!$E$12+1,1))</f>
        <v>202.72043399839748</v>
      </c>
      <c r="CE13" s="62">
        <f t="shared" si="40"/>
        <v>295.50255983395789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10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7.1333333333333337</v>
      </c>
      <c r="CT13" s="13">
        <f>IF('Données projet'!$A$140&gt;35,CT12+CS13-DB12,IF(A13&lt;'Données projet'!$A$140,$CQ$205^A13,IF(A13='Données projet'!$A$140,'Données projet'!$B$140,CT12+CS13-DB12)))</f>
        <v>22.538370740628146</v>
      </c>
      <c r="CU13" s="18">
        <f>CT13*VLOOKUP('Données projet'!$B$13,Paramètres!$A$1:$I$89,3,0)*VLOOKUP('Données projet'!$B$13,Paramètres!$A$1:$I$89,5,0)</f>
        <v>19.689520679012752</v>
      </c>
      <c r="CV13" s="14">
        <f t="shared" si="41"/>
        <v>6.414137090520053</v>
      </c>
      <c r="CW13" s="22">
        <f t="shared" si="13"/>
        <v>45.463870615269634</v>
      </c>
      <c r="CX13" s="62">
        <f t="shared" si="14"/>
        <v>272.79963697608281</v>
      </c>
      <c r="CY13" s="62">
        <f ca="1">AVERAGE(OFFSET($CX$3,0,0,'Données projet'!$E$13+1,1))-AVERAGE(OFFSET($H$3,0,0,'Données projet'!$E$13+1,1))</f>
        <v>297.56177871222496</v>
      </c>
      <c r="CZ13" s="62">
        <f t="shared" si="42"/>
        <v>421.5717731815397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19</v>
      </c>
      <c r="DM13" s="13">
        <f>VLOOKUP(A13,'Données projet'!$A$165:$I$185,9,0)</f>
        <v>1.9</v>
      </c>
      <c r="DN13" s="13">
        <f t="array" ref="DN13">INDEX(DM:DM,MIN(IF(ISNUMBER(DM13:DM209),ROW(DM13:DM209),"")))</f>
        <v>1.9</v>
      </c>
      <c r="DO13" s="13">
        <f>IF('Données projet'!$A$166&gt;35,DO12+DN13-DW12,IF(A13&lt;'Données projet'!$A$166,$DL$205^A13,IF(A13='Données projet'!$A$166,'Données projet'!$B$166,DO12+DN13-DW12)))</f>
        <v>19</v>
      </c>
      <c r="DP13" s="18">
        <f>DO13*VLOOKUP('Données projet'!$B$14,Paramètres!$A$1:$I$89,3,0)*VLOOKUP('Données projet'!$B$14,Paramètres!$A$1:$I$89,5,0)</f>
        <v>13.9308</v>
      </c>
      <c r="DQ13" s="14">
        <f t="shared" si="43"/>
        <v>4.7246463812124082</v>
      </c>
      <c r="DR13" s="22">
        <f t="shared" si="16"/>
        <v>32.491569113944941</v>
      </c>
      <c r="DS13" s="62">
        <f t="shared" si="17"/>
        <v>259.82733547475812</v>
      </c>
      <c r="DT13" s="62">
        <f ca="1">AVERAGE(OFFSET($DS$3,0,0,'Données projet'!$E$14+1,1))-AVERAGE(OFFSET($H$3,0,0,'Données projet'!$E$14+1,1))</f>
        <v>667.0152731006724</v>
      </c>
      <c r="DU13" s="62">
        <f t="shared" si="44"/>
        <v>567.40780872008088</v>
      </c>
      <c r="DV13" s="16">
        <f>IF(ISNA(VLOOKUP(A13,'Données projet'!$A$165:$I$185,3,0)),0,VLOOKUP(A13,'Données projet'!$A$165:$I$185,3,0))</f>
        <v>19</v>
      </c>
      <c r="DW13" s="16">
        <f>IF(ISNA(VLOOKUP(A13,'Données projet'!$A$165:$I$185,4,0)),0,VLOOKUP(A13,'Données projet'!$A$165:$I$185,4,0))</f>
        <v>7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8.2637604224711172</v>
      </c>
      <c r="EL13" s="14">
        <f t="shared" si="45"/>
        <v>2.9783127206856603</v>
      </c>
      <c r="EM13" s="22">
        <f t="shared" si="19"/>
        <v>19.579944057664719</v>
      </c>
      <c r="EN13" s="62">
        <f t="shared" si="20"/>
        <v>246.91571041847789</v>
      </c>
      <c r="EO13" s="62">
        <f ca="1">AVERAGE(OFFSET($EN$3,0,0,'Données projet'!$E$15+1,1))-AVERAGE(OFFSET($H$3,0,0,'Données projet'!$E$15+1,1))</f>
        <v>454.99849419289757</v>
      </c>
      <c r="EP13" s="62">
        <f t="shared" si="46"/>
        <v>288.86643267991928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58.6673302196157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2.7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2.4453</v>
      </c>
      <c r="D14" s="12">
        <f t="shared" si="32"/>
        <v>1.0155056655989092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14.103747775717196</v>
      </c>
      <c r="H14" s="70">
        <f t="shared" si="1"/>
        <v>223.09423653425145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251.87562190792684</v>
      </c>
      <c r="S14" s="62">
        <f ca="1">AVERAGE(OFFSET($R$3,0,0,'Données projet'!$E$9+1,1))-AVERAGE(OFFSET($H$3,0,0,'Données projet'!$E$9+1,1))</f>
        <v>427.57091071251745</v>
      </c>
      <c r="T14" s="62">
        <f t="shared" si="34"/>
        <v>272.62827206514726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254.51553867399781</v>
      </c>
      <c r="AN14" s="62">
        <f ca="1">AVERAGE(OFFSET($AM$3,0,0,'Données projet'!$E$10+1,1))-AVERAGE(OFFSET($H$3,0,0,'Données projet'!$E$10+1,1))</f>
        <v>475.54515523869958</v>
      </c>
      <c r="AO14" s="62">
        <f t="shared" si="36"/>
        <v>301.02979240961452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8.1284210526315785</v>
      </c>
      <c r="BD14" s="13">
        <f>IF('Données projet'!$A$88&gt;35,BD13+BC14-BL13,IF(A14&lt;'Données projet'!$A$88,$BA$205^A14,IF(A14='Données projet'!$A$88,'Données projet'!$B$88,BD13+BC14-BL13)))</f>
        <v>18.500212727616166</v>
      </c>
      <c r="BE14" s="14">
        <f>BD14*VLOOKUP('Données projet'!$B$11,Paramètres!$A$1:$I$89,3,0)*VLOOKUP('Données projet'!$B$11,Paramètres!$A$1:$I$89,5,0)</f>
        <v>10.341618914737436</v>
      </c>
      <c r="BF14" s="14">
        <f t="shared" si="37"/>
        <v>3.6311357898884093</v>
      </c>
      <c r="BG14" s="22">
        <f t="shared" si="7"/>
        <v>24.335881110556681</v>
      </c>
      <c r="BH14" s="62">
        <f t="shared" si="8"/>
        <v>253.61472347058941</v>
      </c>
      <c r="BI14" s="62">
        <f ca="1">AVERAGE(OFFSET($BH$3,0,0,'Données projet'!$E$11+1,1))-AVERAGE(OFFSET($H$3,0,0,'Données projet'!$E$11+1,1))</f>
        <v>381.71417599784968</v>
      </c>
      <c r="BJ14" s="62">
        <f t="shared" si="38"/>
        <v>350.49230135197979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14.8</v>
      </c>
      <c r="BY14" s="13">
        <f>IF('Données projet'!$A$114&gt;35,BY13+BX14-CG13,IF(A14&lt;'Données projet'!$A$114,$BV$205^A14,IF(A14='Données projet'!$A$114,'Données projet'!$B$114,BY13+BX14-CG13)))</f>
        <v>52.8</v>
      </c>
      <c r="BZ14" s="14">
        <f>BY14*VLOOKUP('Données projet'!$B$12,Paramètres!$A$1:$I$89,3,0)*VLOOKUP('Données projet'!$B$12,Paramètres!$A$1:$I$89,5,0)</f>
        <v>28.828799999999998</v>
      </c>
      <c r="CA14" s="14">
        <f t="shared" si="39"/>
        <v>8.983691253405949</v>
      </c>
      <c r="CB14" s="22">
        <f t="shared" si="10"/>
        <v>65.856755599682018</v>
      </c>
      <c r="CC14" s="62">
        <f t="shared" si="11"/>
        <v>295.13559795971474</v>
      </c>
      <c r="CD14" s="62">
        <f ca="1">AVERAGE(OFFSET($CC$3,0,0,'Données projet'!$E$12+1,1))-AVERAGE(OFFSET($H$3,0,0,'Données projet'!$E$12+1,1))</f>
        <v>202.72043399839748</v>
      </c>
      <c r="CE14" s="62">
        <f t="shared" si="40"/>
        <v>295.50255983395789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7.1333333333333337</v>
      </c>
      <c r="CT14" s="13">
        <f>IF('Données projet'!$A$140&gt;35,CT13+CS14-DB13,IF(A14&lt;'Données projet'!$A$140,$CQ$205^A14,IF(A14='Données projet'!$A$140,'Données projet'!$B$140,CT13+CS14-DB13)))</f>
        <v>30.776184035554262</v>
      </c>
      <c r="CU14" s="18">
        <f>CT14*VLOOKUP('Données projet'!$B$13,Paramètres!$A$1:$I$89,3,0)*VLOOKUP('Données projet'!$B$13,Paramètres!$A$1:$I$89,5,0)</f>
        <v>26.886074373460207</v>
      </c>
      <c r="CV14" s="14">
        <f t="shared" si="41"/>
        <v>8.4466105725279856</v>
      </c>
      <c r="CW14" s="22">
        <f t="shared" si="13"/>
        <v>61.537759614262761</v>
      </c>
      <c r="CX14" s="62">
        <f t="shared" si="14"/>
        <v>290.81660197429551</v>
      </c>
      <c r="CY14" s="62">
        <f ca="1">AVERAGE(OFFSET($CX$3,0,0,'Données projet'!$E$13+1,1))-AVERAGE(OFFSET($H$3,0,0,'Données projet'!$E$13+1,1))</f>
        <v>297.56177871222496</v>
      </c>
      <c r="CZ14" s="62">
        <f t="shared" si="42"/>
        <v>421.5717731815397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15.8</v>
      </c>
      <c r="DO14" s="13">
        <f>IF('Données projet'!$A$166&gt;35,DO13+DN14-DW13,IF(A14&lt;'Données projet'!$A$166,$DL$205^A14,IF(A14='Données projet'!$A$166,'Données projet'!$B$166,DO13+DN14-DW13)))</f>
        <v>27.799999999999997</v>
      </c>
      <c r="DP14" s="18">
        <f>DO14*VLOOKUP('Données projet'!$B$14,Paramètres!$A$1:$I$89,3,0)*VLOOKUP('Données projet'!$B$14,Paramètres!$A$1:$I$89,5,0)</f>
        <v>20.382959999999997</v>
      </c>
      <c r="DQ14" s="14">
        <f t="shared" si="43"/>
        <v>6.6133363152690423</v>
      </c>
      <c r="DR14" s="22">
        <f t="shared" si="16"/>
        <v>47.018549415760241</v>
      </c>
      <c r="DS14" s="62">
        <f t="shared" si="17"/>
        <v>276.29739177579296</v>
      </c>
      <c r="DT14" s="62">
        <f ca="1">AVERAGE(OFFSET($DS$3,0,0,'Données projet'!$E$14+1,1))-AVERAGE(OFFSET($H$3,0,0,'Données projet'!$E$14+1,1))</f>
        <v>667.0152731006724</v>
      </c>
      <c r="DU14" s="62">
        <f t="shared" si="44"/>
        <v>567.40780872008088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10.241035248115747</v>
      </c>
      <c r="EL14" s="14">
        <f t="shared" si="45"/>
        <v>3.5999121311945652</v>
      </c>
      <c r="EM14" s="22">
        <f t="shared" si="19"/>
        <v>24.106316685632123</v>
      </c>
      <c r="EN14" s="62">
        <f t="shared" si="20"/>
        <v>253.38515904566486</v>
      </c>
      <c r="EO14" s="62">
        <f ca="1">AVERAGE(OFFSET($EN$3,0,0,'Données projet'!$E$15+1,1))-AVERAGE(OFFSET($H$3,0,0,'Données projet'!$E$15+1,1))</f>
        <v>454.99849419289757</v>
      </c>
      <c r="EP14" s="62">
        <f t="shared" si="46"/>
        <v>288.86643267991928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58.863926704251355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2.7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15" s="12">
        <f t="shared" si="32"/>
        <v>1.0966608080083624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14.689362962823157</v>
      </c>
      <c r="H15" s="70">
        <f t="shared" si="1"/>
        <v>223.6227542406146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259.03228388798385</v>
      </c>
      <c r="S15" s="62">
        <f ca="1">AVERAGE(OFFSET($R$3,0,0,'Données projet'!$E$9+1,1))-AVERAGE(OFFSET($H$3,0,0,'Données projet'!$E$9+1,1))</f>
        <v>427.57091071251745</v>
      </c>
      <c r="T15" s="62">
        <f t="shared" si="34"/>
        <v>272.62827206514726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262.28471955234107</v>
      </c>
      <c r="AN15" s="62">
        <f ca="1">AVERAGE(OFFSET($AM$3,0,0,'Données projet'!$E$10+1,1))-AVERAGE(OFFSET($H$3,0,0,'Données projet'!$E$10+1,1))</f>
        <v>475.54515523869958</v>
      </c>
      <c r="AO15" s="62">
        <f t="shared" si="36"/>
        <v>301.02979240961452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8.1284210526315785</v>
      </c>
      <c r="BD15" s="13">
        <f>IF('Données projet'!$A$88&gt;35,BD14+BC15-BL14,IF(A15&lt;'Données projet'!$A$88,$BA$205^A15,IF(A15='Données projet'!$A$88,'Données projet'!$B$88,BD14+BC15-BL14)))</f>
        <v>24.119850191693295</v>
      </c>
      <c r="BE15" s="14">
        <f>BD15*VLOOKUP('Données projet'!$B$11,Paramètres!$A$1:$I$89,3,0)*VLOOKUP('Données projet'!$B$11,Paramètres!$A$1:$I$89,5,0)</f>
        <v>13.482996257156552</v>
      </c>
      <c r="BF15" s="14">
        <f t="shared" si="37"/>
        <v>4.5901971633416325</v>
      </c>
      <c r="BG15" s="22">
        <f t="shared" si="7"/>
        <v>31.477478540701004</v>
      </c>
      <c r="BH15" s="62">
        <f t="shared" si="8"/>
        <v>262.68689169851007</v>
      </c>
      <c r="BI15" s="62">
        <f ca="1">AVERAGE(OFFSET($BH$3,0,0,'Données projet'!$E$11+1,1))-AVERAGE(OFFSET($H$3,0,0,'Données projet'!$E$11+1,1))</f>
        <v>381.71417599784968</v>
      </c>
      <c r="BJ15" s="62">
        <f t="shared" si="38"/>
        <v>350.49230135197979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14.8</v>
      </c>
      <c r="BY15" s="13">
        <f>IF('Données projet'!$A$114&gt;35,BY14+BX15-CG14,IF(A15&lt;'Données projet'!$A$114,$BV$205^A15,IF(A15='Données projet'!$A$114,'Données projet'!$B$114,BY14+BX15-CG14)))</f>
        <v>67.599999999999994</v>
      </c>
      <c r="BZ15" s="14">
        <f>BY15*VLOOKUP('Données projet'!$B$12,Paramètres!$A$1:$I$89,3,0)*VLOOKUP('Données projet'!$B$12,Paramètres!$A$1:$I$89,5,0)</f>
        <v>36.909599999999998</v>
      </c>
      <c r="CA15" s="14">
        <f t="shared" si="39"/>
        <v>11.175742444525723</v>
      </c>
      <c r="CB15" s="22">
        <f t="shared" si="10"/>
        <v>83.748638090882295</v>
      </c>
      <c r="CC15" s="62">
        <f t="shared" si="11"/>
        <v>314.95805124869139</v>
      </c>
      <c r="CD15" s="62">
        <f ca="1">AVERAGE(OFFSET($CC$3,0,0,'Données projet'!$E$12+1,1))-AVERAGE(OFFSET($H$3,0,0,'Données projet'!$E$12+1,1))</f>
        <v>202.72043399839748</v>
      </c>
      <c r="CE15" s="62">
        <f t="shared" si="40"/>
        <v>295.50255983395789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7.1333333333333337</v>
      </c>
      <c r="CT15" s="13">
        <f>IF('Données projet'!$A$140&gt;35,CT14+CS15-DB14,IF(A15&lt;'Données projet'!$A$140,$CQ$205^A15,IF(A15='Données projet'!$A$140,'Données projet'!$B$140,CT14+CS15-DB14)))</f>
        <v>42.024932267304926</v>
      </c>
      <c r="CU15" s="18">
        <f>CT15*VLOOKUP('Données projet'!$B$13,Paramètres!$A$1:$I$89,3,0)*VLOOKUP('Données projet'!$B$13,Paramètres!$A$1:$I$89,5,0)</f>
        <v>36.71298082871759</v>
      </c>
      <c r="CV15" s="14">
        <f t="shared" si="41"/>
        <v>11.123122121818724</v>
      </c>
      <c r="CW15" s="22">
        <f t="shared" si="13"/>
        <v>83.314545972184078</v>
      </c>
      <c r="CX15" s="62">
        <f t="shared" si="14"/>
        <v>314.52395912999316</v>
      </c>
      <c r="CY15" s="62">
        <f ca="1">AVERAGE(OFFSET($CX$3,0,0,'Données projet'!$E$13+1,1))-AVERAGE(OFFSET($H$3,0,0,'Données projet'!$E$13+1,1))</f>
        <v>297.56177871222496</v>
      </c>
      <c r="CZ15" s="62">
        <f t="shared" si="42"/>
        <v>421.5717731815397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15.8</v>
      </c>
      <c r="DO15" s="13">
        <f>IF('Données projet'!$A$166&gt;35,DO14+DN15-DW14,IF(A15&lt;'Données projet'!$A$166,$DL$205^A15,IF(A15='Données projet'!$A$166,'Données projet'!$B$166,DO14+DN15-DW14)))</f>
        <v>43.599999999999994</v>
      </c>
      <c r="DP15" s="18">
        <f>DO15*VLOOKUP('Données projet'!$B$14,Paramètres!$A$1:$I$89,3,0)*VLOOKUP('Données projet'!$B$14,Paramètres!$A$1:$I$89,5,0)</f>
        <v>31.967519999999997</v>
      </c>
      <c r="DQ15" s="14">
        <f t="shared" si="43"/>
        <v>9.8426691981282595</v>
      </c>
      <c r="DR15" s="22">
        <f t="shared" si="16"/>
        <v>72.819412853406718</v>
      </c>
      <c r="DS15" s="62">
        <f t="shared" si="17"/>
        <v>304.02882601121581</v>
      </c>
      <c r="DT15" s="62">
        <f ca="1">AVERAGE(OFFSET($DS$3,0,0,'Données projet'!$E$14+1,1))-AVERAGE(OFFSET($H$3,0,0,'Données projet'!$E$14+1,1))</f>
        <v>667.0152731006724</v>
      </c>
      <c r="DU15" s="62">
        <f t="shared" si="44"/>
        <v>567.40780872008088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12.69141378638699</v>
      </c>
      <c r="EL15" s="14">
        <f t="shared" si="45"/>
        <v>4.3512446702837533</v>
      </c>
      <c r="EM15" s="22">
        <f t="shared" si="19"/>
        <v>29.682630145368211</v>
      </c>
      <c r="EN15" s="62">
        <f t="shared" si="20"/>
        <v>260.89204330317727</v>
      </c>
      <c r="EO15" s="62">
        <f ca="1">AVERAGE(OFFSET($EN$3,0,0,'Données projet'!$E$15+1,1))-AVERAGE(OFFSET($H$3,0,0,'Données projet'!$E$15+1,1))</f>
        <v>454.99849419289757</v>
      </c>
      <c r="EP15" s="62">
        <f t="shared" si="46"/>
        <v>288.86643267991928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59.057112679402472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2.7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2.8899000000000004</v>
      </c>
      <c r="D16" s="12">
        <f t="shared" si="32"/>
        <v>1.1770315935468603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15.273464478774645</v>
      </c>
      <c r="H16" s="70">
        <f t="shared" si="1"/>
        <v>224.1499058587608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267.38940356986654</v>
      </c>
      <c r="S16" s="62">
        <f ca="1">AVERAGE(OFFSET($R$3,0,0,'Données projet'!$E$9+1,1))-AVERAGE(OFFSET($H$3,0,0,'Données projet'!$E$9+1,1))</f>
        <v>427.57091071251745</v>
      </c>
      <c r="T16" s="62">
        <f t="shared" si="34"/>
        <v>272.62827206514726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271.39692213850412</v>
      </c>
      <c r="AN16" s="62">
        <f ca="1">AVERAGE(OFFSET($AM$3,0,0,'Données projet'!$E$10+1,1))-AVERAGE(OFFSET($H$3,0,0,'Données projet'!$E$10+1,1))</f>
        <v>475.54515523869958</v>
      </c>
      <c r="AO16" s="62">
        <f t="shared" si="36"/>
        <v>301.02979240961452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8.1284210526315785</v>
      </c>
      <c r="BD16" s="13">
        <f>IF('Données projet'!$A$88&gt;35,BD15+BC16-BL15,IF(A16&lt;'Données projet'!$A$88,$BA$205^A16,IF(A16='Données projet'!$A$88,'Données projet'!$B$88,BD15+BC16-BL15)))</f>
        <v>31.446512633949066</v>
      </c>
      <c r="BE16" s="14">
        <f>BD16*VLOOKUP('Données projet'!$B$11,Paramètres!$A$1:$I$89,3,0)*VLOOKUP('Données projet'!$B$11,Paramètres!$A$1:$I$89,5,0)</f>
        <v>17.578600562377527</v>
      </c>
      <c r="BF16" s="14">
        <f t="shared" si="37"/>
        <v>5.8025673556529513</v>
      </c>
      <c r="BG16" s="22">
        <f t="shared" si="7"/>
        <v>40.722200790569744</v>
      </c>
      <c r="BH16" s="62">
        <f t="shared" si="8"/>
        <v>273.84989648199945</v>
      </c>
      <c r="BI16" s="62">
        <f ca="1">AVERAGE(OFFSET($BH$3,0,0,'Données projet'!$E$11+1,1))-AVERAGE(OFFSET($H$3,0,0,'Données projet'!$E$11+1,1))</f>
        <v>381.71417599784968</v>
      </c>
      <c r="BJ16" s="62">
        <f t="shared" si="38"/>
        <v>350.49230135197979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14.8</v>
      </c>
      <c r="BY16" s="13">
        <f>IF('Données projet'!$A$114&gt;35,BY15+BX16-CG15,IF(A16&lt;'Données projet'!$A$114,$BV$205^A16,IF(A16='Données projet'!$A$114,'Données projet'!$B$114,BY15+BX16-CG15)))</f>
        <v>82.399999999999991</v>
      </c>
      <c r="BZ16" s="14">
        <f>BY16*VLOOKUP('Données projet'!$B$12,Paramètres!$A$1:$I$89,3,0)*VLOOKUP('Données projet'!$B$12,Paramètres!$A$1:$I$89,5,0)</f>
        <v>44.990400000000001</v>
      </c>
      <c r="CA16" s="14">
        <f t="shared" si="39"/>
        <v>13.312167338738384</v>
      </c>
      <c r="CB16" s="22">
        <f t="shared" si="10"/>
        <v>101.54363811496934</v>
      </c>
      <c r="CC16" s="62">
        <f t="shared" si="11"/>
        <v>334.67133380639905</v>
      </c>
      <c r="CD16" s="62">
        <f ca="1">AVERAGE(OFFSET($CC$3,0,0,'Données projet'!$E$12+1,1))-AVERAGE(OFFSET($H$3,0,0,'Données projet'!$E$12+1,1))</f>
        <v>202.72043399839748</v>
      </c>
      <c r="CE16" s="62">
        <f t="shared" si="40"/>
        <v>295.50255983395789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7.1333333333333337</v>
      </c>
      <c r="CT16" s="13">
        <f>IF('Données projet'!$A$140&gt;35,CT15+CS16-DB15,IF(A16&lt;'Données projet'!$A$140,$CQ$205^A16,IF(A16='Données projet'!$A$140,'Données projet'!$B$140,CT15+CS16-DB15)))</f>
        <v>57.385117337200782</v>
      </c>
      <c r="CU16" s="18">
        <f>CT16*VLOOKUP('Données projet'!$B$13,Paramètres!$A$1:$I$89,3,0)*VLOOKUP('Données projet'!$B$13,Paramètres!$A$1:$I$89,5,0)</f>
        <v>50.131638505778611</v>
      </c>
      <c r="CV16" s="14">
        <f t="shared" si="41"/>
        <v>14.647750677567194</v>
      </c>
      <c r="CW16" s="22">
        <f t="shared" si="13"/>
        <v>112.82410282766058</v>
      </c>
      <c r="CX16" s="62">
        <f t="shared" si="14"/>
        <v>345.95179851909029</v>
      </c>
      <c r="CY16" s="62">
        <f ca="1">AVERAGE(OFFSET($CX$3,0,0,'Données projet'!$E$13+1,1))-AVERAGE(OFFSET($H$3,0,0,'Données projet'!$E$13+1,1))</f>
        <v>297.56177871222496</v>
      </c>
      <c r="CZ16" s="62">
        <f t="shared" si="42"/>
        <v>421.5717731815397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15.8</v>
      </c>
      <c r="DO16" s="13">
        <f>IF('Données projet'!$A$166&gt;35,DO15+DN16-DW15,IF(A16&lt;'Données projet'!$A$166,$DL$205^A16,IF(A16='Données projet'!$A$166,'Données projet'!$B$166,DO15+DN16-DW15)))</f>
        <v>59.399999999999991</v>
      </c>
      <c r="DP16" s="18">
        <f>DO16*VLOOKUP('Données projet'!$B$14,Paramètres!$A$1:$I$89,3,0)*VLOOKUP('Données projet'!$B$14,Paramètres!$A$1:$I$89,5,0)</f>
        <v>43.552079999999997</v>
      </c>
      <c r="DQ16" s="14">
        <f t="shared" si="43"/>
        <v>12.935413913426672</v>
      </c>
      <c r="DR16" s="22">
        <f t="shared" si="16"/>
        <v>98.382385232551442</v>
      </c>
      <c r="DS16" s="62">
        <f t="shared" si="17"/>
        <v>331.51008092398115</v>
      </c>
      <c r="DT16" s="62">
        <f ca="1">AVERAGE(OFFSET($DS$3,0,0,'Données projet'!$E$14+1,1))-AVERAGE(OFFSET($H$3,0,0,'Données projet'!$E$14+1,1))</f>
        <v>667.0152731006724</v>
      </c>
      <c r="DU16" s="62">
        <f t="shared" si="44"/>
        <v>567.40780872008088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15.728095841377899</v>
      </c>
      <c r="EL16" s="14">
        <f t="shared" si="45"/>
        <v>5.2593867546400634</v>
      </c>
      <c r="EM16" s="22">
        <f t="shared" si="19"/>
        <v>36.553198854731285</v>
      </c>
      <c r="EN16" s="62">
        <f t="shared" si="20"/>
        <v>269.68089454616097</v>
      </c>
      <c r="EO16" s="62">
        <f ca="1">AVERAGE(OFFSET($EN$3,0,0,'Données projet'!$E$15+1,1))-AVERAGE(OFFSET($H$3,0,0,'Données projet'!$E$15+1,1))</f>
        <v>454.99849419289757</v>
      </c>
      <c r="EP16" s="62">
        <f t="shared" si="46"/>
        <v>288.86643267991928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59.246947309783856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2.7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3.1122000000000005</v>
      </c>
      <c r="D17" s="12">
        <f t="shared" si="32"/>
        <v>1.2566852174113521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15.85618199851314</v>
      </c>
      <c r="H17" s="70">
        <f t="shared" si="1"/>
        <v>224.67580842032478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277.22949943147364</v>
      </c>
      <c r="S17" s="62">
        <f ca="1">AVERAGE(OFFSET($R$3,0,0,'Données projet'!$E$9+1,1))-AVERAGE(OFFSET($H$3,0,0,'Données projet'!$E$9+1,1))</f>
        <v>427.57091071251745</v>
      </c>
      <c r="T17" s="62">
        <f t="shared" si="34"/>
        <v>272.62827206514726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282.16794275386502</v>
      </c>
      <c r="AN17" s="62">
        <f ca="1">AVERAGE(OFFSET($AM$3,0,0,'Données projet'!$E$10+1,1))-AVERAGE(OFFSET($H$3,0,0,'Données projet'!$E$10+1,1))</f>
        <v>475.54515523869958</v>
      </c>
      <c r="AO17" s="62">
        <f t="shared" si="36"/>
        <v>301.02979240961452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8.1284210526315785</v>
      </c>
      <c r="BD17" s="13">
        <f>IF('Données projet'!$A$88&gt;35,BD16+BC17-BL16,IF(A17&lt;'Données projet'!$A$88,$BA$205^A17,IF(A17='Données projet'!$A$88,'Données projet'!$B$88,BD16+BC17-BL16)))</f>
        <v>40.998727147056762</v>
      </c>
      <c r="BE17" s="14">
        <f>BD17*VLOOKUP('Données projet'!$B$11,Paramètres!$A$1:$I$89,3,0)*VLOOKUP('Données projet'!$B$11,Paramètres!$A$1:$I$89,5,0)</f>
        <v>22.918288475204729</v>
      </c>
      <c r="BF17" s="14">
        <f t="shared" si="37"/>
        <v>7.3351506958750976</v>
      </c>
      <c r="BG17" s="22">
        <f t="shared" si="7"/>
        <v>52.691406556297359</v>
      </c>
      <c r="BH17" s="62">
        <f t="shared" si="8"/>
        <v>287.72530969110267</v>
      </c>
      <c r="BI17" s="62">
        <f ca="1">AVERAGE(OFFSET($BH$3,0,0,'Données projet'!$E$11+1,1))-AVERAGE(OFFSET($H$3,0,0,'Données projet'!$E$11+1,1))</f>
        <v>381.71417599784968</v>
      </c>
      <c r="BJ17" s="62">
        <f t="shared" si="38"/>
        <v>350.49230135197979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14.8</v>
      </c>
      <c r="BY17" s="13">
        <f>IF('Données projet'!$A$114&gt;35,BY16+BX17-CG16,IF(A17&lt;'Données projet'!$A$114,$BV$205^A17,IF(A17='Données projet'!$A$114,'Données projet'!$B$114,BY16+BX17-CG16)))</f>
        <v>97.199999999999989</v>
      </c>
      <c r="BZ17" s="14">
        <f>BY17*VLOOKUP('Données projet'!$B$12,Paramètres!$A$1:$I$89,3,0)*VLOOKUP('Données projet'!$B$12,Paramètres!$A$1:$I$89,5,0)</f>
        <v>53.07119999999999</v>
      </c>
      <c r="CA17" s="14">
        <f t="shared" si="39"/>
        <v>15.404137822648009</v>
      </c>
      <c r="CB17" s="22">
        <f t="shared" si="10"/>
        <v>119.26121337444526</v>
      </c>
      <c r="CC17" s="62">
        <f t="shared" si="11"/>
        <v>354.29511650925059</v>
      </c>
      <c r="CD17" s="62">
        <f ca="1">AVERAGE(OFFSET($CC$3,0,0,'Données projet'!$E$12+1,1))-AVERAGE(OFFSET($H$3,0,0,'Données projet'!$E$12+1,1))</f>
        <v>202.72043399839748</v>
      </c>
      <c r="CE17" s="62">
        <f t="shared" si="40"/>
        <v>295.50255983395789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7.1333333333333337</v>
      </c>
      <c r="CT17" s="13">
        <f>IF('Données projet'!$A$140&gt;35,CT16+CS17-DB16,IF(A17&lt;'Données projet'!$A$140,$CQ$205^A17,IF(A17='Données projet'!$A$140,'Données projet'!$B$140,CT16+CS17-DB16)))</f>
        <v>78.35947648549265</v>
      </c>
      <c r="CU17" s="18">
        <f>CT17*VLOOKUP('Données projet'!$B$13,Paramètres!$A$1:$I$89,3,0)*VLOOKUP('Données projet'!$B$13,Paramètres!$A$1:$I$89,5,0)</f>
        <v>68.454838657726384</v>
      </c>
      <c r="CV17" s="14">
        <f t="shared" si="41"/>
        <v>19.289242495261615</v>
      </c>
      <c r="CW17" s="22">
        <f t="shared" si="13"/>
        <v>152.8209413414541</v>
      </c>
      <c r="CX17" s="62">
        <f t="shared" si="14"/>
        <v>387.85484447625942</v>
      </c>
      <c r="CY17" s="62">
        <f ca="1">AVERAGE(OFFSET($CX$3,0,0,'Données projet'!$E$13+1,1))-AVERAGE(OFFSET($H$3,0,0,'Données projet'!$E$13+1,1))</f>
        <v>297.56177871222496</v>
      </c>
      <c r="CZ17" s="62">
        <f t="shared" si="42"/>
        <v>421.5717731815397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15.8</v>
      </c>
      <c r="DO17" s="13">
        <f>IF('Données projet'!$A$166&gt;35,DO16+DN17-DW16,IF(A17&lt;'Données projet'!$A$166,$DL$205^A17,IF(A17='Données projet'!$A$166,'Données projet'!$B$166,DO16+DN17-DW16)))</f>
        <v>75.199999999999989</v>
      </c>
      <c r="DP17" s="18">
        <f>DO17*VLOOKUP('Données projet'!$B$14,Paramètres!$A$1:$I$89,3,0)*VLOOKUP('Données projet'!$B$14,Paramètres!$A$1:$I$89,5,0)</f>
        <v>55.136639999999993</v>
      </c>
      <c r="DQ17" s="14">
        <f t="shared" si="43"/>
        <v>15.932675508045635</v>
      </c>
      <c r="DR17" s="22">
        <f t="shared" si="16"/>
        <v>123.77905784317947</v>
      </c>
      <c r="DS17" s="62">
        <f t="shared" si="17"/>
        <v>358.8129609779848</v>
      </c>
      <c r="DT17" s="62">
        <f ca="1">AVERAGE(OFFSET($DS$3,0,0,'Données projet'!$E$14+1,1))-AVERAGE(OFFSET($H$3,0,0,'Données projet'!$E$14+1,1))</f>
        <v>667.0152731006724</v>
      </c>
      <c r="DU17" s="62">
        <f t="shared" si="44"/>
        <v>567.40780872008088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19.491366601009023</v>
      </c>
      <c r="EL17" s="14">
        <f t="shared" si="45"/>
        <v>6.3570658813537859</v>
      </c>
      <c r="EM17" s="22">
        <f t="shared" si="19"/>
        <v>45.01935324011523</v>
      </c>
      <c r="EN17" s="62">
        <f t="shared" si="20"/>
        <v>280.05325637492052</v>
      </c>
      <c r="EO17" s="62">
        <f ca="1">AVERAGE(OFFSET($EN$3,0,0,'Données projet'!$E$15+1,1))-AVERAGE(OFFSET($H$3,0,0,'Données projet'!$E$15+1,1))</f>
        <v>454.99849419289757</v>
      </c>
      <c r="EP17" s="62">
        <f t="shared" si="46"/>
        <v>288.86643267991928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59.433488733734777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2.7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3.3345000000000007</v>
      </c>
      <c r="D18" s="12">
        <f t="shared" si="32"/>
        <v>1.3356787315425422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16.437625622275085</v>
      </c>
      <c r="H18" s="70">
        <f t="shared" si="1"/>
        <v>225.20056129076994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288.90099125247031</v>
      </c>
      <c r="S18" s="62">
        <f ca="1">AVERAGE(OFFSET($R$3,0,0,'Données projet'!$E$9+1,1))-AVERAGE(OFFSET($H$3,0,0,'Données projet'!$E$9+1,1))</f>
        <v>427.57091071251745</v>
      </c>
      <c r="T18" s="62">
        <f t="shared" si="34"/>
        <v>272.62827206514726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294.98726746587613</v>
      </c>
      <c r="AN18" s="62">
        <f ca="1">AVERAGE(OFFSET($AM$3,0,0,'Données projet'!$E$10+1,1))-AVERAGE(OFFSET($H$3,0,0,'Données projet'!$E$10+1,1))</f>
        <v>475.54515523869958</v>
      </c>
      <c r="AO18" s="62">
        <f t="shared" si="36"/>
        <v>301.02979240961452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8.1284210526315785</v>
      </c>
      <c r="BD18" s="13">
        <f>IF('Données projet'!$A$88&gt;35,BD17+BC18-BL17,IF(A18&lt;'Données projet'!$A$88,$BA$205^A18,IF(A18='Données projet'!$A$88,'Données projet'!$B$88,BD17+BC18-BL17)))</f>
        <v>53.452528973408192</v>
      </c>
      <c r="BE18" s="14">
        <f>BD18*VLOOKUP('Données projet'!$B$11,Paramètres!$A$1:$I$89,3,0)*VLOOKUP('Données projet'!$B$11,Paramètres!$A$1:$I$89,5,0)</f>
        <v>29.879963696135178</v>
      </c>
      <c r="BF18" s="14">
        <f t="shared" si="37"/>
        <v>9.2725223911067207</v>
      </c>
      <c r="BG18" s="22">
        <f t="shared" si="7"/>
        <v>68.190579935279629</v>
      </c>
      <c r="BH18" s="62">
        <f t="shared" si="8"/>
        <v>305.11882489903542</v>
      </c>
      <c r="BI18" s="62">
        <f ca="1">AVERAGE(OFFSET($BH$3,0,0,'Données projet'!$E$11+1,1))-AVERAGE(OFFSET($H$3,0,0,'Données projet'!$E$11+1,1))</f>
        <v>381.71417599784968</v>
      </c>
      <c r="BJ18" s="62">
        <f t="shared" si="38"/>
        <v>350.49230135197979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112</v>
      </c>
      <c r="BW18" s="13">
        <f>VLOOKUP(A18,'Données projet'!$A$113:$I$133,9,0)</f>
        <v>14.8</v>
      </c>
      <c r="BX18" s="13">
        <f t="array" ref="BX18">INDEX(BW:BW,MIN(IF(ISNUMBER(BW18:BW214),ROW(BW18:BW214),"")))</f>
        <v>14.8</v>
      </c>
      <c r="BY18" s="13">
        <f>IF('Données projet'!$A$114&gt;35,BY17+BX18-CG17,IF(A18&lt;'Données projet'!$A$114,$BV$205^A18,IF(A18='Données projet'!$A$114,'Données projet'!$B$114,BY17+BX18-CG17)))</f>
        <v>111.99999999999999</v>
      </c>
      <c r="BZ18" s="14">
        <f>BY18*VLOOKUP('Données projet'!$B$12,Paramètres!$A$1:$I$89,3,0)*VLOOKUP('Données projet'!$B$12,Paramètres!$A$1:$I$89,5,0)</f>
        <v>61.151999999999994</v>
      </c>
      <c r="CA18" s="14">
        <f t="shared" si="39"/>
        <v>17.459207591071255</v>
      </c>
      <c r="CB18" s="22">
        <f t="shared" si="10"/>
        <v>136.9145198877824</v>
      </c>
      <c r="CC18" s="62">
        <f t="shared" si="11"/>
        <v>373.84276485153816</v>
      </c>
      <c r="CD18" s="62">
        <f ca="1">AVERAGE(OFFSET($CC$3,0,0,'Données projet'!$E$12+1,1))-AVERAGE(OFFSET($H$3,0,0,'Données projet'!$E$12+1,1))</f>
        <v>202.72043399839748</v>
      </c>
      <c r="CE18" s="62">
        <f t="shared" si="40"/>
        <v>295.50255983395789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30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107</v>
      </c>
      <c r="CR18" s="13">
        <f>VLOOKUP(A18,'Données projet'!$A$139:$I$159,9,0)</f>
        <v>7.1333333333333337</v>
      </c>
      <c r="CS18" s="13">
        <f t="array" ref="CS18">INDEX(CR:CR,MIN(IF(ISNUMBER(CR18:CR214),ROW(CR18:CR214),"")))</f>
        <v>7.1333333333333337</v>
      </c>
      <c r="CT18" s="13">
        <f>IF('Données projet'!$A$140&gt;35,CT17+CS18-DB17,IF(A18&lt;'Données projet'!$A$140,$CQ$205^A18,IF(A18='Données projet'!$A$140,'Données projet'!$B$140,CT17+CS18-DB17)))</f>
        <v>107</v>
      </c>
      <c r="CU18" s="18">
        <f>CT18*VLOOKUP('Données projet'!$B$13,Paramètres!$A$1:$I$89,3,0)*VLOOKUP('Données projet'!$B$13,Paramètres!$A$1:$I$89,5,0)</f>
        <v>93.475200000000015</v>
      </c>
      <c r="CV18" s="14">
        <f t="shared" si="41"/>
        <v>25.401502539965662</v>
      </c>
      <c r="CW18" s="22">
        <f t="shared" si="13"/>
        <v>207.04359025710687</v>
      </c>
      <c r="CX18" s="62">
        <f t="shared" si="14"/>
        <v>443.97183522086266</v>
      </c>
      <c r="CY18" s="62">
        <f ca="1">AVERAGE(OFFSET($CX$3,0,0,'Données projet'!$E$13+1,1))-AVERAGE(OFFSET($H$3,0,0,'Données projet'!$E$13+1,1))</f>
        <v>297.56177871222496</v>
      </c>
      <c r="CZ18" s="62">
        <f t="shared" si="42"/>
        <v>421.5717731815397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34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91</v>
      </c>
      <c r="DM18" s="13">
        <f>VLOOKUP(A18,'Données projet'!$A$165:$I$185,9,0)</f>
        <v>15.8</v>
      </c>
      <c r="DN18" s="13">
        <f t="array" ref="DN18">INDEX(DM:DM,MIN(IF(ISNUMBER(DM18:DM214),ROW(DM18:DM214),"")))</f>
        <v>15.8</v>
      </c>
      <c r="DO18" s="13">
        <f>IF('Données projet'!$A$166&gt;35,DO17+DN18-DW17,IF(A18&lt;'Données projet'!$A$166,$DL$205^A18,IF(A18='Données projet'!$A$166,'Données projet'!$B$166,DO17+DN18-DW17)))</f>
        <v>90.999999999999986</v>
      </c>
      <c r="DP18" s="18">
        <f>DO18*VLOOKUP('Données projet'!$B$14,Paramètres!$A$1:$I$89,3,0)*VLOOKUP('Données projet'!$B$14,Paramètres!$A$1:$I$89,5,0)</f>
        <v>66.721199999999982</v>
      </c>
      <c r="DQ18" s="14">
        <f t="shared" si="43"/>
        <v>18.856956599005905</v>
      </c>
      <c r="DR18" s="22">
        <f t="shared" si="16"/>
        <v>149.0486227432686</v>
      </c>
      <c r="DS18" s="62">
        <f t="shared" si="17"/>
        <v>385.97686770702433</v>
      </c>
      <c r="DT18" s="62">
        <f ca="1">AVERAGE(OFFSET($DS$3,0,0,'Données projet'!$E$14+1,1))-AVERAGE(OFFSET($H$3,0,0,'Données projet'!$E$14+1,1))</f>
        <v>667.0152731006724</v>
      </c>
      <c r="DU18" s="62">
        <f t="shared" si="44"/>
        <v>567.40780872008088</v>
      </c>
      <c r="DV18" s="16">
        <f>IF(ISNA(VLOOKUP(A18,'Données projet'!$A$165:$I$185,3,0)),0,VLOOKUP(A18,'Données projet'!$A$165:$I$185,3,0))</f>
        <v>84</v>
      </c>
      <c r="DW18" s="16">
        <f>IF(ISNA(VLOOKUP(A18,'Données projet'!$A$165:$I$185,4,0)),0,VLOOKUP(A18,'Données projet'!$A$165:$I$185,4,0))</f>
        <v>42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0.17200000000000001</v>
      </c>
      <c r="DZ18" s="17">
        <f>IF(ISNA(VLOOKUP(A18,'Données projet'!$A$165:$I$185,7,0)),0%,VLOOKUP(A18,'Données projet'!$A$165:$I$185,7,0))</f>
        <v>0.6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5.8322206444661857</v>
      </c>
      <c r="EC18" s="23">
        <f>EXP(-LN(2)/2)*EC17+(1-EXP(-LN(2)/2))/(LN(2)/2)*DW18*DZ18*VLOOKUP('Données projet'!$B$14,Paramètres!$A$1:$I$89,3,0)*0.475*44/12</f>
        <v>17.433207131474497</v>
      </c>
      <c r="ED18" s="24">
        <f t="shared" si="18"/>
        <v>23.265427775940683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24.155077372776663</v>
      </c>
      <c r="EL18" s="14">
        <f t="shared" si="45"/>
        <v>7.6838400568695304</v>
      </c>
      <c r="EM18" s="22">
        <f t="shared" si="19"/>
        <v>55.452781189967119</v>
      </c>
      <c r="EN18" s="62">
        <f t="shared" si="20"/>
        <v>292.38102615372287</v>
      </c>
      <c r="EO18" s="62">
        <f ca="1">AVERAGE(OFFSET($EN$3,0,0,'Données projet'!$E$15+1,1))-AVERAGE(OFFSET($H$3,0,0,'Données projet'!$E$15+1,1))</f>
        <v>454.99849419289757</v>
      </c>
      <c r="EP18" s="62">
        <f t="shared" si="46"/>
        <v>288.86643267991928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59.616794081024295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2.7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3.5568000000000008</v>
      </c>
      <c r="D19" s="12">
        <f t="shared" si="32"/>
        <v>1.4140611505968181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17.017889939748251</v>
      </c>
      <c r="H19" s="70">
        <f t="shared" si="1"/>
        <v>225.72424983728948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302.83362653268841</v>
      </c>
      <c r="S19" s="62">
        <f ca="1">AVERAGE(OFFSET($R$3,0,0,'Données projet'!$E$9+1,1))-AVERAGE(OFFSET($H$3,0,0,'Données projet'!$E$9+1,1))</f>
        <v>427.57091071251745</v>
      </c>
      <c r="T19" s="62">
        <f t="shared" si="34"/>
        <v>272.62827206514726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310.33532574415386</v>
      </c>
      <c r="AN19" s="62">
        <f ca="1">AVERAGE(OFFSET($AM$3,0,0,'Données projet'!$E$10+1,1))-AVERAGE(OFFSET($H$3,0,0,'Données projet'!$E$10+1,1))</f>
        <v>475.54515523869958</v>
      </c>
      <c r="AO19" s="62">
        <f t="shared" si="36"/>
        <v>301.02979240961452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8.1284210526315785</v>
      </c>
      <c r="BD19" s="13">
        <f>IF('Données projet'!$A$88&gt;35,BD18+BC19-BL18,IF(A19&lt;'Données projet'!$A$88,$BA$205^A19,IF(A19='Données projet'!$A$88,'Données projet'!$B$88,BD18+BC19-BL18)))</f>
        <v>69.689306290040648</v>
      </c>
      <c r="BE19" s="14">
        <f>BD19*VLOOKUP('Données projet'!$B$11,Paramètres!$A$1:$I$89,3,0)*VLOOKUP('Données projet'!$B$11,Paramètres!$A$1:$I$89,5,0)</f>
        <v>38.956322216132719</v>
      </c>
      <c r="BF19" s="14">
        <f t="shared" si="37"/>
        <v>11.721595786972175</v>
      </c>
      <c r="BG19" s="22">
        <f t="shared" si="7"/>
        <v>88.264040522074353</v>
      </c>
      <c r="BH19" s="62">
        <f t="shared" si="8"/>
        <v>327.07496754223814</v>
      </c>
      <c r="BI19" s="62">
        <f ca="1">AVERAGE(OFFSET($BH$3,0,0,'Données projet'!$E$11+1,1))-AVERAGE(OFFSET($H$3,0,0,'Données projet'!$E$11+1,1))</f>
        <v>381.71417599784968</v>
      </c>
      <c r="BJ19" s="62">
        <f t="shared" si="38"/>
        <v>350.49230135197979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15.6</v>
      </c>
      <c r="BY19" s="13">
        <f>IF('Données projet'!$A$114&gt;35,BY18+BX19-CG18,IF(A19&lt;'Données projet'!$A$114,$BV$205^A19,IF(A19='Données projet'!$A$114,'Données projet'!$B$114,BY18+BX19-CG18)))</f>
        <v>97.59999999999998</v>
      </c>
      <c r="BZ19" s="14">
        <f>BY19*VLOOKUP('Données projet'!$B$12,Paramètres!$A$1:$I$89,3,0)*VLOOKUP('Données projet'!$B$12,Paramètres!$A$1:$I$89,5,0)</f>
        <v>53.289599999999986</v>
      </c>
      <c r="CA19" s="14">
        <f t="shared" si="39"/>
        <v>15.460137169232418</v>
      </c>
      <c r="CB19" s="22">
        <f t="shared" si="10"/>
        <v>119.73912556974642</v>
      </c>
      <c r="CC19" s="62">
        <f t="shared" si="11"/>
        <v>358.55005258991025</v>
      </c>
      <c r="CD19" s="62">
        <f ca="1">AVERAGE(OFFSET($CC$3,0,0,'Données projet'!$E$12+1,1))-AVERAGE(OFFSET($H$3,0,0,'Données projet'!$E$12+1,1))</f>
        <v>202.72043399839748</v>
      </c>
      <c r="CE19" s="62">
        <f t="shared" si="40"/>
        <v>295.50255983395789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16.2</v>
      </c>
      <c r="CT19" s="13">
        <f>IF('Données projet'!$A$140&gt;35,CT18+CS19-DB18,IF(A19&lt;'Données projet'!$A$140,$CQ$205^A19,IF(A19='Données projet'!$A$140,'Données projet'!$B$140,CT18+CS19-DB18)))</f>
        <v>89.2</v>
      </c>
      <c r="CU19" s="18">
        <f>CT19*VLOOKUP('Données projet'!$B$13,Paramètres!$A$1:$I$89,3,0)*VLOOKUP('Données projet'!$B$13,Paramètres!$A$1:$I$89,5,0)</f>
        <v>77.925120000000007</v>
      </c>
      <c r="CV19" s="14">
        <f t="shared" si="41"/>
        <v>21.629091902424182</v>
      </c>
      <c r="CW19" s="22">
        <f t="shared" si="13"/>
        <v>173.3902523967221</v>
      </c>
      <c r="CX19" s="62">
        <f t="shared" si="14"/>
        <v>412.20117941688591</v>
      </c>
      <c r="CY19" s="62">
        <f ca="1">AVERAGE(OFFSET($CX$3,0,0,'Données projet'!$E$13+1,1))-AVERAGE(OFFSET($H$3,0,0,'Données projet'!$E$13+1,1))</f>
        <v>297.56177871222496</v>
      </c>
      <c r="CZ19" s="62">
        <f t="shared" si="42"/>
        <v>421.5717731815397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24.6</v>
      </c>
      <c r="DO19" s="13">
        <f>IF('Données projet'!$A$166&gt;35,DO18+DN19-DW18,IF(A19&lt;'Données projet'!$A$166,$DL$205^A19,IF(A19='Données projet'!$A$166,'Données projet'!$B$166,DO18+DN19-DW18)))</f>
        <v>73.599999999999994</v>
      </c>
      <c r="DP19" s="18">
        <f>DO19*VLOOKUP('Données projet'!$B$14,Paramètres!$A$1:$I$89,3,0)*VLOOKUP('Données projet'!$B$14,Paramètres!$A$1:$I$89,5,0)</f>
        <v>53.963520000000003</v>
      </c>
      <c r="DQ19" s="14">
        <f t="shared" si="43"/>
        <v>15.632767325516218</v>
      </c>
      <c r="DR19" s="22">
        <f t="shared" si="16"/>
        <v>121.2135337586074</v>
      </c>
      <c r="DS19" s="62">
        <f t="shared" si="17"/>
        <v>360.02446077877119</v>
      </c>
      <c r="DT19" s="62">
        <f ca="1">AVERAGE(OFFSET($DS$3,0,0,'Données projet'!$E$14+1,1))-AVERAGE(OFFSET($H$3,0,0,'Données projet'!$E$14+1,1))</f>
        <v>667.0152731006724</v>
      </c>
      <c r="DU19" s="62">
        <f t="shared" si="44"/>
        <v>567.40780872008088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5.6727382642401043</v>
      </c>
      <c r="EC19" s="23">
        <f>EXP(-LN(2)/2)*EC18+(1-EXP(-LN(2)/2))/(LN(2)/2)*DW19*DZ19*VLOOKUP('Données projet'!$B$14,Paramètres!$A$1:$I$89,3,0)*0.475*44/12</f>
        <v>12.327138980495297</v>
      </c>
      <c r="ED19" s="24">
        <f t="shared" si="18"/>
        <v>17.999877244735401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29.934676968962361</v>
      </c>
      <c r="EL19" s="14">
        <f t="shared" si="45"/>
        <v>9.2875233828754098</v>
      </c>
      <c r="EM19" s="22">
        <f t="shared" si="19"/>
        <v>68.311998946117441</v>
      </c>
      <c r="EN19" s="62">
        <f t="shared" si="20"/>
        <v>307.12292596628123</v>
      </c>
      <c r="EO19" s="62">
        <f ca="1">AVERAGE(OFFSET($EN$3,0,0,'Données projet'!$E$15+1,1))-AVERAGE(OFFSET($H$3,0,0,'Données projet'!$E$15+1,1))</f>
        <v>454.99849419289757</v>
      </c>
      <c r="EP19" s="62">
        <f t="shared" si="46"/>
        <v>288.86643267991928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59.796919490347705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2.7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3.779100000000001</v>
      </c>
      <c r="D20" s="12">
        <f t="shared" si="32"/>
        <v>1.4918750161088552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17.597057048631129</v>
      </c>
      <c r="H20" s="70">
        <f t="shared" si="1"/>
        <v>226.24694815305628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319.55752644242943</v>
      </c>
      <c r="S20" s="62">
        <f ca="1">AVERAGE(OFFSET($R$3,0,0,'Données projet'!$E$9+1,1))-AVERAGE(OFFSET($H$3,0,0,'Données projet'!$E$9+1,1))</f>
        <v>427.57091071251745</v>
      </c>
      <c r="T20" s="62">
        <f t="shared" si="34"/>
        <v>272.62827206514726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328.80479327492594</v>
      </c>
      <c r="AN20" s="62">
        <f ca="1">AVERAGE(OFFSET($AM$3,0,0,'Données projet'!$E$10+1,1))-AVERAGE(OFFSET($H$3,0,0,'Données projet'!$E$10+1,1))</f>
        <v>475.54515523869958</v>
      </c>
      <c r="AO20" s="62">
        <f t="shared" si="36"/>
        <v>301.02979240961452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8.1284210526315785</v>
      </c>
      <c r="BD20" s="13">
        <f>IF('Données projet'!$A$88&gt;35,BD19+BC20-BL19,IF(A20&lt;'Données projet'!$A$88,$BA$205^A20,IF(A20='Données projet'!$A$88,'Données projet'!$B$88,BD19+BC20-BL19)))</f>
        <v>90.858178358655039</v>
      </c>
      <c r="BE20" s="14">
        <f>BD20*VLOOKUP('Données projet'!$B$11,Paramètres!$A$1:$I$89,3,0)*VLOOKUP('Données projet'!$B$11,Paramètres!$A$1:$I$89,5,0)</f>
        <v>50.789721702488166</v>
      </c>
      <c r="BF20" s="14">
        <f t="shared" si="37"/>
        <v>14.817522352379566</v>
      </c>
      <c r="BG20" s="22">
        <f t="shared" si="7"/>
        <v>114.26595006222796</v>
      </c>
      <c r="BH20" s="62">
        <f t="shared" si="8"/>
        <v>354.94810163724367</v>
      </c>
      <c r="BI20" s="62">
        <f ca="1">AVERAGE(OFFSET($BH$3,0,0,'Données projet'!$E$11+1,1))-AVERAGE(OFFSET($H$3,0,0,'Données projet'!$E$11+1,1))</f>
        <v>381.71417599784968</v>
      </c>
      <c r="BJ20" s="62">
        <f t="shared" si="38"/>
        <v>350.49230135197979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15.6</v>
      </c>
      <c r="BY20" s="13">
        <f>IF('Données projet'!$A$114&gt;35,BY19+BX20-CG19,IF(A20&lt;'Données projet'!$A$114,$BV$205^A20,IF(A20='Données projet'!$A$114,'Données projet'!$B$114,BY19+BX20-CG19)))</f>
        <v>113.19999999999997</v>
      </c>
      <c r="BZ20" s="14">
        <f>BY20*VLOOKUP('Données projet'!$B$12,Paramètres!$A$1:$I$89,3,0)*VLOOKUP('Données projet'!$B$12,Paramètres!$A$1:$I$89,5,0)</f>
        <v>61.807199999999987</v>
      </c>
      <c r="CA20" s="14">
        <f t="shared" si="39"/>
        <v>17.624393742765658</v>
      </c>
      <c r="CB20" s="22">
        <f t="shared" si="10"/>
        <v>138.34335910198348</v>
      </c>
      <c r="CC20" s="62">
        <f t="shared" si="11"/>
        <v>379.0255106769992</v>
      </c>
      <c r="CD20" s="62">
        <f ca="1">AVERAGE(OFFSET($CC$3,0,0,'Données projet'!$E$12+1,1))-AVERAGE(OFFSET($H$3,0,0,'Données projet'!$E$12+1,1))</f>
        <v>202.72043399839748</v>
      </c>
      <c r="CE20" s="62">
        <f t="shared" si="40"/>
        <v>295.50255983395789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16.2</v>
      </c>
      <c r="CT20" s="13">
        <f>IF('Données projet'!$A$140&gt;35,CT19+CS20-DB19,IF(A20&lt;'Données projet'!$A$140,$CQ$205^A20,IF(A20='Données projet'!$A$140,'Données projet'!$B$140,CT19+CS20-DB19)))</f>
        <v>105.4</v>
      </c>
      <c r="CU20" s="18">
        <f>CT20*VLOOKUP('Données projet'!$B$13,Paramètres!$A$1:$I$89,3,0)*VLOOKUP('Données projet'!$B$13,Paramètres!$A$1:$I$89,5,0)</f>
        <v>92.07744000000001</v>
      </c>
      <c r="CV20" s="14">
        <f t="shared" si="41"/>
        <v>25.065586122051112</v>
      </c>
      <c r="CW20" s="22">
        <f t="shared" si="13"/>
        <v>204.02410382923904</v>
      </c>
      <c r="CX20" s="62">
        <f t="shared" si="14"/>
        <v>444.70625540425476</v>
      </c>
      <c r="CY20" s="62">
        <f ca="1">AVERAGE(OFFSET($CX$3,0,0,'Données projet'!$E$13+1,1))-AVERAGE(OFFSET($H$3,0,0,'Données projet'!$E$13+1,1))</f>
        <v>297.56177871222496</v>
      </c>
      <c r="CZ20" s="62">
        <f t="shared" si="42"/>
        <v>421.5717731815397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24.6</v>
      </c>
      <c r="DO20" s="13">
        <f>IF('Données projet'!$A$166&gt;35,DO19+DN20-DW19,IF(A20&lt;'Données projet'!$A$166,$DL$205^A20,IF(A20='Données projet'!$A$166,'Données projet'!$B$166,DO19+DN20-DW19)))</f>
        <v>98.199999999999989</v>
      </c>
      <c r="DP20" s="18">
        <f>DO20*VLOOKUP('Données projet'!$B$14,Paramètres!$A$1:$I$89,3,0)*VLOOKUP('Données projet'!$B$14,Paramètres!$A$1:$I$89,5,0)</f>
        <v>72.000239999999991</v>
      </c>
      <c r="DQ20" s="14">
        <f t="shared" si="43"/>
        <v>20.169370224271105</v>
      </c>
      <c r="DR20" s="22">
        <f t="shared" si="16"/>
        <v>160.52873780727217</v>
      </c>
      <c r="DS20" s="62">
        <f t="shared" si="17"/>
        <v>401.21088938228786</v>
      </c>
      <c r="DT20" s="62">
        <f ca="1">AVERAGE(OFFSET($DS$3,0,0,'Données projet'!$E$14+1,1))-AVERAGE(OFFSET($H$3,0,0,'Données projet'!$E$14+1,1))</f>
        <v>667.0152731006724</v>
      </c>
      <c r="DU20" s="62">
        <f t="shared" si="44"/>
        <v>567.40780872008088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5.5176169380881186</v>
      </c>
      <c r="EC20" s="23">
        <f>EXP(-LN(2)/2)*EC19+(1-EXP(-LN(2)/2))/(LN(2)/2)*DW20*DZ20*VLOOKUP('Données projet'!$B$14,Paramètres!$A$1:$I$89,3,0)*0.475*44/12</f>
        <v>8.71660356573725</v>
      </c>
      <c r="ED20" s="24">
        <f t="shared" si="18"/>
        <v>14.23422050382537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37.097164766113913</v>
      </c>
      <c r="EL20" s="14">
        <f t="shared" si="45"/>
        <v>11.225909174194843</v>
      </c>
      <c r="EM20" s="22">
        <f t="shared" si="19"/>
        <v>84.162687112704418</v>
      </c>
      <c r="EN20" s="62">
        <f t="shared" si="20"/>
        <v>324.84483868772014</v>
      </c>
      <c r="EO20" s="62">
        <f ca="1">AVERAGE(OFFSET($EN$3,0,0,'Données projet'!$E$15+1,1))-AVERAGE(OFFSET($H$3,0,0,'Données projet'!$E$15+1,1))</f>
        <v>454.99849419289757</v>
      </c>
      <c r="EP20" s="62">
        <f t="shared" si="46"/>
        <v>288.86643267991928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59.973920126519438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2.7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4.0014000000000012</v>
      </c>
      <c r="D21" s="12">
        <f t="shared" si="32"/>
        <v>1.5691575819972123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18.175198842450765</v>
      </c>
      <c r="H21" s="70">
        <f t="shared" si="1"/>
        <v>226.7687211219785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339.72670242150741</v>
      </c>
      <c r="S21" s="62">
        <f ca="1">AVERAGE(OFFSET($R$3,0,0,'Données projet'!$E$9+1,1))-AVERAGE(OFFSET($H$3,0,0,'Données projet'!$E$9+1,1))</f>
        <v>427.57091071251745</v>
      </c>
      <c r="T21" s="62">
        <f t="shared" si="34"/>
        <v>272.62827206514726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351.1268962660983</v>
      </c>
      <c r="AN21" s="62">
        <f ca="1">AVERAGE(OFFSET($AM$3,0,0,'Données projet'!$E$10+1,1))-AVERAGE(OFFSET($H$3,0,0,'Données projet'!$E$10+1,1))</f>
        <v>475.54515523869958</v>
      </c>
      <c r="AO21" s="62">
        <f t="shared" si="36"/>
        <v>301.02979240961452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8.1284210526315785</v>
      </c>
      <c r="BD21" s="13">
        <f>IF('Données projet'!$A$88&gt;35,BD20+BC21-BL20,IF(A21&lt;'Données projet'!$A$88,$BA$205^A21,IF(A21='Données projet'!$A$88,'Données projet'!$B$88,BD20+BC21-BL20)))</f>
        <v>118.45732170579704</v>
      </c>
      <c r="BE21" s="14">
        <f>BD21*VLOOKUP('Données projet'!$B$11,Paramètres!$A$1:$I$89,3,0)*VLOOKUP('Données projet'!$B$11,Paramètres!$A$1:$I$89,5,0)</f>
        <v>66.217642833540552</v>
      </c>
      <c r="BF21" s="14">
        <f t="shared" si="37"/>
        <v>18.731149977658681</v>
      </c>
      <c r="BG21" s="22">
        <f t="shared" si="7"/>
        <v>147.95248081283867</v>
      </c>
      <c r="BH21" s="62">
        <f t="shared" si="8"/>
        <v>390.49459820318702</v>
      </c>
      <c r="BI21" s="62">
        <f ca="1">AVERAGE(OFFSET($BH$3,0,0,'Données projet'!$E$11+1,1))-AVERAGE(OFFSET($H$3,0,0,'Données projet'!$E$11+1,1))</f>
        <v>381.71417599784968</v>
      </c>
      <c r="BJ21" s="62">
        <f t="shared" si="38"/>
        <v>350.49230135197979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15.6</v>
      </c>
      <c r="BY21" s="13">
        <f>IF('Données projet'!$A$114&gt;35,BY20+BX21-CG20,IF(A21&lt;'Données projet'!$A$114,$BV$205^A21,IF(A21='Données projet'!$A$114,'Données projet'!$B$114,BY20+BX21-CG20)))</f>
        <v>128.79999999999998</v>
      </c>
      <c r="BZ21" s="14">
        <f>BY21*VLOOKUP('Données projet'!$B$12,Paramètres!$A$1:$I$89,3,0)*VLOOKUP('Données projet'!$B$12,Paramètres!$A$1:$I$89,5,0)</f>
        <v>70.324799999999982</v>
      </c>
      <c r="CA21" s="14">
        <f t="shared" si="39"/>
        <v>19.754095114409182</v>
      </c>
      <c r="CB21" s="22">
        <f t="shared" si="10"/>
        <v>156.88740899092929</v>
      </c>
      <c r="CC21" s="62">
        <f t="shared" si="11"/>
        <v>399.42952638127764</v>
      </c>
      <c r="CD21" s="62">
        <f ca="1">AVERAGE(OFFSET($CC$3,0,0,'Données projet'!$E$12+1,1))-AVERAGE(OFFSET($H$3,0,0,'Données projet'!$E$12+1,1))</f>
        <v>202.72043399839748</v>
      </c>
      <c r="CE21" s="62">
        <f t="shared" si="40"/>
        <v>295.50255983395789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16.2</v>
      </c>
      <c r="CT21" s="13">
        <f>IF('Données projet'!$A$140&gt;35,CT20+CS21-DB20,IF(A21&lt;'Données projet'!$A$140,$CQ$205^A21,IF(A21='Données projet'!$A$140,'Données projet'!$B$140,CT20+CS21-DB20)))</f>
        <v>121.60000000000001</v>
      </c>
      <c r="CU21" s="18">
        <f>CT21*VLOOKUP('Données projet'!$B$13,Paramètres!$A$1:$I$89,3,0)*VLOOKUP('Données projet'!$B$13,Paramètres!$A$1:$I$89,5,0)</f>
        <v>106.22976000000003</v>
      </c>
      <c r="CV21" s="14">
        <f t="shared" si="41"/>
        <v>28.440891625171492</v>
      </c>
      <c r="CW21" s="22">
        <f t="shared" si="13"/>
        <v>234.55138491384039</v>
      </c>
      <c r="CX21" s="62">
        <f t="shared" si="14"/>
        <v>477.09350230418875</v>
      </c>
      <c r="CY21" s="62">
        <f ca="1">AVERAGE(OFFSET($CX$3,0,0,'Données projet'!$E$13+1,1))-AVERAGE(OFFSET($H$3,0,0,'Données projet'!$E$13+1,1))</f>
        <v>297.56177871222496</v>
      </c>
      <c r="CZ21" s="62">
        <f t="shared" si="42"/>
        <v>421.5717731815397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24.6</v>
      </c>
      <c r="DO21" s="13">
        <f>IF('Données projet'!$A$166&gt;35,DO20+DN21-DW20,IF(A21&lt;'Données projet'!$A$166,$DL$205^A21,IF(A21='Données projet'!$A$166,'Données projet'!$B$166,DO20+DN21-DW20)))</f>
        <v>122.79999999999998</v>
      </c>
      <c r="DP21" s="18">
        <f>DO21*VLOOKUP('Données projet'!$B$14,Paramètres!$A$1:$I$89,3,0)*VLOOKUP('Données projet'!$B$14,Paramètres!$A$1:$I$89,5,0)</f>
        <v>90.036959999999979</v>
      </c>
      <c r="DQ21" s="14">
        <f t="shared" si="43"/>
        <v>24.574138642898646</v>
      </c>
      <c r="DR21" s="22">
        <f t="shared" si="16"/>
        <v>199.61433013638177</v>
      </c>
      <c r="DS21" s="62">
        <f t="shared" si="17"/>
        <v>442.15644752673012</v>
      </c>
      <c r="DT21" s="62">
        <f ca="1">AVERAGE(OFFSET($DS$3,0,0,'Données projet'!$E$14+1,1))-AVERAGE(OFFSET($H$3,0,0,'Données projet'!$E$14+1,1))</f>
        <v>667.0152731006724</v>
      </c>
      <c r="DU21" s="62">
        <f t="shared" si="44"/>
        <v>567.40780872008088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5.3667374127572351</v>
      </c>
      <c r="EC21" s="23">
        <f>EXP(-LN(2)/2)*EC20+(1-EXP(-LN(2)/2))/(LN(2)/2)*DW21*DZ21*VLOOKUP('Données projet'!$B$14,Paramètres!$A$1:$I$89,3,0)*0.475*44/12</f>
        <v>6.1635694902476503</v>
      </c>
      <c r="ED21" s="24">
        <f t="shared" si="18"/>
        <v>11.530306903004885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45.973425238933089</v>
      </c>
      <c r="EL21" s="14">
        <f t="shared" si="45"/>
        <v>13.56885270616201</v>
      </c>
      <c r="EM21" s="22">
        <f t="shared" si="19"/>
        <v>103.70280075437397</v>
      </c>
      <c r="EN21" s="62">
        <f t="shared" si="20"/>
        <v>346.24491814472231</v>
      </c>
      <c r="EO21" s="62">
        <f ca="1">AVERAGE(OFFSET($EN$3,0,0,'Données projet'!$E$15+1,1))-AVERAGE(OFFSET($H$3,0,0,'Données projet'!$E$15+1,1))</f>
        <v>454.99849419289757</v>
      </c>
      <c r="EP21" s="62">
        <f t="shared" si="46"/>
        <v>288.86643267991928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60.147850197367731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2.7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4.2237000000000009</v>
      </c>
      <c r="D22" s="12">
        <f t="shared" si="32"/>
        <v>1.6459417290714926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18.75237877540113</v>
      </c>
      <c r="H22" s="70">
        <f t="shared" si="1"/>
        <v>227.2896260114662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364.14809507486484</v>
      </c>
      <c r="S22" s="62">
        <f ca="1">AVERAGE(OFFSET($R$3,0,0,'Données projet'!$E$9+1,1))-AVERAGE(OFFSET($H$3,0,0,'Données projet'!$E$9+1,1))</f>
        <v>427.57091071251745</v>
      </c>
      <c r="T22" s="62">
        <f t="shared" si="34"/>
        <v>272.62827206514726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378.20389399399477</v>
      </c>
      <c r="AN22" s="62">
        <f ca="1">AVERAGE(OFFSET($AM$3,0,0,'Données projet'!$E$10+1,1))-AVERAGE(OFFSET($H$3,0,0,'Données projet'!$E$10+1,1))</f>
        <v>475.54515523869958</v>
      </c>
      <c r="AO22" s="62">
        <f t="shared" si="36"/>
        <v>301.02979240961452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154.44</v>
      </c>
      <c r="BB22" s="13">
        <f>VLOOKUP(A22,'Données projet'!$A$87:$I$107,9,0)</f>
        <v>8.1284210526315785</v>
      </c>
      <c r="BC22" s="13">
        <f t="array" ref="BC22">INDEX(BB:BB,MIN(IF(ISNUMBER(BB22:BB218),ROW(BB22:BB218),"")))</f>
        <v>8.1284210526315785</v>
      </c>
      <c r="BD22" s="13">
        <f>IF('Données projet'!$A$88&gt;35,BD21+BC22-BL21,IF(A22&lt;'Données projet'!$A$88,$BA$205^A22,IF(A22='Données projet'!$A$88,'Données projet'!$B$88,BD21+BC22-BL21)))</f>
        <v>154.44</v>
      </c>
      <c r="BE22" s="14">
        <f>BD22*VLOOKUP('Données projet'!$B$11,Paramètres!$A$1:$I$89,3,0)*VLOOKUP('Données projet'!$B$11,Paramètres!$A$1:$I$89,5,0)</f>
        <v>86.331959999999995</v>
      </c>
      <c r="BF22" s="14">
        <f t="shared" si="37"/>
        <v>23.67845117029286</v>
      </c>
      <c r="BG22" s="22">
        <f t="shared" si="7"/>
        <v>191.60146612159338</v>
      </c>
      <c r="BH22" s="62">
        <f t="shared" si="8"/>
        <v>435.99248590171499</v>
      </c>
      <c r="BI22" s="62">
        <f ca="1">AVERAGE(OFFSET($BH$3,0,0,'Données projet'!$E$11+1,1))-AVERAGE(OFFSET($H$3,0,0,'Données projet'!$E$11+1,1))</f>
        <v>381.71417599784968</v>
      </c>
      <c r="BJ22" s="62">
        <f t="shared" si="38"/>
        <v>350.49230135197979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15.6</v>
      </c>
      <c r="BY22" s="13">
        <f>IF('Données projet'!$A$114&gt;35,BY21+BX22-CG21,IF(A22&lt;'Données projet'!$A$114,$BV$205^A22,IF(A22='Données projet'!$A$114,'Données projet'!$B$114,BY21+BX22-CG21)))</f>
        <v>144.39999999999998</v>
      </c>
      <c r="BZ22" s="14">
        <f>BY22*VLOOKUP('Données projet'!$B$12,Paramètres!$A$1:$I$89,3,0)*VLOOKUP('Données projet'!$B$12,Paramètres!$A$1:$I$89,5,0)</f>
        <v>78.842399999999984</v>
      </c>
      <c r="CA22" s="14">
        <f t="shared" si="39"/>
        <v>21.853905254591407</v>
      </c>
      <c r="CB22" s="22">
        <f t="shared" si="10"/>
        <v>175.37939831841334</v>
      </c>
      <c r="CC22" s="62">
        <f t="shared" si="11"/>
        <v>419.77041809853495</v>
      </c>
      <c r="CD22" s="62">
        <f ca="1">AVERAGE(OFFSET($CC$3,0,0,'Données projet'!$E$12+1,1))-AVERAGE(OFFSET($H$3,0,0,'Données projet'!$E$12+1,1))</f>
        <v>202.72043399839748</v>
      </c>
      <c r="CE22" s="62">
        <f t="shared" si="40"/>
        <v>295.50255983395789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16.2</v>
      </c>
      <c r="CT22" s="13">
        <f>IF('Données projet'!$A$140&gt;35,CT21+CS22-DB21,IF(A22&lt;'Données projet'!$A$140,$CQ$205^A22,IF(A22='Données projet'!$A$140,'Données projet'!$B$140,CT21+CS22-DB21)))</f>
        <v>137.80000000000001</v>
      </c>
      <c r="CU22" s="18">
        <f>CT22*VLOOKUP('Données projet'!$B$13,Paramètres!$A$1:$I$89,3,0)*VLOOKUP('Données projet'!$B$13,Paramètres!$A$1:$I$89,5,0)</f>
        <v>120.38208000000003</v>
      </c>
      <c r="CV22" s="14">
        <f t="shared" si="41"/>
        <v>31.76409668560358</v>
      </c>
      <c r="CW22" s="22">
        <f t="shared" si="13"/>
        <v>264.98792439409294</v>
      </c>
      <c r="CX22" s="62">
        <f t="shared" si="14"/>
        <v>509.37894417421455</v>
      </c>
      <c r="CY22" s="62">
        <f ca="1">AVERAGE(OFFSET($CX$3,0,0,'Données projet'!$E$13+1,1))-AVERAGE(OFFSET($H$3,0,0,'Données projet'!$E$13+1,1))</f>
        <v>297.56177871222496</v>
      </c>
      <c r="CZ22" s="62">
        <f t="shared" si="42"/>
        <v>421.5717731815397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24.6</v>
      </c>
      <c r="DO22" s="13">
        <f>IF('Données projet'!$A$166&gt;35,DO21+DN22-DW21,IF(A22&lt;'Données projet'!$A$166,$DL$205^A22,IF(A22='Données projet'!$A$166,'Données projet'!$B$166,DO21+DN22-DW21)))</f>
        <v>147.39999999999998</v>
      </c>
      <c r="DP22" s="18">
        <f>DO22*VLOOKUP('Données projet'!$B$14,Paramètres!$A$1:$I$89,3,0)*VLOOKUP('Données projet'!$B$14,Paramètres!$A$1:$I$89,5,0)</f>
        <v>108.07368</v>
      </c>
      <c r="DQ22" s="14">
        <f t="shared" si="43"/>
        <v>28.876662943781092</v>
      </c>
      <c r="DR22" s="22">
        <f t="shared" si="16"/>
        <v>238.52184729375207</v>
      </c>
      <c r="DS22" s="62">
        <f t="shared" si="17"/>
        <v>482.91286707387366</v>
      </c>
      <c r="DT22" s="62">
        <f ca="1">AVERAGE(OFFSET($DS$3,0,0,'Données projet'!$E$14+1,1))-AVERAGE(OFFSET($H$3,0,0,'Données projet'!$E$14+1,1))</f>
        <v>667.0152731006724</v>
      </c>
      <c r="DU22" s="62">
        <f t="shared" si="44"/>
        <v>567.40780872008088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5.2199836959809343</v>
      </c>
      <c r="EC22" s="23">
        <f>EXP(-LN(2)/2)*EC21+(1-EXP(-LN(2)/2))/(LN(2)/2)*DW22*DZ22*VLOOKUP('Données projet'!$B$14,Paramètres!$A$1:$I$89,3,0)*0.475*44/12</f>
        <v>4.3583017828686259</v>
      </c>
      <c r="ED22" s="24">
        <f t="shared" si="18"/>
        <v>9.5782854788495602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56.973513785354818</v>
      </c>
      <c r="EL22" s="14">
        <f t="shared" si="45"/>
        <v>16.400788649238766</v>
      </c>
      <c r="EM22" s="22">
        <f t="shared" si="19"/>
        <v>127.7935767402505</v>
      </c>
      <c r="EN22" s="62">
        <f t="shared" si="20"/>
        <v>372.18459652037211</v>
      </c>
      <c r="EO22" s="62">
        <f ca="1">AVERAGE(OFFSET($EN$3,0,0,'Données projet'!$E$15+1,1))-AVERAGE(OFFSET($H$3,0,0,'Données projet'!$E$15+1,1))</f>
        <v>454.99849419289757</v>
      </c>
      <c r="EP22" s="62">
        <f t="shared" si="46"/>
        <v>288.86643267991928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60.318762970336195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2.7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23" s="12">
        <f t="shared" si="32"/>
        <v>1.7222566815192901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19.328653245037231</v>
      </c>
      <c r="H23" s="70">
        <f t="shared" si="1"/>
        <v>227.8097137203128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393.81743487438195</v>
      </c>
      <c r="S23" s="62">
        <f ca="1">AVERAGE(OFFSET($R$3,0,0,'Données projet'!$E$9+1,1))-AVERAGE(OFFSET($H$3,0,0,'Données projet'!$E$9+1,1))</f>
        <v>427.57091071251745</v>
      </c>
      <c r="T23" s="62">
        <f t="shared" si="34"/>
        <v>272.62827206514726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411.14919373915217</v>
      </c>
      <c r="AN23" s="62">
        <f ca="1">AVERAGE(OFFSET($AM$3,0,0,'Données projet'!$E$10+1,1))-AVERAGE(OFFSET($H$3,0,0,'Données projet'!$E$10+1,1))</f>
        <v>475.54515523869958</v>
      </c>
      <c r="AO23" s="62">
        <f t="shared" si="36"/>
        <v>301.02979240961452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20.355000000000004</v>
      </c>
      <c r="BD23" s="13">
        <f>IF('Données projet'!$A$88&gt;35,BD22+BC23-BL22,IF(A23&lt;'Données projet'!$A$88,$BA$205^A23,IF(A23='Données projet'!$A$88,'Données projet'!$B$88,BD22+BC23-BL22)))</f>
        <v>174.79500000000002</v>
      </c>
      <c r="BE23" s="14">
        <f>BD23*VLOOKUP('Données projet'!$B$11,Paramètres!$A$1:$I$89,3,0)*VLOOKUP('Données projet'!$B$11,Paramètres!$A$1:$I$89,5,0)</f>
        <v>97.710405000000009</v>
      </c>
      <c r="BF23" s="14">
        <f t="shared" si="37"/>
        <v>26.41579998765167</v>
      </c>
      <c r="BG23" s="22">
        <f t="shared" si="7"/>
        <v>216.18647368682664</v>
      </c>
      <c r="BH23" s="62">
        <f t="shared" si="8"/>
        <v>462.41552435686145</v>
      </c>
      <c r="BI23" s="62">
        <f ca="1">AVERAGE(OFFSET($BH$3,0,0,'Données projet'!$E$11+1,1))-AVERAGE(OFFSET($H$3,0,0,'Données projet'!$E$11+1,1))</f>
        <v>381.71417599784968</v>
      </c>
      <c r="BJ23" s="62">
        <f t="shared" si="38"/>
        <v>350.49230135197979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160</v>
      </c>
      <c r="BW23" s="13">
        <f>VLOOKUP(A23,'Données projet'!$A$113:$I$133,9,0)</f>
        <v>15.6</v>
      </c>
      <c r="BX23" s="13">
        <f t="array" ref="BX23">INDEX(BW:BW,MIN(IF(ISNUMBER(BW23:BW219),ROW(BW23:BW219),"")))</f>
        <v>15.6</v>
      </c>
      <c r="BY23" s="13">
        <f>IF('Données projet'!$A$114&gt;35,BY22+BX23-CG22,IF(A23&lt;'Données projet'!$A$114,$BV$205^A23,IF(A23='Données projet'!$A$114,'Données projet'!$B$114,BY22+BX23-CG22)))</f>
        <v>159.99999999999997</v>
      </c>
      <c r="BZ23" s="14">
        <f>BY23*VLOOKUP('Données projet'!$B$12,Paramètres!$A$1:$I$89,3,0)*VLOOKUP('Données projet'!$B$12,Paramètres!$A$1:$I$89,5,0)</f>
        <v>87.359999999999985</v>
      </c>
      <c r="CA23" s="14">
        <f t="shared" si="39"/>
        <v>23.927421530185931</v>
      </c>
      <c r="CB23" s="22">
        <f t="shared" si="10"/>
        <v>193.82559249840713</v>
      </c>
      <c r="CC23" s="62">
        <f t="shared" si="11"/>
        <v>440.05464316844194</v>
      </c>
      <c r="CD23" s="62">
        <f ca="1">AVERAGE(OFFSET($CC$3,0,0,'Données projet'!$E$12+1,1))-AVERAGE(OFFSET($H$3,0,0,'Données projet'!$E$12+1,1))</f>
        <v>202.72043399839748</v>
      </c>
      <c r="CE23" s="62">
        <f t="shared" si="40"/>
        <v>295.50255983395789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34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154</v>
      </c>
      <c r="CR23" s="13">
        <f>VLOOKUP(A23,'Données projet'!$A$139:$I$159,9,0)</f>
        <v>16.2</v>
      </c>
      <c r="CS23" s="13">
        <f t="array" ref="CS23">INDEX(CR:CR,MIN(IF(ISNUMBER(CR23:CR219),ROW(CR23:CR219),"")))</f>
        <v>16.2</v>
      </c>
      <c r="CT23" s="13">
        <f>IF('Données projet'!$A$140&gt;35,CT22+CS23-DB22,IF(A23&lt;'Données projet'!$A$140,$CQ$205^A23,IF(A23='Données projet'!$A$140,'Données projet'!$B$140,CT22+CS23-DB22)))</f>
        <v>154</v>
      </c>
      <c r="CU23" s="18">
        <f>CT23*VLOOKUP('Données projet'!$B$13,Paramètres!$A$1:$I$89,3,0)*VLOOKUP('Données projet'!$B$13,Paramètres!$A$1:$I$89,5,0)</f>
        <v>134.53440000000001</v>
      </c>
      <c r="CV23" s="14">
        <f t="shared" si="41"/>
        <v>35.042026165482234</v>
      </c>
      <c r="CW23" s="22">
        <f t="shared" si="13"/>
        <v>295.34560890488154</v>
      </c>
      <c r="CX23" s="62">
        <f t="shared" si="14"/>
        <v>541.57465957491638</v>
      </c>
      <c r="CY23" s="62">
        <f ca="1">AVERAGE(OFFSET($CX$3,0,0,'Données projet'!$E$13+1,1))-AVERAGE(OFFSET($H$3,0,0,'Données projet'!$E$13+1,1))</f>
        <v>297.56177871222496</v>
      </c>
      <c r="CZ23" s="62">
        <f t="shared" si="42"/>
        <v>421.5717731815397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50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0.215</v>
      </c>
      <c r="DE23" s="17">
        <f>IF(ISNA(VLOOKUP(A23,'Données projet'!$A$139:$I$159,7,0)),0%,VLOOKUP(A23,'Données projet'!$A$139:$I$159,7,0))</f>
        <v>0.5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10.340816745507423</v>
      </c>
      <c r="DH23" s="23">
        <f>EXP(-LN(2)/2)*DH22+(1-EXP(-LN(2)/2))/(LN(2)/2)*DB23*DE23*VLOOKUP('Données projet'!$B$13,Paramètres!$A$1:$I$89,3,0)*0.475*44/12</f>
        <v>20.606627814981682</v>
      </c>
      <c r="DI23" s="24">
        <f t="shared" si="15"/>
        <v>30.947444560489103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172</v>
      </c>
      <c r="DM23" s="13">
        <f>VLOOKUP(A23,'Données projet'!$A$165:$I$185,9,0)</f>
        <v>24.6</v>
      </c>
      <c r="DN23" s="13">
        <f t="array" ref="DN23">INDEX(DM:DM,MIN(IF(ISNUMBER(DM23:DM219),ROW(DM23:DM219),"")))</f>
        <v>24.6</v>
      </c>
      <c r="DO23" s="13">
        <f>IF('Données projet'!$A$166&gt;35,DO22+DN23-DW22,IF(A23&lt;'Données projet'!$A$166,$DL$205^A23,IF(A23='Données projet'!$A$166,'Données projet'!$B$166,DO22+DN23-DW22)))</f>
        <v>171.99999999999997</v>
      </c>
      <c r="DP23" s="18">
        <f>DO23*VLOOKUP('Données projet'!$B$14,Paramètres!$A$1:$I$89,3,0)*VLOOKUP('Données projet'!$B$14,Paramètres!$A$1:$I$89,5,0)</f>
        <v>126.11039999999997</v>
      </c>
      <c r="DQ23" s="14">
        <f t="shared" si="43"/>
        <v>33.096004194977844</v>
      </c>
      <c r="DR23" s="22">
        <f t="shared" si="16"/>
        <v>277.28448730625303</v>
      </c>
      <c r="DS23" s="62">
        <f t="shared" si="17"/>
        <v>523.51353797628781</v>
      </c>
      <c r="DT23" s="62">
        <f ca="1">AVERAGE(OFFSET($DS$3,0,0,'Données projet'!$E$14+1,1))-AVERAGE(OFFSET($H$3,0,0,'Données projet'!$E$14+1,1))</f>
        <v>667.0152731006724</v>
      </c>
      <c r="DU23" s="62">
        <f t="shared" si="44"/>
        <v>567.40780872008088</v>
      </c>
      <c r="DV23" s="16">
        <f>IF(ISNA(VLOOKUP(A23,'Données projet'!$A$165:$I$185,3,0)),0,VLOOKUP(A23,'Données projet'!$A$165:$I$185,3,0))</f>
        <v>123</v>
      </c>
      <c r="DW23" s="16">
        <f>IF(ISNA(VLOOKUP(A23,'Données projet'!$A$165:$I$185,4,0)),0,VLOOKUP(A23,'Données projet'!$A$165:$I$185,4,0))</f>
        <v>42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0.17200000000000001</v>
      </c>
      <c r="DZ23" s="17">
        <f>IF(ISNA(VLOOKUP(A23,'Données projet'!$A$165:$I$185,7,0)),0%,VLOOKUP(A23,'Données projet'!$A$165:$I$185,7,0))</f>
        <v>0.6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10.909463611773509</v>
      </c>
      <c r="EC23" s="23">
        <f>EXP(-LN(2)/2)*EC22+(1-EXP(-LN(2)/2))/(LN(2)/2)*DW23*DZ23*VLOOKUP('Données projet'!$B$14,Paramètres!$A$1:$I$89,3,0)*0.475*44/12</f>
        <v>20.514991876598323</v>
      </c>
      <c r="ED23" s="24">
        <f t="shared" si="18"/>
        <v>31.424455488371834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70.605599999999995</v>
      </c>
      <c r="EL23" s="14">
        <f t="shared" si="45"/>
        <v>19.823773913828742</v>
      </c>
      <c r="EM23" s="22">
        <f t="shared" si="19"/>
        <v>157.49782623325171</v>
      </c>
      <c r="EN23" s="62">
        <f t="shared" si="20"/>
        <v>403.72687690328655</v>
      </c>
      <c r="EO23" s="62">
        <f ca="1">AVERAGE(OFFSET($EN$3,0,0,'Données projet'!$E$15+1,1))-AVERAGE(OFFSET($H$3,0,0,'Données projet'!$E$15+1,1))</f>
        <v>454.99849419289757</v>
      </c>
      <c r="EP23" s="62">
        <f t="shared" si="46"/>
        <v>288.86643267991928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60.486710788797367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2.7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4.6683000000000003</v>
      </c>
      <c r="D24" s="12">
        <f t="shared" si="32"/>
        <v>1.7981285760234815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19.904072690571635</v>
      </c>
      <c r="H24" s="70">
        <f t="shared" si="1"/>
        <v>228.32902976990758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398.00816057133056</v>
      </c>
      <c r="S24" s="62">
        <f ca="1">AVERAGE(OFFSET($R$3,0,0,'Données projet'!$E$9+1,1))-AVERAGE(OFFSET($H$3,0,0,'Données projet'!$E$9+1,1))</f>
        <v>427.57091071251745</v>
      </c>
      <c r="T24" s="62">
        <f t="shared" si="34"/>
        <v>272.62827206514726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415.61818016378663</v>
      </c>
      <c r="AN24" s="62">
        <f ca="1">AVERAGE(OFFSET($AM$3,0,0,'Données projet'!$E$10+1,1))-AVERAGE(OFFSET($H$3,0,0,'Données projet'!$E$10+1,1))</f>
        <v>475.54515523869958</v>
      </c>
      <c r="AO24" s="62">
        <f t="shared" si="36"/>
        <v>301.02979240961452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195.15</v>
      </c>
      <c r="BB24" s="13">
        <f>VLOOKUP(A24,'Données projet'!$A$87:$I$107,9,0)</f>
        <v>20.355000000000004</v>
      </c>
      <c r="BC24" s="13">
        <f t="array" ref="BC24">INDEX(BB:BB,MIN(IF(ISNUMBER(BB24:BB220),ROW(BB24:BB220),"")))</f>
        <v>20.355000000000004</v>
      </c>
      <c r="BD24" s="13">
        <f>IF('Données projet'!$A$88&gt;35,BD23+BC24-BL23,IF(A24&lt;'Données projet'!$A$88,$BA$205^A24,IF(A24='Données projet'!$A$88,'Données projet'!$B$88,BD23+BC24-BL23)))</f>
        <v>195.15000000000003</v>
      </c>
      <c r="BE24" s="14">
        <f>BD24*VLOOKUP('Données projet'!$B$11,Paramètres!$A$1:$I$89,3,0)*VLOOKUP('Données projet'!$B$11,Paramètres!$A$1:$I$89,5,0)</f>
        <v>109.08885000000002</v>
      </c>
      <c r="BF24" s="14">
        <f t="shared" si="37"/>
        <v>29.116206715124498</v>
      </c>
      <c r="BG24" s="22">
        <f t="shared" si="7"/>
        <v>240.70714044550854</v>
      </c>
      <c r="BH24" s="62">
        <f t="shared" si="8"/>
        <v>488.76353910181405</v>
      </c>
      <c r="BI24" s="62">
        <f ca="1">AVERAGE(OFFSET($BH$3,0,0,'Données projet'!$E$11+1,1))-AVERAGE(OFFSET($H$3,0,0,'Données projet'!$E$11+1,1))</f>
        <v>381.71417599784968</v>
      </c>
      <c r="BJ24" s="62">
        <f t="shared" si="38"/>
        <v>350.49230135197979</v>
      </c>
      <c r="BK24" s="16">
        <f>IF(ISNA(VLOOKUP(A24,'Données projet'!$A$87:$I$107,3,0)),0,VLOOKUP(A24,'Données projet'!$A$87:$I$107,3,0))</f>
        <v>2</v>
      </c>
      <c r="BL24" s="16">
        <f>IF(ISNA(VLOOKUP(A24,'Données projet'!$A$87:$I$107,4,0)),0,VLOOKUP(A24,'Données projet'!$A$87:$I$107,4,0))</f>
        <v>64.58</v>
      </c>
      <c r="BM24" s="17">
        <f>IF(ISNA(VLOOKUP(A24,'Données projet'!$A$87:$I$107,5,0)),0%,VLOOKUP(A24,'Données projet'!$A$87:$I$107,5,0)*VLOOKUP('Données projet'!$B$11,Paramètres!$A$1:$I$89,7,0))</f>
        <v>5.5000000000000007E-2</v>
      </c>
      <c r="BN24" s="17">
        <f>IF(ISNA(VLOOKUP(A24,'Données projet'!$A$87:$I$107,6,0)),0%,VLOOKUP(A24,'Données projet'!$A$87:$I$107,6,0)*VLOOKUP('Données projet'!$B$11,Paramètres!$A$1:$I$89,7,0))</f>
        <v>0.22000000000000003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2.6339097777051177</v>
      </c>
      <c r="BQ24" s="23">
        <f>EXP(-LN(2)/25)*BQ23+(1-EXP(-LN(2)/25))/(LN(2)/25)*Calculateur!BL24*Calculateur!BN24*VLOOKUP('Données projet'!$B$11,Paramètres!$A$1:$I$89,3,0)*0.475*44/12</f>
        <v>10.494156285247946</v>
      </c>
      <c r="BR24" s="23">
        <f>EXP(-LN(2)/2)*BR23+(1-EXP(-LN(2)/2))/(LN(2)/2)*BL24*BO24*VLOOKUP('Données projet'!$B$11,Paramètres!$A$1:$I$89,3,0)*0.475*44/12</f>
        <v>20.436917515905439</v>
      </c>
      <c r="BS24" s="24">
        <f t="shared" si="9"/>
        <v>33.564983578858502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13.8</v>
      </c>
      <c r="BY24" s="13">
        <f>IF('Données projet'!$A$114&gt;35,BY23+BX24-CG23,IF(A24&lt;'Données projet'!$A$114,$BV$205^A24,IF(A24='Données projet'!$A$114,'Données projet'!$B$114,BY23+BX24-CG23)))</f>
        <v>139.79999999999998</v>
      </c>
      <c r="BZ24" s="14">
        <f>BY24*VLOOKUP('Données projet'!$B$12,Paramètres!$A$1:$I$89,3,0)*VLOOKUP('Données projet'!$B$12,Paramètres!$A$1:$I$89,5,0)</f>
        <v>76.330799999999996</v>
      </c>
      <c r="CA24" s="14">
        <f t="shared" si="39"/>
        <v>21.237608988423052</v>
      </c>
      <c r="CB24" s="22">
        <f t="shared" si="10"/>
        <v>169.93164565483679</v>
      </c>
      <c r="CC24" s="62">
        <f t="shared" si="11"/>
        <v>417.98804431114229</v>
      </c>
      <c r="CD24" s="62">
        <f ca="1">AVERAGE(OFFSET($CC$3,0,0,'Données projet'!$E$12+1,1))-AVERAGE(OFFSET($H$3,0,0,'Données projet'!$E$12+1,1))</f>
        <v>202.72043399839748</v>
      </c>
      <c r="CE24" s="62">
        <f t="shared" si="40"/>
        <v>295.50255983395789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15.8</v>
      </c>
      <c r="CT24" s="13">
        <f>IF('Données projet'!$A$140&gt;35,CT23+CS24-DB23,IF(A24&lt;'Données projet'!$A$140,$CQ$205^A24,IF(A24='Données projet'!$A$140,'Données projet'!$B$140,CT23+CS24-DB23)))</f>
        <v>119.80000000000001</v>
      </c>
      <c r="CU24" s="18">
        <f>CT24*VLOOKUP('Données projet'!$B$13,Paramètres!$A$1:$I$89,3,0)*VLOOKUP('Données projet'!$B$13,Paramètres!$A$1:$I$89,5,0)</f>
        <v>104.65728000000001</v>
      </c>
      <c r="CV24" s="14">
        <f t="shared" si="41"/>
        <v>28.068573730915457</v>
      </c>
      <c r="CW24" s="22">
        <f t="shared" si="13"/>
        <v>231.16419524801108</v>
      </c>
      <c r="CX24" s="62">
        <f t="shared" si="14"/>
        <v>479.22059390431662</v>
      </c>
      <c r="CY24" s="62">
        <f ca="1">AVERAGE(OFFSET($CX$3,0,0,'Données projet'!$E$13+1,1))-AVERAGE(OFFSET($H$3,0,0,'Données projet'!$E$13+1,1))</f>
        <v>297.56177871222496</v>
      </c>
      <c r="CZ24" s="62">
        <f t="shared" si="42"/>
        <v>421.5717731815397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10.058046567801604</v>
      </c>
      <c r="DH24" s="23">
        <f>EXP(-LN(2)/2)*DH23+(1-EXP(-LN(2)/2))/(LN(2)/2)*DB24*DE24*VLOOKUP('Données projet'!$B$13,Paramètres!$A$1:$I$89,3,0)*0.475*44/12</f>
        <v>14.571086265360877</v>
      </c>
      <c r="DI24" s="24">
        <f t="shared" si="15"/>
        <v>24.62913283316248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25.2</v>
      </c>
      <c r="DO24" s="13">
        <f>IF('Données projet'!$A$166&gt;35,DO23+DN24-DW23,IF(A24&lt;'Données projet'!$A$166,$DL$205^A24,IF(A24='Données projet'!$A$166,'Données projet'!$B$166,DO23+DN24-DW23)))</f>
        <v>155.19999999999996</v>
      </c>
      <c r="DP24" s="18">
        <f>DO24*VLOOKUP('Données projet'!$B$14,Paramètres!$A$1:$I$89,3,0)*VLOOKUP('Données projet'!$B$14,Paramètres!$A$1:$I$89,5,0)</f>
        <v>113.79263999999996</v>
      </c>
      <c r="DQ24" s="14">
        <f t="shared" si="43"/>
        <v>30.222789639068861</v>
      </c>
      <c r="DR24" s="22">
        <f t="shared" si="16"/>
        <v>250.82687328804488</v>
      </c>
      <c r="DS24" s="62">
        <f t="shared" si="17"/>
        <v>498.88327194435038</v>
      </c>
      <c r="DT24" s="62">
        <f ca="1">AVERAGE(OFFSET($DS$3,0,0,'Données projet'!$E$14+1,1))-AVERAGE(OFFSET($H$3,0,0,'Données projet'!$E$14+1,1))</f>
        <v>667.0152731006724</v>
      </c>
      <c r="DU24" s="62">
        <f t="shared" si="44"/>
        <v>567.40780872008088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10.611143755605806</v>
      </c>
      <c r="EC24" s="23">
        <f>EXP(-LN(2)/2)*EC23+(1-EXP(-LN(2)/2))/(LN(2)/2)*DW24*DZ24*VLOOKUP('Données projet'!$B$14,Paramètres!$A$1:$I$89,3,0)*0.475*44/12</f>
        <v>14.506289871929612</v>
      </c>
      <c r="ED24" s="24">
        <f t="shared" si="18"/>
        <v>25.117433627535419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71.76624000000001</v>
      </c>
      <c r="EL24" s="14">
        <f t="shared" si="45"/>
        <v>20.111439068025625</v>
      </c>
      <c r="EM24" s="22">
        <f t="shared" si="19"/>
        <v>160.02029104347795</v>
      </c>
      <c r="EN24" s="62">
        <f t="shared" si="20"/>
        <v>408.07668969978346</v>
      </c>
      <c r="EO24" s="62">
        <f ca="1">AVERAGE(OFFSET($EN$3,0,0,'Données projet'!$E$15+1,1))-AVERAGE(OFFSET($H$3,0,0,'Données projet'!$E$15+1,1))</f>
        <v>454.99849419289757</v>
      </c>
      <c r="EP24" s="62">
        <f t="shared" si="46"/>
        <v>288.86643267991928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60.651745088083317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2.7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4.8906000000000001</v>
      </c>
      <c r="D25" s="12">
        <f t="shared" si="32"/>
        <v>1.8735809194047854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20.478682476044327</v>
      </c>
      <c r="H25" s="70">
        <f t="shared" si="1"/>
        <v>228.8476151012967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413.98715536385538</v>
      </c>
      <c r="S25" s="62">
        <f ca="1">AVERAGE(OFFSET($R$3,0,0,'Données projet'!$E$9+1,1))-AVERAGE(OFFSET($H$3,0,0,'Données projet'!$E$9+1,1))</f>
        <v>427.57091071251745</v>
      </c>
      <c r="T25" s="62">
        <f t="shared" si="34"/>
        <v>272.62827206514726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433.26481978129448</v>
      </c>
      <c r="AN25" s="62">
        <f ca="1">AVERAGE(OFFSET($AM$3,0,0,'Données projet'!$E$10+1,1))-AVERAGE(OFFSET($H$3,0,0,'Données projet'!$E$10+1,1))</f>
        <v>475.54515523869958</v>
      </c>
      <c r="AO25" s="62">
        <f t="shared" si="36"/>
        <v>301.02979240961452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21.612857142857145</v>
      </c>
      <c r="BD25" s="13">
        <f>IF('Données projet'!$A$88&gt;35,BD24+BC25-BL24,IF(A25&lt;'Données projet'!$A$88,$BA$205^A25,IF(A25='Données projet'!$A$88,'Données projet'!$B$88,BD24+BC25-BL24)))</f>
        <v>152.18285714285719</v>
      </c>
      <c r="BE25" s="14">
        <f>BD25*VLOOKUP('Données projet'!$B$11,Paramètres!$A$1:$I$89,3,0)*VLOOKUP('Données projet'!$B$11,Paramètres!$A$1:$I$89,5,0)</f>
        <v>85.070217142857175</v>
      </c>
      <c r="BF25" s="14">
        <f t="shared" si="37"/>
        <v>23.372410230575955</v>
      </c>
      <c r="BG25" s="22">
        <f t="shared" si="7"/>
        <v>188.87090934206267</v>
      </c>
      <c r="BH25" s="62">
        <f t="shared" si="8"/>
        <v>438.74415840549113</v>
      </c>
      <c r="BI25" s="62">
        <f ca="1">AVERAGE(OFFSET($BH$3,0,0,'Données projet'!$E$11+1,1))-AVERAGE(OFFSET($H$3,0,0,'Données projet'!$E$11+1,1))</f>
        <v>381.71417599784968</v>
      </c>
      <c r="BJ25" s="62">
        <f t="shared" si="38"/>
        <v>350.49230135197979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2.5822604134906535</v>
      </c>
      <c r="BQ25" s="23">
        <f>EXP(-LN(2)/25)*BQ24+(1-EXP(-LN(2)/25))/(LN(2)/25)*Calculateur!BL25*Calculateur!BN25*VLOOKUP('Données projet'!$B$11,Paramètres!$A$1:$I$89,3,0)*0.475*44/12</f>
        <v>10.207193029764147</v>
      </c>
      <c r="BR25" s="23">
        <f>EXP(-LN(2)/2)*BR24+(1-EXP(-LN(2)/2))/(LN(2)/2)*BL25*BO25*VLOOKUP('Données projet'!$B$11,Paramètres!$A$1:$I$89,3,0)*0.475*44/12</f>
        <v>14.451082962046868</v>
      </c>
      <c r="BS25" s="24">
        <f t="shared" si="9"/>
        <v>27.240536405301668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13.8</v>
      </c>
      <c r="BY25" s="13">
        <f>IF('Données projet'!$A$114&gt;35,BY24+BX25-CG24,IF(A25&lt;'Données projet'!$A$114,$BV$205^A25,IF(A25='Données projet'!$A$114,'Données projet'!$B$114,BY24+BX25-CG24)))</f>
        <v>153.6</v>
      </c>
      <c r="BZ25" s="14">
        <f>BY25*VLOOKUP('Données projet'!$B$12,Paramètres!$A$1:$I$89,3,0)*VLOOKUP('Données projet'!$B$12,Paramètres!$A$1:$I$89,5,0)</f>
        <v>83.865600000000001</v>
      </c>
      <c r="CA25" s="14">
        <f t="shared" si="39"/>
        <v>23.079732033574274</v>
      </c>
      <c r="CB25" s="22">
        <f t="shared" si="10"/>
        <v>186.26311995847519</v>
      </c>
      <c r="CC25" s="62">
        <f t="shared" si="11"/>
        <v>436.13636902190365</v>
      </c>
      <c r="CD25" s="62">
        <f ca="1">AVERAGE(OFFSET($CC$3,0,0,'Données projet'!$E$12+1,1))-AVERAGE(OFFSET($H$3,0,0,'Données projet'!$E$12+1,1))</f>
        <v>202.72043399839748</v>
      </c>
      <c r="CE25" s="62">
        <f t="shared" si="40"/>
        <v>295.50255983395789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15.8</v>
      </c>
      <c r="CT25" s="13">
        <f>IF('Données projet'!$A$140&gt;35,CT24+CS25-DB24,IF(A25&lt;'Données projet'!$A$140,$CQ$205^A25,IF(A25='Données projet'!$A$140,'Données projet'!$B$140,CT24+CS25-DB24)))</f>
        <v>135.60000000000002</v>
      </c>
      <c r="CU25" s="18">
        <f>CT25*VLOOKUP('Données projet'!$B$13,Paramètres!$A$1:$I$89,3,0)*VLOOKUP('Données projet'!$B$13,Paramètres!$A$1:$I$89,5,0)</f>
        <v>118.46016000000003</v>
      </c>
      <c r="CV25" s="14">
        <f t="shared" si="41"/>
        <v>31.315587396029674</v>
      </c>
      <c r="CW25" s="22">
        <f t="shared" si="13"/>
        <v>260.85942671475175</v>
      </c>
      <c r="CX25" s="62">
        <f t="shared" si="14"/>
        <v>510.73267577818024</v>
      </c>
      <c r="CY25" s="62">
        <f ca="1">AVERAGE(OFFSET($CX$3,0,0,'Données projet'!$E$13+1,1))-AVERAGE(OFFSET($H$3,0,0,'Données projet'!$E$13+1,1))</f>
        <v>297.56177871222496</v>
      </c>
      <c r="CZ25" s="62">
        <f t="shared" si="42"/>
        <v>421.5717731815397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9.7830087554753877</v>
      </c>
      <c r="DH25" s="23">
        <f>EXP(-LN(2)/2)*DH24+(1-EXP(-LN(2)/2))/(LN(2)/2)*DB25*DE25*VLOOKUP('Données projet'!$B$13,Paramètres!$A$1:$I$89,3,0)*0.475*44/12</f>
        <v>10.303313907490843</v>
      </c>
      <c r="DI25" s="24">
        <f t="shared" si="15"/>
        <v>20.086322662966232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25.2</v>
      </c>
      <c r="DO25" s="13">
        <f>IF('Données projet'!$A$166&gt;35,DO24+DN25-DW24,IF(A25&lt;'Données projet'!$A$166,$DL$205^A25,IF(A25='Données projet'!$A$166,'Données projet'!$B$166,DO24+DN25-DW24)))</f>
        <v>180.39999999999995</v>
      </c>
      <c r="DP25" s="18">
        <f>DO25*VLOOKUP('Données projet'!$B$14,Paramètres!$A$1:$I$89,3,0)*VLOOKUP('Données projet'!$B$14,Paramètres!$A$1:$I$89,5,0)</f>
        <v>132.26927999999995</v>
      </c>
      <c r="DQ25" s="14">
        <f t="shared" si="43"/>
        <v>34.520194019648734</v>
      </c>
      <c r="DR25" s="22">
        <f t="shared" si="16"/>
        <v>290.4916672508881</v>
      </c>
      <c r="DS25" s="62">
        <f t="shared" si="17"/>
        <v>540.36491631431659</v>
      </c>
      <c r="DT25" s="62">
        <f ca="1">AVERAGE(OFFSET($DS$3,0,0,'Données projet'!$E$14+1,1))-AVERAGE(OFFSET($H$3,0,0,'Données projet'!$E$14+1,1))</f>
        <v>667.0152731006724</v>
      </c>
      <c r="DU25" s="62">
        <f t="shared" si="44"/>
        <v>567.40780872008088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10.320981471592967</v>
      </c>
      <c r="EC25" s="23">
        <f>EXP(-LN(2)/2)*EC24+(1-EXP(-LN(2)/2))/(LN(2)/2)*DW25*DZ25*VLOOKUP('Données projet'!$B$14,Paramètres!$A$1:$I$89,3,0)*0.475*44/12</f>
        <v>10.257495938299163</v>
      </c>
      <c r="ED25" s="24">
        <f t="shared" si="18"/>
        <v>20.57847740989213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78.730080000000015</v>
      </c>
      <c r="EL25" s="14">
        <f t="shared" si="45"/>
        <v>21.826393515256996</v>
      </c>
      <c r="EM25" s="22">
        <f t="shared" si="19"/>
        <v>175.13585803907259</v>
      </c>
      <c r="EN25" s="62">
        <f t="shared" si="20"/>
        <v>425.00910710250105</v>
      </c>
      <c r="EO25" s="62">
        <f ca="1">AVERAGE(OFFSET($EN$3,0,0,'Données projet'!$E$15+1,1))-AVERAGE(OFFSET($H$3,0,0,'Données projet'!$E$15+1,1))</f>
        <v>454.99849419289757</v>
      </c>
      <c r="EP25" s="62">
        <f t="shared" si="46"/>
        <v>288.86643267991928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60.813916411238068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2.7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5.1128999999999998</v>
      </c>
      <c r="D26" s="12">
        <f t="shared" si="32"/>
        <v>1.9486349607044968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21.052523608377101</v>
      </c>
      <c r="H26" s="70">
        <f t="shared" si="1"/>
        <v>229.36550672322701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429.92695115364938</v>
      </c>
      <c r="S26" s="62">
        <f ca="1">AVERAGE(OFFSET($R$3,0,0,'Données projet'!$E$9+1,1))-AVERAGE(OFFSET($H$3,0,0,'Données projet'!$E$9+1,1))</f>
        <v>427.57091071251745</v>
      </c>
      <c r="T26" s="62">
        <f t="shared" si="34"/>
        <v>272.62827206514726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450.86920093789468</v>
      </c>
      <c r="AN26" s="62">
        <f ca="1">AVERAGE(OFFSET($AM$3,0,0,'Données projet'!$E$10+1,1))-AVERAGE(OFFSET($H$3,0,0,'Données projet'!$E$10+1,1))</f>
        <v>475.54515523869958</v>
      </c>
      <c r="AO26" s="62">
        <f t="shared" si="36"/>
        <v>301.02979240961452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21.612857142857145</v>
      </c>
      <c r="BD26" s="13">
        <f>IF('Données projet'!$A$88&gt;35,BD25+BC26-BL25,IF(A26&lt;'Données projet'!$A$88,$BA$205^A26,IF(A26='Données projet'!$A$88,'Données projet'!$B$88,BD25+BC26-BL25)))</f>
        <v>173.79571428571433</v>
      </c>
      <c r="BE26" s="14">
        <f>BD26*VLOOKUP('Données projet'!$B$11,Paramètres!$A$1:$I$89,3,0)*VLOOKUP('Données projet'!$B$11,Paramètres!$A$1:$I$89,5,0)</f>
        <v>97.15180428571432</v>
      </c>
      <c r="BF26" s="14">
        <f t="shared" si="37"/>
        <v>26.282317303127122</v>
      </c>
      <c r="BG26" s="22">
        <f t="shared" si="7"/>
        <v>214.98109510056551</v>
      </c>
      <c r="BH26" s="62">
        <f t="shared" si="8"/>
        <v>466.66087910149844</v>
      </c>
      <c r="BI26" s="62">
        <f ca="1">AVERAGE(OFFSET($BH$3,0,0,'Données projet'!$E$11+1,1))-AVERAGE(OFFSET($H$3,0,0,'Données projet'!$E$11+1,1))</f>
        <v>381.71417599784968</v>
      </c>
      <c r="BJ26" s="62">
        <f t="shared" si="38"/>
        <v>350.49230135197979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2.5316238618054334</v>
      </c>
      <c r="BQ26" s="23">
        <f>EXP(-LN(2)/25)*BQ25+(1-EXP(-LN(2)/25))/(LN(2)/25)*Calculateur!BL26*Calculateur!BN26*VLOOKUP('Données projet'!$B$11,Paramètres!$A$1:$I$89,3,0)*0.475*44/12</f>
        <v>9.9280767995922936</v>
      </c>
      <c r="BR26" s="23">
        <f>EXP(-LN(2)/2)*BR25+(1-EXP(-LN(2)/2))/(LN(2)/2)*BL26*BO26*VLOOKUP('Données projet'!$B$11,Paramètres!$A$1:$I$89,3,0)*0.475*44/12</f>
        <v>10.218458757952721</v>
      </c>
      <c r="BS26" s="24">
        <f t="shared" si="9"/>
        <v>22.67815941935045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13.8</v>
      </c>
      <c r="BY26" s="13">
        <f>IF('Données projet'!$A$114&gt;35,BY25+BX26-CG25,IF(A26&lt;'Données projet'!$A$114,$BV$205^A26,IF(A26='Données projet'!$A$114,'Données projet'!$B$114,BY25+BX26-CG25)))</f>
        <v>167.4</v>
      </c>
      <c r="BZ26" s="14">
        <f>BY26*VLOOKUP('Données projet'!$B$12,Paramètres!$A$1:$I$89,3,0)*VLOOKUP('Données projet'!$B$12,Paramètres!$A$1:$I$89,5,0)</f>
        <v>91.400399999999991</v>
      </c>
      <c r="CA26" s="14">
        <f t="shared" si="39"/>
        <v>24.902663651802118</v>
      </c>
      <c r="CB26" s="22">
        <f t="shared" si="10"/>
        <v>202.56116919355532</v>
      </c>
      <c r="CC26" s="62">
        <f t="shared" si="11"/>
        <v>454.24095319448827</v>
      </c>
      <c r="CD26" s="62">
        <f ca="1">AVERAGE(OFFSET($CC$3,0,0,'Données projet'!$E$12+1,1))-AVERAGE(OFFSET($H$3,0,0,'Données projet'!$E$12+1,1))</f>
        <v>202.72043399839748</v>
      </c>
      <c r="CE26" s="62">
        <f t="shared" si="40"/>
        <v>295.50255983395789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15.8</v>
      </c>
      <c r="CT26" s="13">
        <f>IF('Données projet'!$A$140&gt;35,CT25+CS26-DB25,IF(A26&lt;'Données projet'!$A$140,$CQ$205^A26,IF(A26='Données projet'!$A$140,'Données projet'!$B$140,CT25+CS26-DB25)))</f>
        <v>151.40000000000003</v>
      </c>
      <c r="CU26" s="18">
        <f>CT26*VLOOKUP('Données projet'!$B$13,Paramètres!$A$1:$I$89,3,0)*VLOOKUP('Données projet'!$B$13,Paramètres!$A$1:$I$89,5,0)</f>
        <v>132.26304000000005</v>
      </c>
      <c r="CV26" s="14">
        <f t="shared" si="41"/>
        <v>34.518755036434833</v>
      </c>
      <c r="CW26" s="22">
        <f t="shared" si="13"/>
        <v>290.47829302179076</v>
      </c>
      <c r="CX26" s="62">
        <f t="shared" si="14"/>
        <v>542.15807702272366</v>
      </c>
      <c r="CY26" s="62">
        <f ca="1">AVERAGE(OFFSET($CX$3,0,0,'Données projet'!$E$13+1,1))-AVERAGE(OFFSET($H$3,0,0,'Données projet'!$E$13+1,1))</f>
        <v>297.56177871222496</v>
      </c>
      <c r="CZ26" s="62">
        <f t="shared" si="42"/>
        <v>421.5717731815397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9.5154918665908426</v>
      </c>
      <c r="DH26" s="23">
        <f>EXP(-LN(2)/2)*DH25+(1-EXP(-LN(2)/2))/(LN(2)/2)*DB26*DE26*VLOOKUP('Données projet'!$B$13,Paramètres!$A$1:$I$89,3,0)*0.475*44/12</f>
        <v>7.2855431326804396</v>
      </c>
      <c r="DI26" s="24">
        <f t="shared" si="15"/>
        <v>16.80103499927128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25.2</v>
      </c>
      <c r="DO26" s="13">
        <f>IF('Données projet'!$A$166&gt;35,DO25+DN26-DW25,IF(A26&lt;'Données projet'!$A$166,$DL$205^A26,IF(A26='Données projet'!$A$166,'Données projet'!$B$166,DO25+DN26-DW25)))</f>
        <v>205.59999999999994</v>
      </c>
      <c r="DP26" s="18">
        <f>DO26*VLOOKUP('Données projet'!$B$14,Paramètres!$A$1:$I$89,3,0)*VLOOKUP('Données projet'!$B$14,Paramètres!$A$1:$I$89,5,0)</f>
        <v>150.74591999999996</v>
      </c>
      <c r="DQ26" s="14">
        <f t="shared" si="43"/>
        <v>38.748049648099375</v>
      </c>
      <c r="DR26" s="22">
        <f t="shared" si="16"/>
        <v>330.03533047043965</v>
      </c>
      <c r="DS26" s="62">
        <f t="shared" si="17"/>
        <v>581.71511447137254</v>
      </c>
      <c r="DT26" s="62">
        <f ca="1">AVERAGE(OFFSET($DS$3,0,0,'Données projet'!$E$14+1,1))-AVERAGE(OFFSET($H$3,0,0,'Données projet'!$E$14+1,1))</f>
        <v>667.0152731006724</v>
      </c>
      <c r="DU26" s="62">
        <f t="shared" si="44"/>
        <v>567.40780872008088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10.038753690495431</v>
      </c>
      <c r="EC26" s="23">
        <f>EXP(-LN(2)/2)*EC25+(1-EXP(-LN(2)/2))/(LN(2)/2)*DW26*DZ26*VLOOKUP('Données projet'!$B$14,Paramètres!$A$1:$I$89,3,0)*0.475*44/12</f>
        <v>7.2531449359648068</v>
      </c>
      <c r="ED26" s="24">
        <f t="shared" si="18"/>
        <v>17.291898626460238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85.693920000000006</v>
      </c>
      <c r="EL26" s="14">
        <f t="shared" si="45"/>
        <v>23.523757486236178</v>
      </c>
      <c r="EM26" s="22">
        <f t="shared" si="19"/>
        <v>190.22078828852798</v>
      </c>
      <c r="EN26" s="62">
        <f t="shared" si="20"/>
        <v>441.90057228946091</v>
      </c>
      <c r="EO26" s="62">
        <f ca="1">AVERAGE(OFFSET($EN$3,0,0,'Données projet'!$E$15+1,1))-AVERAGE(OFFSET($H$3,0,0,'Données projet'!$E$15+1,1))</f>
        <v>454.99849419289757</v>
      </c>
      <c r="EP26" s="62">
        <f t="shared" si="46"/>
        <v>288.86643267991928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60.97327442449685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2.7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27" s="12">
        <f t="shared" si="32"/>
        <v>2.0233099967312578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21.625633327025234</v>
      </c>
      <c r="H27" s="70">
        <f t="shared" si="1"/>
        <v>229.88273824430695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445.83034093783851</v>
      </c>
      <c r="S27" s="62">
        <f ca="1">AVERAGE(OFFSET($R$3,0,0,'Données projet'!$E$9+1,1))-AVERAGE(OFFSET($H$3,0,0,'Données projet'!$E$9+1,1))</f>
        <v>427.57091071251745</v>
      </c>
      <c r="T27" s="62">
        <f t="shared" si="34"/>
        <v>272.62827206514726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468.43439352089803</v>
      </c>
      <c r="AN27" s="62">
        <f ca="1">AVERAGE(OFFSET($AM$3,0,0,'Données projet'!$E$10+1,1))-AVERAGE(OFFSET($H$3,0,0,'Données projet'!$E$10+1,1))</f>
        <v>475.54515523869958</v>
      </c>
      <c r="AO27" s="62">
        <f t="shared" si="36"/>
        <v>301.02979240961452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21.612857142857145</v>
      </c>
      <c r="BD27" s="13">
        <f>IF('Données projet'!$A$88&gt;35,BD26+BC27-BL26,IF(A27&lt;'Données projet'!$A$88,$BA$205^A27,IF(A27='Données projet'!$A$88,'Données projet'!$B$88,BD26+BC27-BL26)))</f>
        <v>195.40857142857146</v>
      </c>
      <c r="BE27" s="14">
        <f>BD27*VLOOKUP('Données projet'!$B$11,Paramètres!$A$1:$I$89,3,0)*VLOOKUP('Données projet'!$B$11,Paramètres!$A$1:$I$89,5,0)</f>
        <v>109.23339142857145</v>
      </c>
      <c r="BF27" s="14">
        <f t="shared" si="37"/>
        <v>29.150292163037918</v>
      </c>
      <c r="BG27" s="22">
        <f t="shared" si="7"/>
        <v>241.018248922053</v>
      </c>
      <c r="BH27" s="62">
        <f t="shared" si="8"/>
        <v>494.4944313412077</v>
      </c>
      <c r="BI27" s="62">
        <f ca="1">AVERAGE(OFFSET($BH$3,0,0,'Données projet'!$E$11+1,1))-AVERAGE(OFFSET($H$3,0,0,'Données projet'!$E$11+1,1))</f>
        <v>381.71417599784968</v>
      </c>
      <c r="BJ27" s="62">
        <f t="shared" si="38"/>
        <v>350.49230135197979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2.4819802620135136</v>
      </c>
      <c r="BQ27" s="23">
        <f>EXP(-LN(2)/25)*BQ26+(1-EXP(-LN(2)/25))/(LN(2)/25)*Calculateur!BL27*Calculateur!BN27*VLOOKUP('Données projet'!$B$11,Paramètres!$A$1:$I$89,3,0)*0.475*44/12</f>
        <v>9.6565930174125736</v>
      </c>
      <c r="BR27" s="23">
        <f>EXP(-LN(2)/2)*BR26+(1-EXP(-LN(2)/2))/(LN(2)/2)*BL27*BO27*VLOOKUP('Données projet'!$B$11,Paramètres!$A$1:$I$89,3,0)*0.475*44/12</f>
        <v>7.2255414810234351</v>
      </c>
      <c r="BS27" s="24">
        <f t="shared" si="9"/>
        <v>19.364114760449521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13.8</v>
      </c>
      <c r="BY27" s="13">
        <f>IF('Données projet'!$A$114&gt;35,BY26+BX27-CG26,IF(A27&lt;'Données projet'!$A$114,$BV$205^A27,IF(A27='Données projet'!$A$114,'Données projet'!$B$114,BY26+BX27-CG26)))</f>
        <v>181.20000000000002</v>
      </c>
      <c r="BZ27" s="14">
        <f>BY27*VLOOKUP('Données projet'!$B$12,Paramètres!$A$1:$I$89,3,0)*VLOOKUP('Données projet'!$B$12,Paramètres!$A$1:$I$89,5,0)</f>
        <v>98.935200000000009</v>
      </c>
      <c r="CA27" s="14">
        <f t="shared" si="39"/>
        <v>26.708165799953093</v>
      </c>
      <c r="CB27" s="22">
        <f t="shared" si="10"/>
        <v>218.82886210158497</v>
      </c>
      <c r="CC27" s="62">
        <f t="shared" si="11"/>
        <v>472.30504452073967</v>
      </c>
      <c r="CD27" s="62">
        <f ca="1">AVERAGE(OFFSET($CC$3,0,0,'Données projet'!$E$12+1,1))-AVERAGE(OFFSET($H$3,0,0,'Données projet'!$E$12+1,1))</f>
        <v>202.72043399839748</v>
      </c>
      <c r="CE27" s="62">
        <f t="shared" si="40"/>
        <v>295.50255983395789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15.8</v>
      </c>
      <c r="CT27" s="13">
        <f>IF('Données projet'!$A$140&gt;35,CT26+CS27-DB26,IF(A27&lt;'Données projet'!$A$140,$CQ$205^A27,IF(A27='Données projet'!$A$140,'Données projet'!$B$140,CT26+CS27-DB26)))</f>
        <v>167.20000000000005</v>
      </c>
      <c r="CU27" s="18">
        <f>CT27*VLOOKUP('Données projet'!$B$13,Paramètres!$A$1:$I$89,3,0)*VLOOKUP('Données projet'!$B$13,Paramètres!$A$1:$I$89,5,0)</f>
        <v>146.06592000000006</v>
      </c>
      <c r="CV27" s="14">
        <f t="shared" si="41"/>
        <v>37.683173643014399</v>
      </c>
      <c r="CW27" s="22">
        <f t="shared" si="13"/>
        <v>320.0296714282502</v>
      </c>
      <c r="CX27" s="62">
        <f t="shared" si="14"/>
        <v>573.50585384740486</v>
      </c>
      <c r="CY27" s="62">
        <f ca="1">AVERAGE(OFFSET($CX$3,0,0,'Données projet'!$E$13+1,1))-AVERAGE(OFFSET($H$3,0,0,'Données projet'!$E$13+1,1))</f>
        <v>297.56177871222496</v>
      </c>
      <c r="CZ27" s="62">
        <f t="shared" si="42"/>
        <v>421.5717731815397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9.2552902411009459</v>
      </c>
      <c r="DH27" s="23">
        <f>EXP(-LN(2)/2)*DH26+(1-EXP(-LN(2)/2))/(LN(2)/2)*DB27*DE27*VLOOKUP('Données projet'!$B$13,Paramètres!$A$1:$I$89,3,0)*0.475*44/12</f>
        <v>5.1516569537454222</v>
      </c>
      <c r="DI27" s="24">
        <f t="shared" si="15"/>
        <v>14.406947194846367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25.2</v>
      </c>
      <c r="DO27" s="13">
        <f>IF('Données projet'!$A$166&gt;35,DO26+DN27-DW26,IF(A27&lt;'Données projet'!$A$166,$DL$205^A27,IF(A27='Données projet'!$A$166,'Données projet'!$B$166,DO26+DN27-DW26)))</f>
        <v>230.79999999999993</v>
      </c>
      <c r="DP27" s="18">
        <f>DO27*VLOOKUP('Données projet'!$B$14,Paramètres!$A$1:$I$89,3,0)*VLOOKUP('Données projet'!$B$14,Paramètres!$A$1:$I$89,5,0)</f>
        <v>169.22255999999993</v>
      </c>
      <c r="DQ27" s="14">
        <f t="shared" si="43"/>
        <v>42.915856464527835</v>
      </c>
      <c r="DR27" s="22">
        <f t="shared" si="16"/>
        <v>369.47440867571919</v>
      </c>
      <c r="DS27" s="62">
        <f t="shared" si="17"/>
        <v>622.95059109487386</v>
      </c>
      <c r="DT27" s="62">
        <f ca="1">AVERAGE(OFFSET($DS$3,0,0,'Données projet'!$E$14+1,1))-AVERAGE(OFFSET($H$3,0,0,'Données projet'!$E$14+1,1))</f>
        <v>667.0152731006724</v>
      </c>
      <c r="DU27" s="62">
        <f t="shared" si="44"/>
        <v>567.40780872008088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9.7642434429137204</v>
      </c>
      <c r="EC27" s="23">
        <f>EXP(-LN(2)/2)*EC26+(1-EXP(-LN(2)/2))/(LN(2)/2)*DW27*DZ27*VLOOKUP('Données projet'!$B$14,Paramètres!$A$1:$I$89,3,0)*0.475*44/12</f>
        <v>5.1287479691495825</v>
      </c>
      <c r="ED27" s="24">
        <f t="shared" si="18"/>
        <v>14.892991412063303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92.65776000000001</v>
      </c>
      <c r="EL27" s="14">
        <f t="shared" si="45"/>
        <v>25.205122972074609</v>
      </c>
      <c r="EM27" s="22">
        <f t="shared" si="19"/>
        <v>205.2778545096966</v>
      </c>
      <c r="EN27" s="62">
        <f t="shared" si="20"/>
        <v>458.75403692885129</v>
      </c>
      <c r="EO27" s="62">
        <f ca="1">AVERAGE(OFFSET($EN$3,0,0,'Données projet'!$E$15+1,1))-AVERAGE(OFFSET($H$3,0,0,'Données projet'!$E$15+1,1))</f>
        <v>454.99849419289757</v>
      </c>
      <c r="EP27" s="62">
        <f t="shared" si="46"/>
        <v>288.86643267991928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61.129867932496737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2.7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5.5574999999999992</v>
      </c>
      <c r="D28" s="12">
        <f t="shared" si="32"/>
        <v>2.0976236252484113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22.198045592584656</v>
      </c>
      <c r="H28" s="70">
        <f t="shared" si="1"/>
        <v>230.39934031397434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461.69969938250233</v>
      </c>
      <c r="S28" s="62">
        <f ca="1">AVERAGE(OFFSET($R$3,0,0,'Données projet'!$E$9+1,1))-AVERAGE(OFFSET($H$3,0,0,'Données projet'!$E$9+1,1))</f>
        <v>427.57091071251745</v>
      </c>
      <c r="T28" s="62">
        <f t="shared" si="34"/>
        <v>272.62827206514726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485.96300510411788</v>
      </c>
      <c r="AN28" s="62">
        <f ca="1">AVERAGE(OFFSET($AM$3,0,0,'Données projet'!$E$10+1,1))-AVERAGE(OFFSET($H$3,0,0,'Données projet'!$E$10+1,1))</f>
        <v>475.54515523869958</v>
      </c>
      <c r="AO28" s="62">
        <f t="shared" si="36"/>
        <v>301.02979240961452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0.129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4.032918530747895</v>
      </c>
      <c r="AW28" s="23">
        <f>EXP(-LN(2)/2)*AW27+(1-EXP(-LN(2)/2))/(LN(2)/2)*AQ28*AT28*VLOOKUP('Données projet'!$B$10,Paramètres!$A$1:$I$89,3,0)*0.475*44/12</f>
        <v>18.752031311633324</v>
      </c>
      <c r="AX28" s="23">
        <f t="shared" si="6"/>
        <v>22.78494984238122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21.612857142857145</v>
      </c>
      <c r="BD28" s="13">
        <f>IF('Données projet'!$A$88&gt;35,BD27+BC28-BL27,IF(A28&lt;'Données projet'!$A$88,$BA$205^A28,IF(A28='Données projet'!$A$88,'Données projet'!$B$88,BD27+BC28-BL27)))</f>
        <v>217.0214285714286</v>
      </c>
      <c r="BE28" s="14">
        <f>BD28*VLOOKUP('Données projet'!$B$11,Paramètres!$A$1:$I$89,3,0)*VLOOKUP('Données projet'!$B$11,Paramètres!$A$1:$I$89,5,0)</f>
        <v>121.31497857142858</v>
      </c>
      <c r="BF28" s="14">
        <f t="shared" si="37"/>
        <v>31.981501643962339</v>
      </c>
      <c r="BG28" s="22">
        <f t="shared" si="7"/>
        <v>266.99136970847246</v>
      </c>
      <c r="BH28" s="62">
        <f t="shared" si="8"/>
        <v>522.25398987251401</v>
      </c>
      <c r="BI28" s="62">
        <f ca="1">AVERAGE(OFFSET($BH$3,0,0,'Données projet'!$E$11+1,1))-AVERAGE(OFFSET($H$3,0,0,'Données projet'!$E$11+1,1))</f>
        <v>381.71417599784968</v>
      </c>
      <c r="BJ28" s="62">
        <f t="shared" si="38"/>
        <v>350.49230135197979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2.4333101429339075</v>
      </c>
      <c r="BQ28" s="23">
        <f>EXP(-LN(2)/25)*BQ27+(1-EXP(-LN(2)/25))/(LN(2)/25)*Calculateur!BL28*Calculateur!BN28*VLOOKUP('Données projet'!$B$11,Paramètres!$A$1:$I$89,3,0)*0.475*44/12</f>
        <v>9.392532973533271</v>
      </c>
      <c r="BR28" s="23">
        <f>EXP(-LN(2)/2)*BR27+(1-EXP(-LN(2)/2))/(LN(2)/2)*BL28*BO28*VLOOKUP('Données projet'!$B$11,Paramètres!$A$1:$I$89,3,0)*0.475*44/12</f>
        <v>5.1092293789763614</v>
      </c>
      <c r="BS28" s="24">
        <f t="shared" si="9"/>
        <v>16.935072495443539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195</v>
      </c>
      <c r="BW28" s="13">
        <f>VLOOKUP(A28,'Données projet'!$A$113:$I$133,9,0)</f>
        <v>13.8</v>
      </c>
      <c r="BX28" s="13">
        <f t="array" ref="BX28">INDEX(BW:BW,MIN(IF(ISNUMBER(BW28:BW224),ROW(BW28:BW224),"")))</f>
        <v>13.8</v>
      </c>
      <c r="BY28" s="13">
        <f>IF('Données projet'!$A$114&gt;35,BY27+BX28-CG27,IF(A28&lt;'Données projet'!$A$114,$BV$205^A28,IF(A28='Données projet'!$A$114,'Données projet'!$B$114,BY27+BX28-CG27)))</f>
        <v>195.00000000000003</v>
      </c>
      <c r="BZ28" s="14">
        <f>BY28*VLOOKUP('Données projet'!$B$12,Paramètres!$A$1:$I$89,3,0)*VLOOKUP('Données projet'!$B$12,Paramètres!$A$1:$I$89,5,0)</f>
        <v>106.47000000000001</v>
      </c>
      <c r="CA28" s="14">
        <f t="shared" si="39"/>
        <v>28.49771681771891</v>
      </c>
      <c r="CB28" s="22">
        <f t="shared" si="10"/>
        <v>235.0687734575271</v>
      </c>
      <c r="CC28" s="62">
        <f t="shared" si="11"/>
        <v>490.33139362156862</v>
      </c>
      <c r="CD28" s="62">
        <f ca="1">AVERAGE(OFFSET($CC$3,0,0,'Données projet'!$E$12+1,1))-AVERAGE(OFFSET($H$3,0,0,'Données projet'!$E$12+1,1))</f>
        <v>202.72043399839748</v>
      </c>
      <c r="CE28" s="62">
        <f t="shared" si="40"/>
        <v>295.50255983395789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32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183</v>
      </c>
      <c r="CR28" s="13">
        <f>VLOOKUP(A28,'Données projet'!$A$139:$I$159,9,0)</f>
        <v>15.8</v>
      </c>
      <c r="CS28" s="13">
        <f t="array" ref="CS28">INDEX(CR:CR,MIN(IF(ISNUMBER(CR28:CR224),ROW(CR28:CR224),"")))</f>
        <v>15.8</v>
      </c>
      <c r="CT28" s="13">
        <f>IF('Données projet'!$A$140&gt;35,CT27+CS28-DB27,IF(A28&lt;'Données projet'!$A$140,$CQ$205^A28,IF(A28='Données projet'!$A$140,'Données projet'!$B$140,CT27+CS28-DB27)))</f>
        <v>183.00000000000006</v>
      </c>
      <c r="CU28" s="18">
        <f>CT28*VLOOKUP('Données projet'!$B$13,Paramètres!$A$1:$I$89,3,0)*VLOOKUP('Données projet'!$B$13,Paramètres!$A$1:$I$89,5,0)</f>
        <v>159.86880000000008</v>
      </c>
      <c r="CV28" s="14">
        <f t="shared" si="41"/>
        <v>40.812921467768035</v>
      </c>
      <c r="CW28" s="22">
        <f t="shared" si="13"/>
        <v>349.52066488969609</v>
      </c>
      <c r="CX28" s="62">
        <f t="shared" si="14"/>
        <v>604.7832850537377</v>
      </c>
      <c r="CY28" s="62">
        <f ca="1">AVERAGE(OFFSET($CX$3,0,0,'Données projet'!$E$13+1,1))-AVERAGE(OFFSET($H$3,0,0,'Données projet'!$E$13+1,1))</f>
        <v>297.56177871222496</v>
      </c>
      <c r="CZ28" s="62">
        <f t="shared" si="42"/>
        <v>421.5717731815397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52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0.25800000000000001</v>
      </c>
      <c r="DE28" s="17">
        <f>IF(ISNA(VLOOKUP(A28,'Données projet'!$A$139:$I$159,7,0)),0%,VLOOKUP(A28,'Données projet'!$A$139:$I$159,7,0))</f>
        <v>0.4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21.907543141136742</v>
      </c>
      <c r="DH28" s="23">
        <f>EXP(-LN(2)/2)*DH27+(1-EXP(-LN(2)/2))/(LN(2)/2)*DB28*DE28*VLOOKUP('Données projet'!$B$13,Paramètres!$A$1:$I$89,3,0)*0.475*44/12</f>
        <v>20.787485908404975</v>
      </c>
      <c r="DI28" s="24">
        <f t="shared" si="15"/>
        <v>42.695029049541716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256</v>
      </c>
      <c r="DM28" s="13">
        <f>VLOOKUP(A28,'Données projet'!$A$165:$I$185,9,0)</f>
        <v>25.2</v>
      </c>
      <c r="DN28" s="13">
        <f t="array" ref="DN28">INDEX(DM:DM,MIN(IF(ISNUMBER(DM28:DM224),ROW(DM28:DM224),"")))</f>
        <v>25.2</v>
      </c>
      <c r="DO28" s="13">
        <f>IF('Données projet'!$A$166&gt;35,DO27+DN28-DW27,IF(A28&lt;'Données projet'!$A$166,$DL$205^A28,IF(A28='Données projet'!$A$166,'Données projet'!$B$166,DO27+DN28-DW27)))</f>
        <v>255.99999999999991</v>
      </c>
      <c r="DP28" s="18">
        <f>DO28*VLOOKUP('Données projet'!$B$14,Paramètres!$A$1:$I$89,3,0)*VLOOKUP('Données projet'!$B$14,Paramètres!$A$1:$I$89,5,0)</f>
        <v>187.69919999999993</v>
      </c>
      <c r="DQ28" s="14">
        <f t="shared" si="43"/>
        <v>47.030918513510088</v>
      </c>
      <c r="DR28" s="22">
        <f t="shared" si="16"/>
        <v>408.82162307769659</v>
      </c>
      <c r="DS28" s="62">
        <f t="shared" si="17"/>
        <v>664.08424324173814</v>
      </c>
      <c r="DT28" s="62">
        <f ca="1">AVERAGE(OFFSET($DS$3,0,0,'Données projet'!$E$14+1,1))-AVERAGE(OFFSET($H$3,0,0,'Données projet'!$E$14+1,1))</f>
        <v>667.0152731006724</v>
      </c>
      <c r="DU28" s="62">
        <f t="shared" si="44"/>
        <v>567.40780872008088</v>
      </c>
      <c r="DV28" s="16">
        <f>IF(ISNA(VLOOKUP(A28,'Données projet'!$A$165:$I$185,3,0)),0,VLOOKUP(A28,'Données projet'!$A$165:$I$185,3,0))</f>
        <v>165</v>
      </c>
      <c r="DW28" s="16">
        <f>IF(ISNA(VLOOKUP(A28,'Données projet'!$A$165:$I$185,4,0)),0,VLOOKUP(A28,'Données projet'!$A$165:$I$185,4,0))</f>
        <v>42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0.215</v>
      </c>
      <c r="DZ28" s="17">
        <f>IF(ISNA(VLOOKUP(A28,'Données projet'!$A$165:$I$185,7,0)),0%,VLOOKUP(A28,'Données projet'!$A$165:$I$185,7,0))</f>
        <v>0.5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16.787515498070729</v>
      </c>
      <c r="EC28" s="23">
        <f>EXP(-LN(2)/2)*EC27+(1-EXP(-LN(2)/2))/(LN(2)/2)*DW28*DZ28*VLOOKUP('Données projet'!$B$14,Paramètres!$A$1:$I$89,3,0)*0.475*44/12</f>
        <v>18.154245077544488</v>
      </c>
      <c r="ED28" s="24">
        <f t="shared" si="18"/>
        <v>34.94176057561522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99.621600000000015</v>
      </c>
      <c r="EL28" s="14">
        <f t="shared" si="45"/>
        <v>26.871829085032747</v>
      </c>
      <c r="EM28" s="22">
        <f t="shared" si="19"/>
        <v>220.30938898976538</v>
      </c>
      <c r="EN28" s="62">
        <f t="shared" si="20"/>
        <v>475.5720091538069</v>
      </c>
      <c r="EO28" s="62">
        <f ca="1">AVERAGE(OFFSET($EN$3,0,0,'Données projet'!$E$15+1,1))-AVERAGE(OFFSET($H$3,0,0,'Données projet'!$E$15+1,1))</f>
        <v>454.99849419289757</v>
      </c>
      <c r="EP28" s="62">
        <f t="shared" si="46"/>
        <v>288.86643267991928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61.283744893223457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2.7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5.7797999999999989</v>
      </c>
      <c r="D29" s="12">
        <f t="shared" si="32"/>
        <v>2.1715919565110644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22.769791495021355</v>
      </c>
      <c r="H29" s="70">
        <f t="shared" si="1"/>
        <v>230.91534099092345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426.65272231990014</v>
      </c>
      <c r="S29" s="62">
        <f ca="1">AVERAGE(OFFSET($R$3,0,0,'Données projet'!$E$9+1,1))-AVERAGE(OFFSET($H$3,0,0,'Données projet'!$E$9+1,1))</f>
        <v>427.57091071251745</v>
      </c>
      <c r="T29" s="62">
        <f t="shared" si="34"/>
        <v>272.62827206514726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446.57807269704358</v>
      </c>
      <c r="AN29" s="62">
        <f ca="1">AVERAGE(OFFSET($AM$3,0,0,'Données projet'!$E$10+1,1))-AVERAGE(OFFSET($H$3,0,0,'Données projet'!$E$10+1,1))</f>
        <v>475.54515523869958</v>
      </c>
      <c r="AO29" s="62">
        <f t="shared" si="36"/>
        <v>301.02979240961452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3.9226381614426256</v>
      </c>
      <c r="AW29" s="23">
        <f>EXP(-LN(2)/2)*AW28+(1-EXP(-LN(2)/2))/(LN(2)/2)*AQ29*AT29*VLOOKUP('Données projet'!$B$10,Paramètres!$A$1:$I$89,3,0)*0.475*44/12</f>
        <v>13.259688501478394</v>
      </c>
      <c r="AX29" s="23">
        <f t="shared" si="6"/>
        <v>17.182326662921021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21.612857142857145</v>
      </c>
      <c r="BD29" s="13">
        <f>IF('Données projet'!$A$88&gt;35,BD28+BC29-BL28,IF(A29&lt;'Données projet'!$A$88,$BA$205^A29,IF(A29='Données projet'!$A$88,'Données projet'!$B$88,BD28+BC29-BL28)))</f>
        <v>238.63428571428574</v>
      </c>
      <c r="BE29" s="14">
        <f>BD29*VLOOKUP('Données projet'!$B$11,Paramètres!$A$1:$I$89,3,0)*VLOOKUP('Données projet'!$B$11,Paramètres!$A$1:$I$89,5,0)</f>
        <v>133.39656571428571</v>
      </c>
      <c r="BF29" s="14">
        <f t="shared" si="37"/>
        <v>34.780023938654864</v>
      </c>
      <c r="BG29" s="22">
        <f t="shared" si="7"/>
        <v>292.90756031220479</v>
      </c>
      <c r="BH29" s="62">
        <f t="shared" si="8"/>
        <v>549.94683034321201</v>
      </c>
      <c r="BI29" s="62">
        <f ca="1">AVERAGE(OFFSET($BH$3,0,0,'Données projet'!$E$11+1,1))-AVERAGE(OFFSET($H$3,0,0,'Données projet'!$E$11+1,1))</f>
        <v>381.71417599784968</v>
      </c>
      <c r="BJ29" s="62">
        <f t="shared" si="38"/>
        <v>350.49230135197979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2.3855944152036108</v>
      </c>
      <c r="BQ29" s="23">
        <f>EXP(-LN(2)/25)*BQ28+(1-EXP(-LN(2)/25))/(LN(2)/25)*Calculateur!BL29*Calculateur!BN29*VLOOKUP('Données projet'!$B$11,Paramètres!$A$1:$I$89,3,0)*0.475*44/12</f>
        <v>9.1356936654401615</v>
      </c>
      <c r="BR29" s="23">
        <f>EXP(-LN(2)/2)*BR28+(1-EXP(-LN(2)/2))/(LN(2)/2)*BL29*BO29*VLOOKUP('Données projet'!$B$11,Paramètres!$A$1:$I$89,3,0)*0.475*44/12</f>
        <v>3.6127707405117184</v>
      </c>
      <c r="BS29" s="24">
        <f t="shared" si="9"/>
        <v>15.134058821155492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11.4</v>
      </c>
      <c r="BY29" s="13">
        <f>IF('Données projet'!$A$114&gt;35,BY28+BX29-CG28,IF(A29&lt;'Données projet'!$A$114,$BV$205^A29,IF(A29='Données projet'!$A$114,'Données projet'!$B$114,BY28+BX29-CG28)))</f>
        <v>174.40000000000003</v>
      </c>
      <c r="BZ29" s="14">
        <f>BY29*VLOOKUP('Données projet'!$B$12,Paramètres!$A$1:$I$89,3,0)*VLOOKUP('Données projet'!$B$12,Paramètres!$A$1:$I$89,5,0)</f>
        <v>95.222400000000007</v>
      </c>
      <c r="CA29" s="14">
        <f t="shared" si="39"/>
        <v>25.82057766648499</v>
      </c>
      <c r="CB29" s="22">
        <f t="shared" si="10"/>
        <v>210.8165194357947</v>
      </c>
      <c r="CC29" s="62">
        <f t="shared" si="11"/>
        <v>467.85578946680187</v>
      </c>
      <c r="CD29" s="62">
        <f ca="1">AVERAGE(OFFSET($CC$3,0,0,'Données projet'!$E$12+1,1))-AVERAGE(OFFSET($H$3,0,0,'Données projet'!$E$12+1,1))</f>
        <v>202.72043399839748</v>
      </c>
      <c r="CE29" s="62">
        <f t="shared" si="40"/>
        <v>295.50255983395789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14.8</v>
      </c>
      <c r="CT29" s="13">
        <f>IF('Données projet'!$A$140&gt;35,CT28+CS29-DB28,IF(A29&lt;'Données projet'!$A$140,$CQ$205^A29,IF(A29='Données projet'!$A$140,'Données projet'!$B$140,CT28+CS29-DB28)))</f>
        <v>145.80000000000007</v>
      </c>
      <c r="CU29" s="18">
        <f>CT29*VLOOKUP('Données projet'!$B$13,Paramètres!$A$1:$I$89,3,0)*VLOOKUP('Données projet'!$B$13,Paramètres!$A$1:$I$89,5,0)</f>
        <v>127.37088000000008</v>
      </c>
      <c r="CV29" s="14">
        <f t="shared" si="41"/>
        <v>33.388126388800522</v>
      </c>
      <c r="CW29" s="22">
        <f t="shared" si="13"/>
        <v>279.98860279382774</v>
      </c>
      <c r="CX29" s="62">
        <f t="shared" si="14"/>
        <v>537.02787282483496</v>
      </c>
      <c r="CY29" s="62">
        <f ca="1">AVERAGE(OFFSET($CX$3,0,0,'Données projet'!$E$13+1,1))-AVERAGE(OFFSET($H$3,0,0,'Données projet'!$E$13+1,1))</f>
        <v>297.56177871222496</v>
      </c>
      <c r="CZ29" s="62">
        <f t="shared" si="42"/>
        <v>421.5717731815397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21.308480221874735</v>
      </c>
      <c r="DH29" s="23">
        <f>EXP(-LN(2)/2)*DH28+(1-EXP(-LN(2)/2))/(LN(2)/2)*DB29*DE29*VLOOKUP('Données projet'!$B$13,Paramètres!$A$1:$I$89,3,0)*0.475*44/12</f>
        <v>14.698972249652957</v>
      </c>
      <c r="DI29" s="24">
        <f t="shared" si="15"/>
        <v>36.007452471527692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24.8</v>
      </c>
      <c r="DO29" s="13">
        <f>IF('Données projet'!$A$166&gt;35,DO28+DN29-DW28,IF(A29&lt;'Données projet'!$A$166,$DL$205^A29,IF(A29='Données projet'!$A$166,'Données projet'!$B$166,DO28+DN29-DW28)))</f>
        <v>238.7999999999999</v>
      </c>
      <c r="DP29" s="18">
        <f>DO29*VLOOKUP('Données projet'!$B$14,Paramètres!$A$1:$I$89,3,0)*VLOOKUP('Données projet'!$B$14,Paramètres!$A$1:$I$89,5,0)</f>
        <v>175.08815999999993</v>
      </c>
      <c r="DQ29" s="14">
        <f t="shared" si="43"/>
        <v>44.227638845714388</v>
      </c>
      <c r="DR29" s="22">
        <f t="shared" si="16"/>
        <v>381.9750163229524</v>
      </c>
      <c r="DS29" s="62">
        <f t="shared" si="17"/>
        <v>639.01428635395951</v>
      </c>
      <c r="DT29" s="62">
        <f ca="1">AVERAGE(OFFSET($DS$3,0,0,'Données projet'!$E$14+1,1))-AVERAGE(OFFSET($H$3,0,0,'Données projet'!$E$14+1,1))</f>
        <v>667.0152731006724</v>
      </c>
      <c r="DU29" s="62">
        <f t="shared" si="44"/>
        <v>567.40780872008088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16.328460003958913</v>
      </c>
      <c r="EC29" s="23">
        <f>EXP(-LN(2)/2)*EC28+(1-EXP(-LN(2)/2))/(LN(2)/2)*DW29*DZ29*VLOOKUP('Données projet'!$B$14,Paramètres!$A$1:$I$89,3,0)*0.475*44/12</f>
        <v>12.836989801654209</v>
      </c>
      <c r="ED29" s="24">
        <f t="shared" si="18"/>
        <v>29.165449805613122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81.438240000000022</v>
      </c>
      <c r="EL29" s="14">
        <f t="shared" si="45"/>
        <v>22.488475778344696</v>
      </c>
      <c r="EM29" s="22">
        <f t="shared" si="19"/>
        <v>181.00569664728371</v>
      </c>
      <c r="EN29" s="62">
        <f t="shared" si="20"/>
        <v>438.04496667829085</v>
      </c>
      <c r="EO29" s="62">
        <f ca="1">AVERAGE(OFFSET($EN$3,0,0,'Données projet'!$E$15+1,1))-AVERAGE(OFFSET($H$3,0,0,'Données projet'!$E$15+1,1))</f>
        <v>454.99849419289757</v>
      </c>
      <c r="EP29" s="62">
        <f t="shared" si="46"/>
        <v>288.86643267991928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61.434952432698921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2.7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6.0020999999999987</v>
      </c>
      <c r="D30" s="12">
        <f t="shared" si="32"/>
        <v>2.2452297913436161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23.340899597329788</v>
      </c>
      <c r="H30" s="70">
        <f t="shared" si="1"/>
        <v>231.43076605325683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446.46090555501655</v>
      </c>
      <c r="S30" s="62">
        <f ca="1">AVERAGE(OFFSET($R$3,0,0,'Données projet'!$E$9+1,1))-AVERAGE(OFFSET($H$3,0,0,'Données projet'!$E$9+1,1))</f>
        <v>427.57091071251745</v>
      </c>
      <c r="T30" s="62">
        <f t="shared" si="34"/>
        <v>272.62827206514726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468.51131788216287</v>
      </c>
      <c r="AN30" s="62">
        <f ca="1">AVERAGE(OFFSET($AM$3,0,0,'Données projet'!$E$10+1,1))-AVERAGE(OFFSET($H$3,0,0,'Données projet'!$E$10+1,1))</f>
        <v>475.54515523869958</v>
      </c>
      <c r="AO30" s="62">
        <f t="shared" si="36"/>
        <v>301.02979240961452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3.8153734146354013</v>
      </c>
      <c r="AW30" s="23">
        <f>EXP(-LN(2)/2)*AW29+(1-EXP(-LN(2)/2))/(LN(2)/2)*AQ30*AT30*VLOOKUP('Données projet'!$B$10,Paramètres!$A$1:$I$89,3,0)*0.475*44/12</f>
        <v>9.3760156558166639</v>
      </c>
      <c r="AX30" s="23">
        <f t="shared" si="6"/>
        <v>13.191389070452065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21.612857142857145</v>
      </c>
      <c r="BD30" s="13">
        <f>IF('Données projet'!$A$88&gt;35,BD29+BC30-BL29,IF(A30&lt;'Données projet'!$A$88,$BA$205^A30,IF(A30='Données projet'!$A$88,'Données projet'!$B$88,BD29+BC30-BL29)))</f>
        <v>260.24714285714288</v>
      </c>
      <c r="BE30" s="14">
        <f>BD30*VLOOKUP('Données projet'!$B$11,Paramètres!$A$1:$I$89,3,0)*VLOOKUP('Données projet'!$B$11,Paramètres!$A$1:$I$89,5,0)</f>
        <v>145.47815285714287</v>
      </c>
      <c r="BF30" s="14">
        <f t="shared" si="37"/>
        <v>37.54915616665005</v>
      </c>
      <c r="BG30" s="22">
        <f t="shared" si="7"/>
        <v>318.77256321643932</v>
      </c>
      <c r="BH30" s="62">
        <f t="shared" si="8"/>
        <v>577.57886503429029</v>
      </c>
      <c r="BI30" s="62">
        <f ca="1">AVERAGE(OFFSET($BH$3,0,0,'Données projet'!$E$11+1,1))-AVERAGE(OFFSET($H$3,0,0,'Données projet'!$E$11+1,1))</f>
        <v>381.71417599784968</v>
      </c>
      <c r="BJ30" s="62">
        <f t="shared" si="38"/>
        <v>350.49230135197979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2.3388143637903851</v>
      </c>
      <c r="BQ30" s="23">
        <f>EXP(-LN(2)/25)*BQ29+(1-EXP(-LN(2)/25))/(LN(2)/25)*Calculateur!BL30*Calculateur!BN30*VLOOKUP('Données projet'!$B$11,Paramètres!$A$1:$I$89,3,0)*0.475*44/12</f>
        <v>8.8858776417334511</v>
      </c>
      <c r="BR30" s="23">
        <f>EXP(-LN(2)/2)*BR29+(1-EXP(-LN(2)/2))/(LN(2)/2)*BL30*BO30*VLOOKUP('Données projet'!$B$11,Paramètres!$A$1:$I$89,3,0)*0.475*44/12</f>
        <v>2.5546146894881812</v>
      </c>
      <c r="BS30" s="24">
        <f t="shared" si="9"/>
        <v>13.779306695012018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11.4</v>
      </c>
      <c r="BY30" s="13">
        <f>IF('Données projet'!$A$114&gt;35,BY29+BX30-CG29,IF(A30&lt;'Données projet'!$A$114,$BV$205^A30,IF(A30='Données projet'!$A$114,'Données projet'!$B$114,BY29+BX30-CG29)))</f>
        <v>185.80000000000004</v>
      </c>
      <c r="BZ30" s="14">
        <f>BY30*VLOOKUP('Données projet'!$B$12,Paramètres!$A$1:$I$89,3,0)*VLOOKUP('Données projet'!$B$12,Paramètres!$A$1:$I$89,5,0)</f>
        <v>101.44680000000002</v>
      </c>
      <c r="CA30" s="14">
        <f t="shared" si="39"/>
        <v>27.306389014591463</v>
      </c>
      <c r="CB30" s="22">
        <f t="shared" si="10"/>
        <v>224.24513753374686</v>
      </c>
      <c r="CC30" s="62">
        <f t="shared" si="11"/>
        <v>483.05143935159782</v>
      </c>
      <c r="CD30" s="62">
        <f ca="1">AVERAGE(OFFSET($CC$3,0,0,'Données projet'!$E$12+1,1))-AVERAGE(OFFSET($H$3,0,0,'Données projet'!$E$12+1,1))</f>
        <v>202.72043399839748</v>
      </c>
      <c r="CE30" s="62">
        <f t="shared" si="40"/>
        <v>295.50255983395789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14.8</v>
      </c>
      <c r="CT30" s="13">
        <f>IF('Données projet'!$A$140&gt;35,CT29+CS30-DB29,IF(A30&lt;'Données projet'!$A$140,$CQ$205^A30,IF(A30='Données projet'!$A$140,'Données projet'!$B$140,CT29+CS30-DB29)))</f>
        <v>160.60000000000008</v>
      </c>
      <c r="CU30" s="18">
        <f>CT30*VLOOKUP('Données projet'!$B$13,Paramètres!$A$1:$I$89,3,0)*VLOOKUP('Données projet'!$B$13,Paramètres!$A$1:$I$89,5,0)</f>
        <v>140.30016000000009</v>
      </c>
      <c r="CV30" s="14">
        <f t="shared" si="41"/>
        <v>36.365759362628388</v>
      </c>
      <c r="CW30" s="22">
        <f t="shared" si="13"/>
        <v>307.69314288991126</v>
      </c>
      <c r="CX30" s="62">
        <f t="shared" si="14"/>
        <v>566.49944470776222</v>
      </c>
      <c r="CY30" s="62">
        <f ca="1">AVERAGE(OFFSET($CX$3,0,0,'Données projet'!$E$13+1,1))-AVERAGE(OFFSET($H$3,0,0,'Données projet'!$E$13+1,1))</f>
        <v>297.56177871222496</v>
      </c>
      <c r="CZ30" s="62">
        <f t="shared" si="42"/>
        <v>421.5717731815397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20.725798709643296</v>
      </c>
      <c r="DH30" s="23">
        <f>EXP(-LN(2)/2)*DH29+(1-EXP(-LN(2)/2))/(LN(2)/2)*DB30*DE30*VLOOKUP('Données projet'!$B$13,Paramètres!$A$1:$I$89,3,0)*0.475*44/12</f>
        <v>10.393742954202489</v>
      </c>
      <c r="DI30" s="24">
        <f t="shared" si="15"/>
        <v>31.119541663845787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24.8</v>
      </c>
      <c r="DO30" s="13">
        <f>IF('Données projet'!$A$166&gt;35,DO29+DN30-DW29,IF(A30&lt;'Données projet'!$A$166,$DL$205^A30,IF(A30='Données projet'!$A$166,'Données projet'!$B$166,DO29+DN30-DW29)))</f>
        <v>263.59999999999991</v>
      </c>
      <c r="DP30" s="18">
        <f>DO30*VLOOKUP('Données projet'!$B$14,Paramètres!$A$1:$I$89,3,0)*VLOOKUP('Données projet'!$B$14,Paramètres!$A$1:$I$89,5,0)</f>
        <v>193.27151999999992</v>
      </c>
      <c r="DQ30" s="14">
        <f t="shared" si="43"/>
        <v>48.262519257252961</v>
      </c>
      <c r="DR30" s="22">
        <f t="shared" si="16"/>
        <v>420.67178503971542</v>
      </c>
      <c r="DS30" s="62">
        <f t="shared" si="17"/>
        <v>679.47808685756638</v>
      </c>
      <c r="DT30" s="62">
        <f ca="1">AVERAGE(OFFSET($DS$3,0,0,'Données projet'!$E$14+1,1))-AVERAGE(OFFSET($H$3,0,0,'Données projet'!$E$14+1,1))</f>
        <v>667.0152731006724</v>
      </c>
      <c r="DU30" s="62">
        <f t="shared" si="44"/>
        <v>567.40780872008088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15.881957406474264</v>
      </c>
      <c r="EC30" s="23">
        <f>EXP(-LN(2)/2)*EC29+(1-EXP(-LN(2)/2))/(LN(2)/2)*DW30*DZ30*VLOOKUP('Données projet'!$B$14,Paramètres!$A$1:$I$89,3,0)*0.475*44/12</f>
        <v>9.0771225387722456</v>
      </c>
      <c r="ED30" s="24">
        <f t="shared" si="18"/>
        <v>24.959079945246508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90.336480000000023</v>
      </c>
      <c r="EL30" s="14">
        <f t="shared" si="45"/>
        <v>24.646358234355564</v>
      </c>
      <c r="EM30" s="22">
        <f t="shared" si="19"/>
        <v>200.26177659150264</v>
      </c>
      <c r="EN30" s="62">
        <f t="shared" si="20"/>
        <v>459.06807840935357</v>
      </c>
      <c r="EO30" s="62">
        <f ca="1">AVERAGE(OFFSET($EN$3,0,0,'Données projet'!$E$15+1,1))-AVERAGE(OFFSET($H$3,0,0,'Données projet'!$E$15+1,1))</f>
        <v>454.99849419289757</v>
      </c>
      <c r="EP30" s="62">
        <f t="shared" si="46"/>
        <v>288.86643267991928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61.583536859413897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2.7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6.2243999999999984</v>
      </c>
      <c r="D31" s="12">
        <f t="shared" si="32"/>
        <v>2.3185507720937841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23.911396226847653</v>
      </c>
      <c r="H31" s="70">
        <f t="shared" si="1"/>
        <v>231.94563926139671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466.2191754647049</v>
      </c>
      <c r="S31" s="62">
        <f ca="1">AVERAGE(OFFSET($R$3,0,0,'Données projet'!$E$9+1,1))-AVERAGE(OFFSET($H$3,0,0,'Données projet'!$E$9+1,1))</f>
        <v>427.57091071251745</v>
      </c>
      <c r="T31" s="62">
        <f t="shared" si="34"/>
        <v>272.62827206514726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490.39036383629855</v>
      </c>
      <c r="AN31" s="62">
        <f ca="1">AVERAGE(OFFSET($AM$3,0,0,'Données projet'!$E$10+1,1))-AVERAGE(OFFSET($H$3,0,0,'Données projet'!$E$10+1,1))</f>
        <v>475.54515523869958</v>
      </c>
      <c r="AO31" s="62">
        <f t="shared" si="36"/>
        <v>301.02979240961452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3.7110418279704285</v>
      </c>
      <c r="AW31" s="23">
        <f>EXP(-LN(2)/2)*AW30+(1-EXP(-LN(2)/2))/(LN(2)/2)*AQ31*AT31*VLOOKUP('Données projet'!$B$10,Paramètres!$A$1:$I$89,3,0)*0.475*44/12</f>
        <v>6.6298442507391977</v>
      </c>
      <c r="AX31" s="23">
        <f t="shared" si="6"/>
        <v>10.340886078709627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281.86</v>
      </c>
      <c r="BB31" s="13">
        <f>VLOOKUP(A31,'Données projet'!$A$87:$I$107,9,0)</f>
        <v>21.612857142857145</v>
      </c>
      <c r="BC31" s="13">
        <f t="array" ref="BC31">INDEX(BB:BB,MIN(IF(ISNUMBER(BB31:BB227),ROW(BB31:BB227),"")))</f>
        <v>21.612857142857145</v>
      </c>
      <c r="BD31" s="13">
        <f>IF('Données projet'!$A$88&gt;35,BD30+BC31-BL30,IF(A31&lt;'Données projet'!$A$88,$BA$205^A31,IF(A31='Données projet'!$A$88,'Données projet'!$B$88,BD30+BC31-BL30)))</f>
        <v>281.86</v>
      </c>
      <c r="BE31" s="14">
        <f>BD31*VLOOKUP('Données projet'!$B$11,Paramètres!$A$1:$I$89,3,0)*VLOOKUP('Données projet'!$B$11,Paramètres!$A$1:$I$89,5,0)</f>
        <v>157.55974000000001</v>
      </c>
      <c r="BF31" s="14">
        <f t="shared" si="37"/>
        <v>40.291616590408985</v>
      </c>
      <c r="BG31" s="22">
        <f t="shared" si="7"/>
        <v>344.59111272829563</v>
      </c>
      <c r="BH31" s="62">
        <f t="shared" si="8"/>
        <v>605.15499510505583</v>
      </c>
      <c r="BI31" s="62">
        <f ca="1">AVERAGE(OFFSET($BH$3,0,0,'Données projet'!$E$11+1,1))-AVERAGE(OFFSET($H$3,0,0,'Données projet'!$E$11+1,1))</f>
        <v>381.71417599784968</v>
      </c>
      <c r="BJ31" s="62">
        <f t="shared" si="38"/>
        <v>350.49230135197979</v>
      </c>
      <c r="BK31" s="16">
        <f>IF(ISNA(VLOOKUP(A31,'Données projet'!$A$87:$I$107,3,0)),0,VLOOKUP(A31,'Données projet'!$A$87:$I$107,3,0))</f>
        <v>3</v>
      </c>
      <c r="BL31" s="16">
        <f>IF(ISNA(VLOOKUP(A31,'Données projet'!$A$87:$I$107,4,0)),0,VLOOKUP(A31,'Données projet'!$A$87:$I$107,4,0))</f>
        <v>67.61</v>
      </c>
      <c r="BM31" s="17">
        <f>IF(ISNA(VLOOKUP(A31,'Données projet'!$A$87:$I$107,5,0)),0%,VLOOKUP(A31,'Données projet'!$A$87:$I$107,5,0)*VLOOKUP('Données projet'!$B$11,Paramètres!$A$1:$I$89,7,0))</f>
        <v>0.22000000000000003</v>
      </c>
      <c r="BN31" s="17">
        <f>IF(ISNA(VLOOKUP(A31,'Données projet'!$A$87:$I$107,6,0)),0%,VLOOKUP(A31,'Données projet'!$A$87:$I$107,6,0)*VLOOKUP('Données projet'!$B$11,Paramètres!$A$1:$I$89,7,0))</f>
        <v>0.16500000000000001</v>
      </c>
      <c r="BO31" s="17">
        <f>IF(ISNA(VLOOKUP(A31,'Données projet'!$A$87:$I$107,7,0)),0%,VLOOKUP(A31,'Données projet'!$A$87:$I$107,7,0))</f>
        <v>0.3</v>
      </c>
      <c r="BP31" s="23">
        <f>EXP(-LN(2)/35)*BP30+(1-EXP(-LN(2)/35))/(LN(2)/35)*BL31*BM31*VLOOKUP('Données projet'!$B$11,Paramètres!$A$1:$I$89,3,0)*0.475*44/12</f>
        <v>13.322907668564593</v>
      </c>
      <c r="BQ31" s="23">
        <f>EXP(-LN(2)/25)*BQ30+(1-EXP(-LN(2)/25))/(LN(2)/25)*Calculateur!BL31*Calculateur!BN31*VLOOKUP('Données projet'!$B$11,Paramètres!$A$1:$I$89,3,0)*0.475*44/12</f>
        <v>16.882788016547963</v>
      </c>
      <c r="BR31" s="23">
        <f>EXP(-LN(2)/2)*BR30+(1-EXP(-LN(2)/2))/(LN(2)/2)*BL31*BO31*VLOOKUP('Données projet'!$B$11,Paramètres!$A$1:$I$89,3,0)*0.475*44/12</f>
        <v>14.643858209373541</v>
      </c>
      <c r="BS31" s="24">
        <f t="shared" si="9"/>
        <v>44.849553894486093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11.4</v>
      </c>
      <c r="BY31" s="13">
        <f>IF('Données projet'!$A$114&gt;35,BY30+BX31-CG30,IF(A31&lt;'Données projet'!$A$114,$BV$205^A31,IF(A31='Données projet'!$A$114,'Données projet'!$B$114,BY30+BX31-CG30)))</f>
        <v>197.20000000000005</v>
      </c>
      <c r="BZ31" s="14">
        <f>BY31*VLOOKUP('Données projet'!$B$12,Paramètres!$A$1:$I$89,3,0)*VLOOKUP('Données projet'!$B$12,Paramètres!$A$1:$I$89,5,0)</f>
        <v>107.67120000000001</v>
      </c>
      <c r="CA31" s="14">
        <f t="shared" si="39"/>
        <v>28.781619683258381</v>
      </c>
      <c r="CB31" s="22">
        <f t="shared" si="10"/>
        <v>237.65532761500836</v>
      </c>
      <c r="CC31" s="62">
        <f t="shared" si="11"/>
        <v>498.21920999176859</v>
      </c>
      <c r="CD31" s="62">
        <f ca="1">AVERAGE(OFFSET($CC$3,0,0,'Données projet'!$E$12+1,1))-AVERAGE(OFFSET($H$3,0,0,'Données projet'!$E$12+1,1))</f>
        <v>202.72043399839748</v>
      </c>
      <c r="CE31" s="62">
        <f t="shared" si="40"/>
        <v>295.50255983395789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14.8</v>
      </c>
      <c r="CT31" s="13">
        <f>IF('Données projet'!$A$140&gt;35,CT30+CS31-DB30,IF(A31&lt;'Données projet'!$A$140,$CQ$205^A31,IF(A31='Données projet'!$A$140,'Données projet'!$B$140,CT30+CS31-DB30)))</f>
        <v>175.40000000000009</v>
      </c>
      <c r="CU31" s="18">
        <f>CT31*VLOOKUP('Données projet'!$B$13,Paramètres!$A$1:$I$89,3,0)*VLOOKUP('Données projet'!$B$13,Paramètres!$A$1:$I$89,5,0)</f>
        <v>153.2294400000001</v>
      </c>
      <c r="CV31" s="14">
        <f t="shared" si="41"/>
        <v>39.311575138468363</v>
      </c>
      <c r="CW31" s="22">
        <f t="shared" si="13"/>
        <v>335.34226803283252</v>
      </c>
      <c r="CX31" s="62">
        <f t="shared" si="14"/>
        <v>595.90615040959278</v>
      </c>
      <c r="CY31" s="62">
        <f ca="1">AVERAGE(OFFSET($CX$3,0,0,'Données projet'!$E$13+1,1))-AVERAGE(OFFSET($H$3,0,0,'Données projet'!$E$13+1,1))</f>
        <v>297.56177871222496</v>
      </c>
      <c r="CZ31" s="62">
        <f t="shared" si="42"/>
        <v>421.5717731815397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20.159050654005714</v>
      </c>
      <c r="DH31" s="23">
        <f>EXP(-LN(2)/2)*DH30+(1-EXP(-LN(2)/2))/(LN(2)/2)*DB31*DE31*VLOOKUP('Données projet'!$B$13,Paramètres!$A$1:$I$89,3,0)*0.475*44/12</f>
        <v>7.3494861248264796</v>
      </c>
      <c r="DI31" s="24">
        <f t="shared" si="15"/>
        <v>27.508536778832195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24.8</v>
      </c>
      <c r="DO31" s="13">
        <f>IF('Données projet'!$A$166&gt;35,DO30+DN31-DW30,IF(A31&lt;'Données projet'!$A$166,$DL$205^A31,IF(A31='Données projet'!$A$166,'Données projet'!$B$166,DO30+DN31-DW30)))</f>
        <v>288.39999999999992</v>
      </c>
      <c r="DP31" s="18">
        <f>DO31*VLOOKUP('Données projet'!$B$14,Paramètres!$A$1:$I$89,3,0)*VLOOKUP('Données projet'!$B$14,Paramètres!$A$1:$I$89,5,0)</f>
        <v>211.45487999999992</v>
      </c>
      <c r="DQ31" s="14">
        <f t="shared" si="43"/>
        <v>52.253385720262855</v>
      </c>
      <c r="DR31" s="22">
        <f t="shared" si="16"/>
        <v>459.29189612945765</v>
      </c>
      <c r="DS31" s="62">
        <f t="shared" si="17"/>
        <v>719.85577850621792</v>
      </c>
      <c r="DT31" s="62">
        <f ca="1">AVERAGE(OFFSET($DS$3,0,0,'Données projet'!$E$14+1,1))-AVERAGE(OFFSET($H$3,0,0,'Données projet'!$E$14+1,1))</f>
        <v>667.0152731006724</v>
      </c>
      <c r="DU31" s="62">
        <f t="shared" si="44"/>
        <v>567.40780872008088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15.447664445998385</v>
      </c>
      <c r="EC31" s="23">
        <f>EXP(-LN(2)/2)*EC30+(1-EXP(-LN(2)/2))/(LN(2)/2)*DW31*DZ31*VLOOKUP('Données projet'!$B$14,Paramètres!$A$1:$I$89,3,0)*0.475*44/12</f>
        <v>6.4184949008271053</v>
      </c>
      <c r="ED31" s="24">
        <f t="shared" si="18"/>
        <v>21.866159346825491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99.234720000000024</v>
      </c>
      <c r="EL31" s="14">
        <f t="shared" si="45"/>
        <v>26.779598706219044</v>
      </c>
      <c r="EM31" s="22">
        <f t="shared" si="19"/>
        <v>219.47493841333153</v>
      </c>
      <c r="EN31" s="62">
        <f t="shared" si="20"/>
        <v>480.03882079009179</v>
      </c>
      <c r="EO31" s="62">
        <f ca="1">AVERAGE(OFFSET($EN$3,0,0,'Données projet'!$E$15+1,1))-AVERAGE(OFFSET($H$3,0,0,'Données projet'!$E$15+1,1))</f>
        <v>454.99849419289757</v>
      </c>
      <c r="EP31" s="62">
        <f t="shared" si="46"/>
        <v>288.86643267991928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61.729543678510382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2.7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6.4466999999999981</v>
      </c>
      <c r="D32" s="12">
        <f t="shared" si="32"/>
        <v>2.3915675114157828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24.481305723784843</v>
      </c>
      <c r="H32" s="70">
        <f t="shared" si="1"/>
        <v>232.45998258238251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485.93173677616642</v>
      </c>
      <c r="S32" s="62">
        <f ca="1">AVERAGE(OFFSET($R$3,0,0,'Données projet'!$E$9+1,1))-AVERAGE(OFFSET($H$3,0,0,'Données projet'!$E$9+1,1))</f>
        <v>427.57091071251745</v>
      </c>
      <c r="T32" s="62">
        <f t="shared" si="34"/>
        <v>272.62827206514726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512.21984330095768</v>
      </c>
      <c r="AN32" s="62">
        <f ca="1">AVERAGE(OFFSET($AM$3,0,0,'Données projet'!$E$10+1,1))-AVERAGE(OFFSET($H$3,0,0,'Données projet'!$E$10+1,1))</f>
        <v>475.54515523869958</v>
      </c>
      <c r="AO32" s="62">
        <f t="shared" si="36"/>
        <v>301.02979240961452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3.6095631940293691</v>
      </c>
      <c r="AW32" s="23">
        <f>EXP(-LN(2)/2)*AW31+(1-EXP(-LN(2)/2))/(LN(2)/2)*AQ32*AT32*VLOOKUP('Données projet'!$B$10,Paramètres!$A$1:$I$89,3,0)*0.475*44/12</f>
        <v>4.6880078279083319</v>
      </c>
      <c r="AX32" s="23">
        <f t="shared" si="6"/>
        <v>8.297571021937701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23.267142857142858</v>
      </c>
      <c r="BD32" s="13">
        <f>IF('Données projet'!$A$88&gt;35,BD31+BC32-BL31,IF(A32&lt;'Données projet'!$A$88,$BA$205^A32,IF(A32='Données projet'!$A$88,'Données projet'!$B$88,BD31+BC32-BL31)))</f>
        <v>237.51714285714286</v>
      </c>
      <c r="BE32" s="14">
        <f>BD32*VLOOKUP('Données projet'!$B$11,Paramètres!$A$1:$I$89,3,0)*VLOOKUP('Données projet'!$B$11,Paramètres!$A$1:$I$89,5,0)</f>
        <v>132.77208285714286</v>
      </c>
      <c r="BF32" s="14">
        <f t="shared" si="37"/>
        <v>34.636117583630444</v>
      </c>
      <c r="BG32" s="22">
        <f t="shared" si="7"/>
        <v>291.5692824343468</v>
      </c>
      <c r="BH32" s="62">
        <f t="shared" si="8"/>
        <v>553.88145809975686</v>
      </c>
      <c r="BI32" s="62">
        <f ca="1">AVERAGE(OFFSET($BH$3,0,0,'Données projet'!$E$11+1,1))-AVERAGE(OFFSET($H$3,0,0,'Données projet'!$E$11+1,1))</f>
        <v>381.71417599784968</v>
      </c>
      <c r="BJ32" s="62">
        <f t="shared" si="38"/>
        <v>350.49230135197979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13.061653575355326</v>
      </c>
      <c r="BQ32" s="23">
        <f>EXP(-LN(2)/25)*BQ31+(1-EXP(-LN(2)/25))/(LN(2)/25)*Calculateur!BL32*Calculateur!BN32*VLOOKUP('Données projet'!$B$11,Paramètres!$A$1:$I$89,3,0)*0.475*44/12</f>
        <v>16.421127290408222</v>
      </c>
      <c r="BR32" s="23">
        <f>EXP(-LN(2)/2)*BR31+(1-EXP(-LN(2)/2))/(LN(2)/2)*BL32*BO32*VLOOKUP('Données projet'!$B$11,Paramètres!$A$1:$I$89,3,0)*0.475*44/12</f>
        <v>10.354771442582324</v>
      </c>
      <c r="BS32" s="24">
        <f t="shared" si="9"/>
        <v>39.83755230834587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11.4</v>
      </c>
      <c r="BY32" s="13">
        <f>IF('Données projet'!$A$114&gt;35,BY31+BX32-CG31,IF(A32&lt;'Données projet'!$A$114,$BV$205^A32,IF(A32='Données projet'!$A$114,'Données projet'!$B$114,BY31+BX32-CG31)))</f>
        <v>208.60000000000005</v>
      </c>
      <c r="BZ32" s="14">
        <f>BY32*VLOOKUP('Données projet'!$B$12,Paramètres!$A$1:$I$89,3,0)*VLOOKUP('Données projet'!$B$12,Paramètres!$A$1:$I$89,5,0)</f>
        <v>113.89560000000003</v>
      </c>
      <c r="CA32" s="14">
        <f t="shared" si="39"/>
        <v>30.246951020055789</v>
      </c>
      <c r="CB32" s="22">
        <f t="shared" si="10"/>
        <v>251.0482763599305</v>
      </c>
      <c r="CC32" s="62">
        <f t="shared" si="11"/>
        <v>513.36045202534058</v>
      </c>
      <c r="CD32" s="62">
        <f ca="1">AVERAGE(OFFSET($CC$3,0,0,'Données projet'!$E$12+1,1))-AVERAGE(OFFSET($H$3,0,0,'Données projet'!$E$12+1,1))</f>
        <v>202.72043399839748</v>
      </c>
      <c r="CE32" s="62">
        <f t="shared" si="40"/>
        <v>295.50255983395789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14.8</v>
      </c>
      <c r="CT32" s="13">
        <f>IF('Données projet'!$A$140&gt;35,CT31+CS32-DB31,IF(A32&lt;'Données projet'!$A$140,$CQ$205^A32,IF(A32='Données projet'!$A$140,'Données projet'!$B$140,CT31+CS32-DB31)))</f>
        <v>190.2000000000001</v>
      </c>
      <c r="CU32" s="18">
        <f>CT32*VLOOKUP('Données projet'!$B$13,Paramètres!$A$1:$I$89,3,0)*VLOOKUP('Données projet'!$B$13,Paramètres!$A$1:$I$89,5,0)</f>
        <v>166.15872000000013</v>
      </c>
      <c r="CV32" s="14">
        <f t="shared" si="41"/>
        <v>42.228563636586422</v>
      </c>
      <c r="CW32" s="22">
        <f t="shared" si="13"/>
        <v>362.94118566705487</v>
      </c>
      <c r="CX32" s="62">
        <f t="shared" si="14"/>
        <v>625.25336133246492</v>
      </c>
      <c r="CY32" s="62">
        <f ca="1">AVERAGE(OFFSET($CX$3,0,0,'Données projet'!$E$13+1,1))-AVERAGE(OFFSET($H$3,0,0,'Données projet'!$E$13+1,1))</f>
        <v>297.56177871222496</v>
      </c>
      <c r="CZ32" s="62">
        <f t="shared" si="42"/>
        <v>421.5717731815397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19.607800353753529</v>
      </c>
      <c r="DH32" s="23">
        <f>EXP(-LN(2)/2)*DH31+(1-EXP(-LN(2)/2))/(LN(2)/2)*DB32*DE32*VLOOKUP('Données projet'!$B$13,Paramètres!$A$1:$I$89,3,0)*0.475*44/12</f>
        <v>5.1968714771012445</v>
      </c>
      <c r="DI32" s="24">
        <f t="shared" si="15"/>
        <v>24.804671830854772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24.8</v>
      </c>
      <c r="DO32" s="13">
        <f>IF('Données projet'!$A$166&gt;35,DO31+DN32-DW31,IF(A32&lt;'Données projet'!$A$166,$DL$205^A32,IF(A32='Données projet'!$A$166,'Données projet'!$B$166,DO31+DN32-DW31)))</f>
        <v>313.19999999999993</v>
      </c>
      <c r="DP32" s="18">
        <f>DO32*VLOOKUP('Données projet'!$B$14,Paramètres!$A$1:$I$89,3,0)*VLOOKUP('Données projet'!$B$14,Paramètres!$A$1:$I$89,5,0)</f>
        <v>229.63823999999994</v>
      </c>
      <c r="DQ32" s="14">
        <f t="shared" si="43"/>
        <v>56.204453396569633</v>
      </c>
      <c r="DR32" s="22">
        <f t="shared" si="16"/>
        <v>497.84269099902531</v>
      </c>
      <c r="DS32" s="62">
        <f t="shared" si="17"/>
        <v>760.1548666644353</v>
      </c>
      <c r="DT32" s="62">
        <f ca="1">AVERAGE(OFFSET($DS$3,0,0,'Données projet'!$E$14+1,1))-AVERAGE(OFFSET($H$3,0,0,'Données projet'!$E$14+1,1))</f>
        <v>667.0152731006724</v>
      </c>
      <c r="DU32" s="62">
        <f t="shared" si="44"/>
        <v>567.40780872008088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15.025247249365192</v>
      </c>
      <c r="EC32" s="23">
        <f>EXP(-LN(2)/2)*EC31+(1-EXP(-LN(2)/2))/(LN(2)/2)*DW32*DZ32*VLOOKUP('Données projet'!$B$14,Paramètres!$A$1:$I$89,3,0)*0.475*44/12</f>
        <v>4.5385612693861237</v>
      </c>
      <c r="ED32" s="24">
        <f t="shared" si="18"/>
        <v>19.563808518751316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108.13296000000003</v>
      </c>
      <c r="EL32" s="14">
        <f t="shared" si="45"/>
        <v>28.890658079177882</v>
      </c>
      <c r="EM32" s="22">
        <f t="shared" si="19"/>
        <v>238.64946815456821</v>
      </c>
      <c r="EN32" s="62">
        <f t="shared" si="20"/>
        <v>500.96164381997824</v>
      </c>
      <c r="EO32" s="62">
        <f ca="1">AVERAGE(OFFSET($EN$3,0,0,'Données projet'!$E$15+1,1))-AVERAGE(OFFSET($H$3,0,0,'Données projet'!$E$15+1,1))</f>
        <v>454.99849419289757</v>
      </c>
      <c r="EP32" s="62">
        <f t="shared" si="46"/>
        <v>288.86643267991928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61.873017605717891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2.7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6.6689999999999978</v>
      </c>
      <c r="D33" s="12">
        <f t="shared" si="32"/>
        <v>2.4642917027912454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25.050650654509418</v>
      </c>
      <c r="H33" s="70">
        <f t="shared" si="1"/>
        <v>232.97381638236143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505.60208844750866</v>
      </c>
      <c r="S33" s="62">
        <f ca="1">AVERAGE(OFFSET($R$3,0,0,'Données projet'!$E$9+1,1))-AVERAGE(OFFSET($H$3,0,0,'Données projet'!$E$9+1,1))</f>
        <v>427.57091071251745</v>
      </c>
      <c r="T33" s="62">
        <f t="shared" si="34"/>
        <v>272.62827206514726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534.00360879197592</v>
      </c>
      <c r="AN33" s="62">
        <f ca="1">AVERAGE(OFFSET($AM$3,0,0,'Données projet'!$E$10+1,1))-AVERAGE(OFFSET($H$3,0,0,'Données projet'!$E$10+1,1))</f>
        <v>475.54515523869958</v>
      </c>
      <c r="AO33" s="62">
        <f t="shared" si="36"/>
        <v>301.02979240961452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10.232390383249783</v>
      </c>
      <c r="AW33" s="23">
        <f>EXP(-LN(2)/2)*AW32+(1-EXP(-LN(2)/2))/(LN(2)/2)*AQ33*AT33*VLOOKUP('Données projet'!$B$10,Paramètres!$A$1:$I$89,3,0)*0.475*44/12</f>
        <v>16.709230205107691</v>
      </c>
      <c r="AX33" s="23">
        <f t="shared" si="6"/>
        <v>26.941620588357473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23.267142857142858</v>
      </c>
      <c r="BD33" s="13">
        <f>IF('Données projet'!$A$88&gt;35,BD32+BC33-BL32,IF(A33&lt;'Données projet'!$A$88,$BA$205^A33,IF(A33='Données projet'!$A$88,'Données projet'!$B$88,BD32+BC33-BL32)))</f>
        <v>260.78428571428572</v>
      </c>
      <c r="BE33" s="14">
        <f>BD33*VLOOKUP('Données projet'!$B$11,Paramètres!$A$1:$I$89,3,0)*VLOOKUP('Données projet'!$B$11,Paramètres!$A$1:$I$89,5,0)</f>
        <v>145.7784157142857</v>
      </c>
      <c r="BF33" s="14">
        <f t="shared" si="37"/>
        <v>37.617627311837914</v>
      </c>
      <c r="BG33" s="22">
        <f t="shared" si="7"/>
        <v>319.4147749371653</v>
      </c>
      <c r="BH33" s="62">
        <f t="shared" si="8"/>
        <v>583.4661177343412</v>
      </c>
      <c r="BI33" s="62">
        <f ca="1">AVERAGE(OFFSET($BH$3,0,0,'Données projet'!$E$11+1,1))-AVERAGE(OFFSET($H$3,0,0,'Données projet'!$E$11+1,1))</f>
        <v>381.71417599784968</v>
      </c>
      <c r="BJ33" s="62">
        <f t="shared" si="38"/>
        <v>350.49230135197979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12.805522515564631</v>
      </c>
      <c r="BQ33" s="23">
        <f>EXP(-LN(2)/25)*BQ32+(1-EXP(-LN(2)/25))/(LN(2)/25)*Calculateur!BL33*Calculateur!BN33*VLOOKUP('Données projet'!$B$11,Paramètres!$A$1:$I$89,3,0)*0.475*44/12</f>
        <v>15.972090701102456</v>
      </c>
      <c r="BR33" s="23">
        <f>EXP(-LN(2)/2)*BR32+(1-EXP(-LN(2)/2))/(LN(2)/2)*BL33*BO33*VLOOKUP('Données projet'!$B$11,Paramètres!$A$1:$I$89,3,0)*0.475*44/12</f>
        <v>7.3219291046867712</v>
      </c>
      <c r="BS33" s="24">
        <f t="shared" si="9"/>
        <v>36.099542321353859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220</v>
      </c>
      <c r="BW33" s="13">
        <f>VLOOKUP(A33,'Données projet'!$A$113:$I$133,9,0)</f>
        <v>11.4</v>
      </c>
      <c r="BX33" s="13">
        <f t="array" ref="BX33">INDEX(BW:BW,MIN(IF(ISNUMBER(BW33:BW229),ROW(BW33:BW229),"")))</f>
        <v>11.4</v>
      </c>
      <c r="BY33" s="13">
        <f>IF('Données projet'!$A$114&gt;35,BY32+BX33-CG32,IF(A33&lt;'Données projet'!$A$114,$BV$205^A33,IF(A33='Données projet'!$A$114,'Données projet'!$B$114,BY32+BX33-CG32)))</f>
        <v>220.00000000000006</v>
      </c>
      <c r="BZ33" s="14">
        <f>BY33*VLOOKUP('Données projet'!$B$12,Paramètres!$A$1:$I$89,3,0)*VLOOKUP('Données projet'!$B$12,Paramètres!$A$1:$I$89,5,0)</f>
        <v>120.12000000000003</v>
      </c>
      <c r="CA33" s="14">
        <f t="shared" si="39"/>
        <v>31.702985695201871</v>
      </c>
      <c r="CB33" s="22">
        <f t="shared" si="10"/>
        <v>264.42503341914335</v>
      </c>
      <c r="CC33" s="62">
        <f t="shared" si="11"/>
        <v>528.4763762163193</v>
      </c>
      <c r="CD33" s="62">
        <f ca="1">AVERAGE(OFFSET($CC$3,0,0,'Données projet'!$E$12+1,1))-AVERAGE(OFFSET($H$3,0,0,'Données projet'!$E$12+1,1))</f>
        <v>202.72043399839748</v>
      </c>
      <c r="CE33" s="62">
        <f t="shared" si="40"/>
        <v>295.50255983395789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27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0.3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5.8437638817634969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5.8437638817634969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205</v>
      </c>
      <c r="CR33" s="13">
        <f>VLOOKUP(A33,'Données projet'!$A$139:$I$159,9,0)</f>
        <v>14.8</v>
      </c>
      <c r="CS33" s="13">
        <f t="array" ref="CS33">INDEX(CR:CR,MIN(IF(ISNUMBER(CR33:CR229),ROW(CR33:CR229),"")))</f>
        <v>14.8</v>
      </c>
      <c r="CT33" s="13">
        <f>IF('Données projet'!$A$140&gt;35,CT32+CS33-DB32,IF(A33&lt;'Données projet'!$A$140,$CQ$205^A33,IF(A33='Données projet'!$A$140,'Données projet'!$B$140,CT32+CS33-DB32)))</f>
        <v>205.00000000000011</v>
      </c>
      <c r="CU33" s="18">
        <f>CT33*VLOOKUP('Données projet'!$B$13,Paramètres!$A$1:$I$89,3,0)*VLOOKUP('Données projet'!$B$13,Paramètres!$A$1:$I$89,5,0)</f>
        <v>179.08800000000011</v>
      </c>
      <c r="CV33" s="14">
        <f t="shared" si="41"/>
        <v>45.119223023956877</v>
      </c>
      <c r="CW33" s="22">
        <f t="shared" si="13"/>
        <v>390.4942467667251</v>
      </c>
      <c r="CX33" s="62">
        <f t="shared" si="14"/>
        <v>654.5455895639011</v>
      </c>
      <c r="CY33" s="62">
        <f ca="1">AVERAGE(OFFSET($CX$3,0,0,'Données projet'!$E$13+1,1))-AVERAGE(OFFSET($H$3,0,0,'Données projet'!$E$13+1,1))</f>
        <v>297.56177871222496</v>
      </c>
      <c r="CZ33" s="62">
        <f t="shared" si="42"/>
        <v>421.5717731815397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51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0.30099999999999999</v>
      </c>
      <c r="DE33" s="17">
        <f>IF(ISNA(VLOOKUP(A33,'Données projet'!$A$139:$I$159,7,0)),0%,VLOOKUP(A33,'Données projet'!$A$139:$I$159,7,0))</f>
        <v>0.3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33.838310334535329</v>
      </c>
      <c r="DH33" s="23">
        <f>EXP(-LN(2)/2)*DH32+(1-EXP(-LN(2)/2))/(LN(2)/2)*DB33*DE33*VLOOKUP('Données projet'!$B$13,Paramètres!$A$1:$I$89,3,0)*0.475*44/12</f>
        <v>16.285999285182026</v>
      </c>
      <c r="DI33" s="24">
        <f t="shared" si="15"/>
        <v>50.124309619717351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338</v>
      </c>
      <c r="DM33" s="13">
        <f>VLOOKUP(A33,'Données projet'!$A$165:$I$185,9,0)</f>
        <v>24.8</v>
      </c>
      <c r="DN33" s="13">
        <f t="array" ref="DN33">INDEX(DM:DM,MIN(IF(ISNUMBER(DM33:DM229),ROW(DM33:DM229),"")))</f>
        <v>24.8</v>
      </c>
      <c r="DO33" s="13">
        <f>IF('Données projet'!$A$166&gt;35,DO32+DN33-DW32,IF(A33&lt;'Données projet'!$A$166,$DL$205^A33,IF(A33='Données projet'!$A$166,'Données projet'!$B$166,DO32+DN33-DW32)))</f>
        <v>337.99999999999994</v>
      </c>
      <c r="DP33" s="18">
        <f>DO33*VLOOKUP('Données projet'!$B$14,Paramètres!$A$1:$I$89,3,0)*VLOOKUP('Données projet'!$B$14,Paramètres!$A$1:$I$89,5,0)</f>
        <v>247.82159999999993</v>
      </c>
      <c r="DQ33" s="14">
        <f t="shared" si="43"/>
        <v>60.119231945607574</v>
      </c>
      <c r="DR33" s="22">
        <f t="shared" si="16"/>
        <v>536.33028230526634</v>
      </c>
      <c r="DS33" s="62">
        <f t="shared" si="17"/>
        <v>800.38162510244229</v>
      </c>
      <c r="DT33" s="62">
        <f ca="1">AVERAGE(OFFSET($DS$3,0,0,'Données projet'!$E$14+1,1))-AVERAGE(OFFSET($H$3,0,0,'Données projet'!$E$14+1,1))</f>
        <v>667.0152731006724</v>
      </c>
      <c r="DU33" s="62">
        <f t="shared" si="44"/>
        <v>567.40780872008088</v>
      </c>
      <c r="DV33" s="16">
        <f>IF(ISNA(VLOOKUP(A33,'Données projet'!$A$165:$I$185,3,0)),0,VLOOKUP(A33,'Données projet'!$A$165:$I$185,3,0))</f>
        <v>205</v>
      </c>
      <c r="DW33" s="16">
        <f>IF(ISNA(VLOOKUP(A33,'Données projet'!$A$165:$I$185,4,0)),0,VLOOKUP(A33,'Données projet'!$A$165:$I$185,4,0))</f>
        <v>42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0.25800000000000001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23.362712039887167</v>
      </c>
      <c r="EC33" s="23">
        <f>EXP(-LN(2)/2)*EC32+(1-EXP(-LN(2)/2))/(LN(2)/2)*DW33*DZ33*VLOOKUP('Données projet'!$B$14,Paramètres!$A$1:$I$89,3,0)*0.475*44/12</f>
        <v>14.83138553806322</v>
      </c>
      <c r="ED33" s="24">
        <f t="shared" si="18"/>
        <v>38.194097577950387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117.03120000000003</v>
      </c>
      <c r="EL33" s="14">
        <f t="shared" si="45"/>
        <v>30.981569147428555</v>
      </c>
      <c r="EM33" s="22">
        <f t="shared" si="19"/>
        <v>257.78890626510474</v>
      </c>
      <c r="EN33" s="62">
        <f t="shared" si="20"/>
        <v>521.84024906228069</v>
      </c>
      <c r="EO33" s="62">
        <f ca="1">AVERAGE(OFFSET($EN$3,0,0,'Données projet'!$E$15+1,1))-AVERAGE(OFFSET($H$3,0,0,'Données projet'!$E$15+1,1))</f>
        <v>454.99849419289757</v>
      </c>
      <c r="EP33" s="62">
        <f t="shared" si="46"/>
        <v>288.86643267991928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62.01400258104799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2.7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6.8912999999999975</v>
      </c>
      <c r="D34" s="12">
        <f t="shared" si="32"/>
        <v>2.5367342159000716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25.619451995596627</v>
      </c>
      <c r="H34" s="70">
        <f t="shared" si="1"/>
        <v>233.48715959269265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472.55976631596218</v>
      </c>
      <c r="S34" s="62">
        <f ca="1">AVERAGE(OFFSET($R$3,0,0,'Données projet'!$E$9+1,1))-AVERAGE(OFFSET($H$3,0,0,'Données projet'!$E$9+1,1))</f>
        <v>427.57091071251745</v>
      </c>
      <c r="T34" s="62">
        <f t="shared" si="34"/>
        <v>272.62827206514726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497.00728501984293</v>
      </c>
      <c r="AN34" s="62">
        <f ca="1">AVERAGE(OFFSET($AM$3,0,0,'Données projet'!$E$10+1,1))-AVERAGE(OFFSET($H$3,0,0,'Données projet'!$E$10+1,1))</f>
        <v>475.54515523869958</v>
      </c>
      <c r="AO34" s="62">
        <f t="shared" si="36"/>
        <v>301.02979240961452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9.9525851301217934</v>
      </c>
      <c r="AW34" s="23">
        <f>EXP(-LN(2)/2)*AW33+(1-EXP(-LN(2)/2))/(LN(2)/2)*AQ34*AT34*VLOOKUP('Données projet'!$B$10,Paramètres!$A$1:$I$89,3,0)*0.475*44/12</f>
        <v>11.815209986438735</v>
      </c>
      <c r="AX34" s="23">
        <f t="shared" si="6"/>
        <v>21.767795116560528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23.267142857142858</v>
      </c>
      <c r="BD34" s="13">
        <f>IF('Données projet'!$A$88&gt;35,BD33+BC34-BL33,IF(A34&lt;'Données projet'!$A$88,$BA$205^A34,IF(A34='Données projet'!$A$88,'Données projet'!$B$88,BD33+BC34-BL33)))</f>
        <v>284.05142857142857</v>
      </c>
      <c r="BE34" s="14">
        <f>BD34*VLOOKUP('Données projet'!$B$11,Paramètres!$A$1:$I$89,3,0)*VLOOKUP('Données projet'!$B$11,Paramètres!$A$1:$I$89,5,0)</f>
        <v>158.78474857142857</v>
      </c>
      <c r="BF34" s="14">
        <f t="shared" si="37"/>
        <v>40.568290544193985</v>
      </c>
      <c r="BG34" s="22">
        <f t="shared" si="7"/>
        <v>347.20654312637589</v>
      </c>
      <c r="BH34" s="62">
        <f t="shared" si="8"/>
        <v>611.76586299463065</v>
      </c>
      <c r="BI34" s="62">
        <f ca="1">AVERAGE(OFFSET($BH$3,0,0,'Données projet'!$E$11+1,1))-AVERAGE(OFFSET($H$3,0,0,'Données projet'!$E$11+1,1))</f>
        <v>381.71417599784968</v>
      </c>
      <c r="BJ34" s="62">
        <f t="shared" si="38"/>
        <v>350.49230135197979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12.554414029631911</v>
      </c>
      <c r="BQ34" s="23">
        <f>EXP(-LN(2)/25)*BQ33+(1-EXP(-LN(2)/25))/(LN(2)/25)*Calculateur!BL34*Calculateur!BN34*VLOOKUP('Données projet'!$B$11,Paramètres!$A$1:$I$89,3,0)*0.475*44/12</f>
        <v>15.535333040945064</v>
      </c>
      <c r="BR34" s="23">
        <f>EXP(-LN(2)/2)*BR33+(1-EXP(-LN(2)/2))/(LN(2)/2)*BL34*BO34*VLOOKUP('Données projet'!$B$11,Paramètres!$A$1:$I$89,3,0)*0.475*44/12</f>
        <v>5.1773857212911629</v>
      </c>
      <c r="BS34" s="24">
        <f t="shared" si="9"/>
        <v>33.267132791868136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201.60000000000005</v>
      </c>
      <c r="BZ34" s="14">
        <f>BY34*VLOOKUP('Données projet'!$B$12,Paramètres!$A$1:$I$89,3,0)*VLOOKUP('Données projet'!$B$12,Paramètres!$A$1:$I$89,5,0)</f>
        <v>110.07360000000001</v>
      </c>
      <c r="CA34" s="14">
        <f t="shared" si="39"/>
        <v>29.348324631518828</v>
      </c>
      <c r="CB34" s="22">
        <f t="shared" si="10"/>
        <v>242.8265187332286</v>
      </c>
      <c r="CC34" s="62">
        <f t="shared" si="11"/>
        <v>507.38583860148344</v>
      </c>
      <c r="CD34" s="62">
        <f ca="1">AVERAGE(OFFSET($CC$3,0,0,'Données projet'!$E$12+1,1))-AVERAGE(OFFSET($H$3,0,0,'Données projet'!$E$12+1,1))</f>
        <v>202.72043399839748</v>
      </c>
      <c r="CE34" s="62">
        <f t="shared" si="40"/>
        <v>295.50255983395789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5.6839658511064872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5.6839658511064872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13.6</v>
      </c>
      <c r="CT34" s="13">
        <f>IF('Données projet'!$A$140&gt;35,CT33+CS34-DB33,IF(A34&lt;'Données projet'!$A$140,$CQ$205^A34,IF(A34='Données projet'!$A$140,'Données projet'!$B$140,CT33+CS34-DB33)))</f>
        <v>167.60000000000011</v>
      </c>
      <c r="CU34" s="18">
        <f>CT34*VLOOKUP('Données projet'!$B$13,Paramètres!$A$1:$I$89,3,0)*VLOOKUP('Données projet'!$B$13,Paramètres!$A$1:$I$89,5,0)</f>
        <v>146.41536000000011</v>
      </c>
      <c r="CV34" s="14">
        <f t="shared" si="41"/>
        <v>37.762820103024502</v>
      </c>
      <c r="CW34" s="22">
        <f t="shared" si="13"/>
        <v>320.77699701276782</v>
      </c>
      <c r="CX34" s="62">
        <f t="shared" si="14"/>
        <v>585.33631688102264</v>
      </c>
      <c r="CY34" s="62">
        <f ca="1">AVERAGE(OFFSET($CX$3,0,0,'Données projet'!$E$13+1,1))-AVERAGE(OFFSET($H$3,0,0,'Données projet'!$E$13+1,1))</f>
        <v>297.56177871222496</v>
      </c>
      <c r="CZ34" s="62">
        <f t="shared" si="42"/>
        <v>421.5717731815397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32.912999958958061</v>
      </c>
      <c r="DH34" s="23">
        <f>EXP(-LN(2)/2)*DH33+(1-EXP(-LN(2)/2))/(LN(2)/2)*DB34*DE34*VLOOKUP('Données projet'!$B$13,Paramètres!$A$1:$I$89,3,0)*0.475*44/12</f>
        <v>11.515940532951477</v>
      </c>
      <c r="DI34" s="24">
        <f t="shared" si="15"/>
        <v>44.428940491909536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23.6</v>
      </c>
      <c r="DO34" s="13">
        <f>IF('Données projet'!$A$166&gt;35,DO33+DN34-DW33,IF(A34&lt;'Données projet'!$A$166,$DL$205^A34,IF(A34='Données projet'!$A$166,'Données projet'!$B$166,DO33+DN34-DW33)))</f>
        <v>319.59999999999997</v>
      </c>
      <c r="DP34" s="18">
        <f>DO34*VLOOKUP('Données projet'!$B$14,Paramètres!$A$1:$I$89,3,0)*VLOOKUP('Données projet'!$B$14,Paramètres!$A$1:$I$89,5,0)</f>
        <v>234.33071999999999</v>
      </c>
      <c r="DQ34" s="14">
        <f t="shared" si="43"/>
        <v>57.218065399995176</v>
      </c>
      <c r="DR34" s="22">
        <f t="shared" si="16"/>
        <v>507.78080123832484</v>
      </c>
      <c r="DS34" s="62">
        <f t="shared" si="17"/>
        <v>772.34012110657966</v>
      </c>
      <c r="DT34" s="62">
        <f ca="1">AVERAGE(OFFSET($DS$3,0,0,'Données projet'!$E$14+1,1))-AVERAGE(OFFSET($H$3,0,0,'Données projet'!$E$14+1,1))</f>
        <v>667.0152731006724</v>
      </c>
      <c r="DU34" s="62">
        <f t="shared" si="44"/>
        <v>567.40780872008088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22.723857450564822</v>
      </c>
      <c r="EC34" s="23">
        <f>EXP(-LN(2)/2)*EC33+(1-EXP(-LN(2)/2))/(LN(2)/2)*DW34*DZ34*VLOOKUP('Données projet'!$B$14,Paramètres!$A$1:$I$89,3,0)*0.475*44/12</f>
        <v>10.487373288356595</v>
      </c>
      <c r="ED34" s="24">
        <f t="shared" si="18"/>
        <v>33.211230738921415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100.39536000000004</v>
      </c>
      <c r="EL34" s="14">
        <f t="shared" si="45"/>
        <v>27.056164975430569</v>
      </c>
      <c r="EM34" s="22">
        <f t="shared" si="19"/>
        <v>221.97807266554162</v>
      </c>
      <c r="EN34" s="62">
        <f t="shared" si="20"/>
        <v>486.53739253379644</v>
      </c>
      <c r="EO34" s="62">
        <f ca="1">AVERAGE(OFFSET($EN$3,0,0,'Données projet'!$E$15+1,1))-AVERAGE(OFFSET($H$3,0,0,'Données projet'!$E$15+1,1))</f>
        <v>454.99849419289757</v>
      </c>
      <c r="EP34" s="62">
        <f t="shared" si="46"/>
        <v>288.86643267991928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62.152541782251305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2.7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7.1135999999999973</v>
      </c>
      <c r="D35" s="12">
        <f t="shared" si="32"/>
        <v>2.6089051793396711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26.187729293462521</v>
      </c>
      <c r="H35" s="70">
        <f t="shared" si="1"/>
        <v>234.00002985401662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494.13872685213227</v>
      </c>
      <c r="S35" s="62">
        <f ca="1">AVERAGE(OFFSET($R$3,0,0,'Données projet'!$E$9+1,1))-AVERAGE(OFFSET($H$3,0,0,'Données projet'!$E$9+1,1))</f>
        <v>427.57091071251745</v>
      </c>
      <c r="T35" s="62">
        <f t="shared" si="34"/>
        <v>272.62827206514726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521.07040261044551</v>
      </c>
      <c r="AN35" s="62">
        <f ca="1">AVERAGE(OFFSET($AM$3,0,0,'Données projet'!$E$10+1,1))-AVERAGE(OFFSET($H$3,0,0,'Données projet'!$E$10+1,1))</f>
        <v>475.54515523869958</v>
      </c>
      <c r="AO35" s="62">
        <f t="shared" si="36"/>
        <v>301.02979240961452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9.6804311663549072</v>
      </c>
      <c r="AW35" s="23">
        <f>EXP(-LN(2)/2)*AW34+(1-EXP(-LN(2)/2))/(LN(2)/2)*AQ35*AT35*VLOOKUP('Données projet'!$B$10,Paramètres!$A$1:$I$89,3,0)*0.475*44/12</f>
        <v>8.3546151025538453</v>
      </c>
      <c r="AX35" s="23">
        <f t="shared" si="6"/>
        <v>18.035046268908751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23.267142857142858</v>
      </c>
      <c r="BD35" s="13">
        <f>IF('Données projet'!$A$88&gt;35,BD34+BC35-BL34,IF(A35&lt;'Données projet'!$A$88,$BA$205^A35,IF(A35='Données projet'!$A$88,'Données projet'!$B$88,BD34+BC35-BL34)))</f>
        <v>307.31857142857143</v>
      </c>
      <c r="BE35" s="14">
        <f>BD35*VLOOKUP('Données projet'!$B$11,Paramètres!$A$1:$I$89,3,0)*VLOOKUP('Données projet'!$B$11,Paramètres!$A$1:$I$89,5,0)</f>
        <v>171.79108142857143</v>
      </c>
      <c r="BF35" s="14">
        <f t="shared" si="37"/>
        <v>43.490921229423932</v>
      </c>
      <c r="BG35" s="22">
        <f t="shared" si="7"/>
        <v>374.94948796267522</v>
      </c>
      <c r="BH35" s="62">
        <f t="shared" si="8"/>
        <v>640.00797263549225</v>
      </c>
      <c r="BI35" s="62">
        <f ca="1">AVERAGE(OFFSET($BH$3,0,0,'Données projet'!$E$11+1,1))-AVERAGE(OFFSET($H$3,0,0,'Données projet'!$E$11+1,1))</f>
        <v>381.71417599784968</v>
      </c>
      <c r="BJ35" s="62">
        <f t="shared" si="38"/>
        <v>350.49230135197979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12.308229627947277</v>
      </c>
      <c r="BQ35" s="23">
        <f>EXP(-LN(2)/25)*BQ34+(1-EXP(-LN(2)/25))/(LN(2)/25)*Calculateur!BL35*Calculateur!BN35*VLOOKUP('Données projet'!$B$11,Paramètres!$A$1:$I$89,3,0)*0.475*44/12</f>
        <v>15.110518541972763</v>
      </c>
      <c r="BR35" s="23">
        <f>EXP(-LN(2)/2)*BR34+(1-EXP(-LN(2)/2))/(LN(2)/2)*BL35*BO35*VLOOKUP('Données projet'!$B$11,Paramètres!$A$1:$I$89,3,0)*0.475*44/12</f>
        <v>3.660964552343386</v>
      </c>
      <c r="BS35" s="24">
        <f t="shared" si="9"/>
        <v>31.079712722263427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210.20000000000005</v>
      </c>
      <c r="BZ35" s="14">
        <f>BY35*VLOOKUP('Données projet'!$B$12,Paramètres!$A$1:$I$89,3,0)*VLOOKUP('Données projet'!$B$12,Paramètres!$A$1:$I$89,5,0)</f>
        <v>114.76920000000003</v>
      </c>
      <c r="CA35" s="14">
        <f t="shared" si="39"/>
        <v>30.451854637594572</v>
      </c>
      <c r="CB35" s="22">
        <f t="shared" si="10"/>
        <v>252.92667016047722</v>
      </c>
      <c r="CC35" s="62">
        <f t="shared" si="11"/>
        <v>517.98515483329425</v>
      </c>
      <c r="CD35" s="62">
        <f ca="1">AVERAGE(OFFSET($CC$3,0,0,'Données projet'!$E$12+1,1))-AVERAGE(OFFSET($H$3,0,0,'Données projet'!$E$12+1,1))</f>
        <v>202.72043399839748</v>
      </c>
      <c r="CE35" s="62">
        <f t="shared" si="40"/>
        <v>295.50255983395789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5.5285375060012072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5.5285375060012072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13.6</v>
      </c>
      <c r="CT35" s="13">
        <f>IF('Données projet'!$A$140&gt;35,CT34+CS35-DB34,IF(A35&lt;'Données projet'!$A$140,$CQ$205^A35,IF(A35='Données projet'!$A$140,'Données projet'!$B$140,CT34+CS35-DB34)))</f>
        <v>181.2000000000001</v>
      </c>
      <c r="CU35" s="18">
        <f>CT35*VLOOKUP('Données projet'!$B$13,Paramètres!$A$1:$I$89,3,0)*VLOOKUP('Données projet'!$B$13,Paramètres!$A$1:$I$89,5,0)</f>
        <v>158.29632000000009</v>
      </c>
      <c r="CV35" s="14">
        <f t="shared" si="41"/>
        <v>40.458006540983739</v>
      </c>
      <c r="CW35" s="22">
        <f t="shared" si="13"/>
        <v>346.16378539221347</v>
      </c>
      <c r="CX35" s="62">
        <f t="shared" si="14"/>
        <v>611.22227006503044</v>
      </c>
      <c r="CY35" s="62">
        <f ca="1">AVERAGE(OFFSET($CX$3,0,0,'Données projet'!$E$13+1,1))-AVERAGE(OFFSET($H$3,0,0,'Données projet'!$E$13+1,1))</f>
        <v>297.56177871222496</v>
      </c>
      <c r="CZ35" s="62">
        <f t="shared" si="42"/>
        <v>421.5717731815397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32.012992244260907</v>
      </c>
      <c r="DH35" s="23">
        <f>EXP(-LN(2)/2)*DH34+(1-EXP(-LN(2)/2))/(LN(2)/2)*DB35*DE35*VLOOKUP('Données projet'!$B$13,Paramètres!$A$1:$I$89,3,0)*0.475*44/12</f>
        <v>8.1429996425910147</v>
      </c>
      <c r="DI35" s="24">
        <f t="shared" si="15"/>
        <v>40.155991886851922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23.6</v>
      </c>
      <c r="DO35" s="13">
        <f>IF('Données projet'!$A$166&gt;35,DO34+DN35-DW34,IF(A35&lt;'Données projet'!$A$166,$DL$205^A35,IF(A35='Données projet'!$A$166,'Données projet'!$B$166,DO34+DN35-DW34)))</f>
        <v>343.2</v>
      </c>
      <c r="DP35" s="18">
        <f>DO35*VLOOKUP('Données projet'!$B$14,Paramètres!$A$1:$I$89,3,0)*VLOOKUP('Données projet'!$B$14,Paramètres!$A$1:$I$89,5,0)</f>
        <v>251.63423999999998</v>
      </c>
      <c r="DQ35" s="14">
        <f t="shared" si="43"/>
        <v>60.935755936673303</v>
      </c>
      <c r="DR35" s="22">
        <f t="shared" si="16"/>
        <v>544.39274292303924</v>
      </c>
      <c r="DS35" s="62">
        <f t="shared" si="17"/>
        <v>809.45122759585615</v>
      </c>
      <c r="DT35" s="62">
        <f ca="1">AVERAGE(OFFSET($DS$3,0,0,'Données projet'!$E$14+1,1))-AVERAGE(OFFSET($H$3,0,0,'Données projet'!$E$14+1,1))</f>
        <v>667.0152731006724</v>
      </c>
      <c r="DU35" s="62">
        <f t="shared" si="44"/>
        <v>567.40780872008088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22.102472373583399</v>
      </c>
      <c r="EC35" s="23">
        <f>EXP(-LN(2)/2)*EC34+(1-EXP(-LN(2)/2))/(LN(2)/2)*DW35*DZ35*VLOOKUP('Données projet'!$B$14,Paramètres!$A$1:$I$89,3,0)*0.475*44/12</f>
        <v>7.4156927690316108</v>
      </c>
      <c r="ED35" s="24">
        <f t="shared" si="18"/>
        <v>29.518165142615011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110.84112000000003</v>
      </c>
      <c r="EL35" s="14">
        <f t="shared" si="45"/>
        <v>29.529071061640771</v>
      </c>
      <c r="EM35" s="22">
        <f t="shared" si="19"/>
        <v>244.47808276569106</v>
      </c>
      <c r="EN35" s="62">
        <f t="shared" si="20"/>
        <v>509.53656743850803</v>
      </c>
      <c r="EO35" s="62">
        <f ca="1">AVERAGE(OFFSET($EN$3,0,0,'Données projet'!$E$15+1,1))-AVERAGE(OFFSET($H$3,0,0,'Données projet'!$E$15+1,1))</f>
        <v>454.99849419289757</v>
      </c>
      <c r="EP35" s="62">
        <f t="shared" si="46"/>
        <v>288.86643267991928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62.288677638040994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2.7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7.335899999999997</v>
      </c>
      <c r="D36" s="12">
        <f t="shared" si="32"/>
        <v>2.6808140527138336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26.755500803482832</v>
      </c>
      <c r="H36" s="70">
        <f t="shared" si="1"/>
        <v>234.51244364180994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515.66465986270123</v>
      </c>
      <c r="S36" s="62">
        <f ca="1">AVERAGE(OFFSET($R$3,0,0,'Données projet'!$E$9+1,1))-AVERAGE(OFFSET($H$3,0,0,'Données projet'!$E$9+1,1))</f>
        <v>427.57091071251745</v>
      </c>
      <c r="T36" s="62">
        <f t="shared" si="34"/>
        <v>272.62827206514726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545.07579302723093</v>
      </c>
      <c r="AN36" s="62">
        <f ca="1">AVERAGE(OFFSET($AM$3,0,0,'Données projet'!$E$10+1,1))-AVERAGE(OFFSET($H$3,0,0,'Données projet'!$E$10+1,1))</f>
        <v>475.54515523869958</v>
      </c>
      <c r="AO36" s="62">
        <f t="shared" si="36"/>
        <v>301.02979240961452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9.4157192670391829</v>
      </c>
      <c r="AW36" s="23">
        <f>EXP(-LN(2)/2)*AW35+(1-EXP(-LN(2)/2))/(LN(2)/2)*AQ36*AT36*VLOOKUP('Données projet'!$B$10,Paramètres!$A$1:$I$89,3,0)*0.475*44/12</f>
        <v>5.9076049932193673</v>
      </c>
      <c r="AX36" s="23">
        <f t="shared" si="6"/>
        <v>15.32332426025855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23.267142857142858</v>
      </c>
      <c r="BD36" s="13">
        <f>IF('Données projet'!$A$88&gt;35,BD35+BC36-BL35,IF(A36&lt;'Données projet'!$A$88,$BA$205^A36,IF(A36='Données projet'!$A$88,'Données projet'!$B$88,BD35+BC36-BL35)))</f>
        <v>330.58571428571429</v>
      </c>
      <c r="BE36" s="14">
        <f>BD36*VLOOKUP('Données projet'!$B$11,Paramètres!$A$1:$I$89,3,0)*VLOOKUP('Données projet'!$B$11,Paramètres!$A$1:$I$89,5,0)</f>
        <v>184.7974142857143</v>
      </c>
      <c r="BF36" s="14">
        <f t="shared" si="37"/>
        <v>46.387883037381307</v>
      </c>
      <c r="BG36" s="22">
        <f t="shared" si="7"/>
        <v>402.64772617105814</v>
      </c>
      <c r="BH36" s="62">
        <f t="shared" si="8"/>
        <v>668.19671625504338</v>
      </c>
      <c r="BI36" s="62">
        <f ca="1">AVERAGE(OFFSET($BH$3,0,0,'Données projet'!$E$11+1,1))-AVERAGE(OFFSET($H$3,0,0,'Données projet'!$E$11+1,1))</f>
        <v>381.71417599784968</v>
      </c>
      <c r="BJ36" s="62">
        <f t="shared" si="38"/>
        <v>350.49230135197979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12.066872752222022</v>
      </c>
      <c r="BQ36" s="23">
        <f>EXP(-LN(2)/25)*BQ35+(1-EXP(-LN(2)/25))/(LN(2)/25)*Calculateur!BL36*Calculateur!BN36*VLOOKUP('Données projet'!$B$11,Paramètres!$A$1:$I$89,3,0)*0.475*44/12</f>
        <v>14.697320617814883</v>
      </c>
      <c r="BR36" s="23">
        <f>EXP(-LN(2)/2)*BR35+(1-EXP(-LN(2)/2))/(LN(2)/2)*BL36*BO36*VLOOKUP('Données projet'!$B$11,Paramètres!$A$1:$I$89,3,0)*0.475*44/12</f>
        <v>2.5886928606455819</v>
      </c>
      <c r="BS36" s="24">
        <f t="shared" si="9"/>
        <v>29.35288623068249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218.80000000000004</v>
      </c>
      <c r="BZ36" s="14">
        <f>BY36*VLOOKUP('Données projet'!$B$12,Paramètres!$A$1:$I$89,3,0)*VLOOKUP('Données projet'!$B$12,Paramètres!$A$1:$I$89,5,0)</f>
        <v>119.46480000000003</v>
      </c>
      <c r="CA36" s="14">
        <f t="shared" si="39"/>
        <v>31.550140227707256</v>
      </c>
      <c r="CB36" s="22">
        <f t="shared" si="10"/>
        <v>263.01768756325686</v>
      </c>
      <c r="CC36" s="62">
        <f t="shared" si="11"/>
        <v>528.56667764724216</v>
      </c>
      <c r="CD36" s="62">
        <f ca="1">AVERAGE(OFFSET($CC$3,0,0,'Données projet'!$E$12+1,1))-AVERAGE(OFFSET($H$3,0,0,'Données projet'!$E$12+1,1))</f>
        <v>202.72043399839748</v>
      </c>
      <c r="CE36" s="62">
        <f t="shared" si="40"/>
        <v>295.50255983395789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5.3773593571664522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5.3773593571664522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13.6</v>
      </c>
      <c r="CT36" s="13">
        <f>IF('Données projet'!$A$140&gt;35,CT35+CS36-DB35,IF(A36&lt;'Données projet'!$A$140,$CQ$205^A36,IF(A36='Données projet'!$A$140,'Données projet'!$B$140,CT35+CS36-DB35)))</f>
        <v>194.8000000000001</v>
      </c>
      <c r="CU36" s="18">
        <f>CT36*VLOOKUP('Données projet'!$B$13,Paramètres!$A$1:$I$89,3,0)*VLOOKUP('Données projet'!$B$13,Paramètres!$A$1:$I$89,5,0)</f>
        <v>170.17728000000011</v>
      </c>
      <c r="CV36" s="14">
        <f t="shared" si="41"/>
        <v>43.129725999134671</v>
      </c>
      <c r="CW36" s="22">
        <f t="shared" si="13"/>
        <v>371.50970211515977</v>
      </c>
      <c r="CX36" s="62">
        <f t="shared" si="14"/>
        <v>637.05869219914507</v>
      </c>
      <c r="CY36" s="62">
        <f ca="1">AVERAGE(OFFSET($CX$3,0,0,'Données projet'!$E$13+1,1))-AVERAGE(OFFSET($H$3,0,0,'Données projet'!$E$13+1,1))</f>
        <v>297.56177871222496</v>
      </c>
      <c r="CZ36" s="62">
        <f t="shared" si="42"/>
        <v>421.5717731815397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31.137595287851497</v>
      </c>
      <c r="DH36" s="23">
        <f>EXP(-LN(2)/2)*DH35+(1-EXP(-LN(2)/2))/(LN(2)/2)*DB36*DE36*VLOOKUP('Données projet'!$B$13,Paramètres!$A$1:$I$89,3,0)*0.475*44/12</f>
        <v>5.7579702664757395</v>
      </c>
      <c r="DI36" s="24">
        <f t="shared" si="15"/>
        <v>36.895565554327234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23.6</v>
      </c>
      <c r="DO36" s="13">
        <f>IF('Données projet'!$A$166&gt;35,DO35+DN36-DW35,IF(A36&lt;'Données projet'!$A$166,$DL$205^A36,IF(A36='Données projet'!$A$166,'Données projet'!$B$166,DO35+DN36-DW35)))</f>
        <v>366.8</v>
      </c>
      <c r="DP36" s="18">
        <f>DO36*VLOOKUP('Données projet'!$B$14,Paramètres!$A$1:$I$89,3,0)*VLOOKUP('Données projet'!$B$14,Paramètres!$A$1:$I$89,5,0)</f>
        <v>268.93775999999997</v>
      </c>
      <c r="DQ36" s="14">
        <f t="shared" si="43"/>
        <v>64.623783456925594</v>
      </c>
      <c r="DR36" s="22">
        <f t="shared" si="16"/>
        <v>580.95302152081194</v>
      </c>
      <c r="DS36" s="62">
        <f t="shared" si="17"/>
        <v>846.50201160479719</v>
      </c>
      <c r="DT36" s="62">
        <f ca="1">AVERAGE(OFFSET($DS$3,0,0,'Données projet'!$E$14+1,1))-AVERAGE(OFFSET($H$3,0,0,'Données projet'!$E$14+1,1))</f>
        <v>667.0152731006724</v>
      </c>
      <c r="DU36" s="62">
        <f t="shared" si="44"/>
        <v>567.40780872008088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21.498079104209253</v>
      </c>
      <c r="EC36" s="23">
        <f>EXP(-LN(2)/2)*EC35+(1-EXP(-LN(2)/2))/(LN(2)/2)*DW36*DZ36*VLOOKUP('Données projet'!$B$14,Paramètres!$A$1:$I$89,3,0)*0.475*44/12</f>
        <v>5.2436866441782986</v>
      </c>
      <c r="ED36" s="24">
        <f t="shared" si="18"/>
        <v>26.74176574838755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121.28688000000004</v>
      </c>
      <c r="EL36" s="14">
        <f t="shared" si="45"/>
        <v>31.974956333849104</v>
      </c>
      <c r="EM36" s="22">
        <f t="shared" si="19"/>
        <v>266.93103161478729</v>
      </c>
      <c r="EN36" s="62">
        <f t="shared" si="20"/>
        <v>532.48002169877259</v>
      </c>
      <c r="EO36" s="62">
        <f ca="1">AVERAGE(OFFSET($EN$3,0,0,'Données projet'!$E$15+1,1))-AVERAGE(OFFSET($H$3,0,0,'Données projet'!$E$15+1,1))</f>
        <v>454.99849419289757</v>
      </c>
      <c r="EP36" s="62">
        <f t="shared" si="46"/>
        <v>288.86643267991928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62.422451841086911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2.7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7.5581999999999967</v>
      </c>
      <c r="D37" s="12">
        <f t="shared" si="32"/>
        <v>2.7524696897380458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27.322783611775169</v>
      </c>
      <c r="H37" s="70">
        <f t="shared" si="1"/>
        <v>235.02441637629377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537.14197121053576</v>
      </c>
      <c r="S37" s="62">
        <f ca="1">AVERAGE(OFFSET($R$3,0,0,'Données projet'!$E$9+1,1))-AVERAGE(OFFSET($H$3,0,0,'Données projet'!$E$9+1,1))</f>
        <v>427.57091071251745</v>
      </c>
      <c r="T37" s="62">
        <f t="shared" si="34"/>
        <v>272.62827206514726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569.02831290748759</v>
      </c>
      <c r="AN37" s="62">
        <f ca="1">AVERAGE(OFFSET($AM$3,0,0,'Données projet'!$E$10+1,1))-AVERAGE(OFFSET($H$3,0,0,'Données projet'!$E$10+1,1))</f>
        <v>475.54515523869958</v>
      </c>
      <c r="AO37" s="62">
        <f t="shared" si="36"/>
        <v>301.02979240961452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9.1582459285308406</v>
      </c>
      <c r="AW37" s="23">
        <f>EXP(-LN(2)/2)*AW36+(1-EXP(-LN(2)/2))/(LN(2)/2)*AQ37*AT37*VLOOKUP('Données projet'!$B$10,Paramètres!$A$1:$I$89,3,0)*0.475*44/12</f>
        <v>4.1773075512769227</v>
      </c>
      <c r="AX37" s="23">
        <f t="shared" si="6"/>
        <v>13.335553479807764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23.267142857142858</v>
      </c>
      <c r="BD37" s="13">
        <f>IF('Données projet'!$A$88&gt;35,BD36+BC37-BL36,IF(A37&lt;'Données projet'!$A$88,$BA$205^A37,IF(A37='Données projet'!$A$88,'Données projet'!$B$88,BD36+BC37-BL36)))</f>
        <v>353.85285714285715</v>
      </c>
      <c r="BE37" s="14">
        <f>BD37*VLOOKUP('Données projet'!$B$11,Paramètres!$A$1:$I$89,3,0)*VLOOKUP('Données projet'!$B$11,Paramètres!$A$1:$I$89,5,0)</f>
        <v>197.80374714285716</v>
      </c>
      <c r="BF37" s="14">
        <f t="shared" si="37"/>
        <v>49.26118807441209</v>
      </c>
      <c r="BG37" s="22">
        <f t="shared" si="7"/>
        <v>430.30476217007725</v>
      </c>
      <c r="BH37" s="62">
        <f t="shared" si="8"/>
        <v>696.33574849295303</v>
      </c>
      <c r="BI37" s="62">
        <f ca="1">AVERAGE(OFFSET($BH$3,0,0,'Données projet'!$E$11+1,1))-AVERAGE(OFFSET($H$3,0,0,'Données projet'!$E$11+1,1))</f>
        <v>381.71417599784968</v>
      </c>
      <c r="BJ37" s="62">
        <f t="shared" si="38"/>
        <v>350.49230135197979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11.83024873761658</v>
      </c>
      <c r="BQ37" s="23">
        <f>EXP(-LN(2)/25)*BQ36+(1-EXP(-LN(2)/25))/(LN(2)/25)*Calculateur!BL37*Calculateur!BN37*VLOOKUP('Données projet'!$B$11,Paramètres!$A$1:$I$89,3,0)*0.475*44/12</f>
        <v>14.295421612622235</v>
      </c>
      <c r="BR37" s="23">
        <f>EXP(-LN(2)/2)*BR36+(1-EXP(-LN(2)/2))/(LN(2)/2)*BL37*BO37*VLOOKUP('Données projet'!$B$11,Paramètres!$A$1:$I$89,3,0)*0.475*44/12</f>
        <v>1.8304822761716935</v>
      </c>
      <c r="BS37" s="24">
        <f t="shared" si="9"/>
        <v>27.956152626410507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227.40000000000003</v>
      </c>
      <c r="BZ37" s="14">
        <f>BY37*VLOOKUP('Données projet'!$B$12,Paramètres!$A$1:$I$89,3,0)*VLOOKUP('Données projet'!$B$12,Paramètres!$A$1:$I$89,5,0)</f>
        <v>124.16040000000001</v>
      </c>
      <c r="CA37" s="14">
        <f t="shared" si="39"/>
        <v>32.643411123997197</v>
      </c>
      <c r="CB37" s="22">
        <f t="shared" si="10"/>
        <v>273.09997104096175</v>
      </c>
      <c r="CC37" s="62">
        <f t="shared" si="11"/>
        <v>539.13095736383752</v>
      </c>
      <c r="CD37" s="62">
        <f ca="1">AVERAGE(OFFSET($CC$3,0,0,'Données projet'!$E$12+1,1))-AVERAGE(OFFSET($H$3,0,0,'Données projet'!$E$12+1,1))</f>
        <v>202.72043399839748</v>
      </c>
      <c r="CE37" s="62">
        <f t="shared" si="40"/>
        <v>295.50255983395789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5.2303151827616974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5.2303151827616974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13.6</v>
      </c>
      <c r="CT37" s="13">
        <f>IF('Données projet'!$A$140&gt;35,CT36+CS37-DB36,IF(A37&lt;'Données projet'!$A$140,$CQ$205^A37,IF(A37='Données projet'!$A$140,'Données projet'!$B$140,CT36+CS37-DB36)))</f>
        <v>208.40000000000009</v>
      </c>
      <c r="CU37" s="18">
        <f>CT37*VLOOKUP('Données projet'!$B$13,Paramètres!$A$1:$I$89,3,0)*VLOOKUP('Données projet'!$B$13,Paramètres!$A$1:$I$89,5,0)</f>
        <v>182.0582400000001</v>
      </c>
      <c r="CV37" s="14">
        <f t="shared" si="41"/>
        <v>45.779803189729343</v>
      </c>
      <c r="CW37" s="22">
        <f t="shared" si="13"/>
        <v>396.81792522211208</v>
      </c>
      <c r="CX37" s="62">
        <f t="shared" si="14"/>
        <v>662.84891154498791</v>
      </c>
      <c r="CY37" s="62">
        <f ca="1">AVERAGE(OFFSET($CX$3,0,0,'Données projet'!$E$13+1,1))-AVERAGE(OFFSET($H$3,0,0,'Données projet'!$E$13+1,1))</f>
        <v>297.56177871222496</v>
      </c>
      <c r="CZ37" s="62">
        <f t="shared" si="42"/>
        <v>421.5717731815397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30.286136107250226</v>
      </c>
      <c r="DH37" s="23">
        <f>EXP(-LN(2)/2)*DH36+(1-EXP(-LN(2)/2))/(LN(2)/2)*DB37*DE37*VLOOKUP('Données projet'!$B$13,Paramètres!$A$1:$I$89,3,0)*0.475*44/12</f>
        <v>4.0714998212955074</v>
      </c>
      <c r="DI37" s="24">
        <f t="shared" si="15"/>
        <v>34.357635928545733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23.6</v>
      </c>
      <c r="DO37" s="13">
        <f>IF('Données projet'!$A$166&gt;35,DO36+DN37-DW36,IF(A37&lt;'Données projet'!$A$166,$DL$205^A37,IF(A37='Données projet'!$A$166,'Données projet'!$B$166,DO36+DN37-DW36)))</f>
        <v>390.40000000000003</v>
      </c>
      <c r="DP37" s="18">
        <f>DO37*VLOOKUP('Données projet'!$B$14,Paramètres!$A$1:$I$89,3,0)*VLOOKUP('Données projet'!$B$14,Paramètres!$A$1:$I$89,5,0)</f>
        <v>286.24128000000002</v>
      </c>
      <c r="DQ37" s="14">
        <f t="shared" si="43"/>
        <v>68.284273706763841</v>
      </c>
      <c r="DR37" s="22">
        <f t="shared" si="16"/>
        <v>617.46533937261358</v>
      </c>
      <c r="DS37" s="62">
        <f t="shared" si="17"/>
        <v>883.4963256954893</v>
      </c>
      <c r="DT37" s="62">
        <f ca="1">AVERAGE(OFFSET($DS$3,0,0,'Données projet'!$E$14+1,1))-AVERAGE(OFFSET($H$3,0,0,'Données projet'!$E$14+1,1))</f>
        <v>667.0152731006724</v>
      </c>
      <c r="DU37" s="62">
        <f t="shared" si="44"/>
        <v>567.40780872008088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20.910213000569804</v>
      </c>
      <c r="EC37" s="23">
        <f>EXP(-LN(2)/2)*EC36+(1-EXP(-LN(2)/2))/(LN(2)/2)*DW37*DZ37*VLOOKUP('Données projet'!$B$14,Paramètres!$A$1:$I$89,3,0)*0.475*44/12</f>
        <v>3.7078463845158063</v>
      </c>
      <c r="ED37" s="24">
        <f t="shared" si="18"/>
        <v>24.618059385085612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131.73264000000006</v>
      </c>
      <c r="EL37" s="14">
        <f t="shared" si="45"/>
        <v>34.396412537492502</v>
      </c>
      <c r="EM37" s="22">
        <f t="shared" si="19"/>
        <v>289.3414331694662</v>
      </c>
      <c r="EN37" s="62">
        <f t="shared" si="20"/>
        <v>555.37241949234203</v>
      </c>
      <c r="EO37" s="62">
        <f ca="1">AVERAGE(OFFSET($EN$3,0,0,'Données projet'!$E$15+1,1))-AVERAGE(OFFSET($H$3,0,0,'Données projet'!$E$15+1,1))</f>
        <v>454.99849419289757</v>
      </c>
      <c r="EP37" s="62">
        <f t="shared" si="46"/>
        <v>288.86643267991928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62.553905360784299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2.7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7.7804999999999964</v>
      </c>
      <c r="D38" s="12">
        <f t="shared" si="32"/>
        <v>2.8238803937120291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27.889593742251279</v>
      </c>
      <c r="H38" s="70">
        <f t="shared" si="1"/>
        <v>235.53596251904847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558.57435086020666</v>
      </c>
      <c r="S38" s="62">
        <f ca="1">AVERAGE(OFFSET($R$3,0,0,'Données projet'!$E$9+1,1))-AVERAGE(OFFSET($H$3,0,0,'Données projet'!$E$9+1,1))</f>
        <v>427.57091071251745</v>
      </c>
      <c r="T38" s="62">
        <f t="shared" si="34"/>
        <v>272.62827206514726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592.93202743546533</v>
      </c>
      <c r="AN38" s="62">
        <f ca="1">AVERAGE(OFFSET($AM$3,0,0,'Données projet'!$E$10+1,1))-AVERAGE(OFFSET($H$3,0,0,'Données projet'!$E$10+1,1))</f>
        <v>475.54515523869958</v>
      </c>
      <c r="AO38" s="62">
        <f t="shared" si="36"/>
        <v>301.02979240961452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8.9078132120039424</v>
      </c>
      <c r="AW38" s="23">
        <f>EXP(-LN(2)/2)*AW37+(1-EXP(-LN(2)/2))/(LN(2)/2)*AQ38*AT38*VLOOKUP('Données projet'!$B$10,Paramètres!$A$1:$I$89,3,0)*0.475*44/12</f>
        <v>2.9538024966096836</v>
      </c>
      <c r="AX38" s="23">
        <f t="shared" si="6"/>
        <v>11.861615708613627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377.12</v>
      </c>
      <c r="BB38" s="13">
        <f>VLOOKUP(A38,'Données projet'!$A$87:$I$107,9,0)</f>
        <v>23.267142857142858</v>
      </c>
      <c r="BC38" s="13">
        <f t="array" ref="BC38">INDEX(BB:BB,MIN(IF(ISNUMBER(BB38:BB234),ROW(BB38:BB234),"")))</f>
        <v>23.267142857142858</v>
      </c>
      <c r="BD38" s="13">
        <f>IF('Données projet'!$A$88&gt;35,BD37+BC38-BL37,IF(A38&lt;'Données projet'!$A$88,$BA$205^A38,IF(A38='Données projet'!$A$88,'Données projet'!$B$88,BD37+BC38-BL37)))</f>
        <v>377.12</v>
      </c>
      <c r="BE38" s="14">
        <f>BD38*VLOOKUP('Données projet'!$B$11,Paramètres!$A$1:$I$89,3,0)*VLOOKUP('Données projet'!$B$11,Paramètres!$A$1:$I$89,5,0)</f>
        <v>210.81008</v>
      </c>
      <c r="BF38" s="14">
        <f t="shared" si="37"/>
        <v>52.112568873523912</v>
      </c>
      <c r="BG38" s="22">
        <f t="shared" si="7"/>
        <v>457.92361345472085</v>
      </c>
      <c r="BH38" s="62">
        <f t="shared" si="8"/>
        <v>724.42823445932436</v>
      </c>
      <c r="BI38" s="62">
        <f ca="1">AVERAGE(OFFSET($BH$3,0,0,'Données projet'!$E$11+1,1))-AVERAGE(OFFSET($H$3,0,0,'Données projet'!$E$11+1,1))</f>
        <v>381.71417599784968</v>
      </c>
      <c r="BJ38" s="62">
        <f t="shared" si="38"/>
        <v>350.49230135197979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86.68</v>
      </c>
      <c r="BM38" s="17">
        <f>IF(ISNA(VLOOKUP(A38,'Données projet'!$A$87:$I$107,5,0)),0%,VLOOKUP(A38,'Données projet'!$A$87:$I$107,5,0)*VLOOKUP('Données projet'!$B$11,Paramètres!$A$1:$I$89,7,0))</f>
        <v>0.27500000000000002</v>
      </c>
      <c r="BN38" s="17">
        <f>IF(ISNA(VLOOKUP(A38,'Données projet'!$A$87:$I$107,6,0)),0%,VLOOKUP(A38,'Données projet'!$A$87:$I$107,6,0)*VLOOKUP('Données projet'!$B$11,Paramètres!$A$1:$I$89,7,0))</f>
        <v>0.16500000000000001</v>
      </c>
      <c r="BO38" s="17">
        <f>IF(ISNA(VLOOKUP(A38,'Données projet'!$A$87:$I$107,7,0)),0%,VLOOKUP(A38,'Données projet'!$A$87:$I$107,7,0))</f>
        <v>0.2</v>
      </c>
      <c r="BP38" s="23">
        <f>EXP(-LN(2)/35)*BP37+(1-EXP(-LN(2)/35))/(LN(2)/35)*BL38*BM38*VLOOKUP('Données projet'!$B$11,Paramètres!$A$1:$I$89,3,0)*0.475*44/12</f>
        <v>29.274580936301746</v>
      </c>
      <c r="BQ38" s="23">
        <f>EXP(-LN(2)/25)*BQ37+(1-EXP(-LN(2)/25))/(LN(2)/25)*Calculateur!BL38*Calculateur!BN38*VLOOKUP('Données projet'!$B$11,Paramètres!$A$1:$I$89,3,0)*0.475*44/12</f>
        <v>24.468543218118405</v>
      </c>
      <c r="BR38" s="23">
        <f>EXP(-LN(2)/2)*BR37+(1-EXP(-LN(2)/2))/(LN(2)/2)*BL38*BO38*VLOOKUP('Données projet'!$B$11,Paramètres!$A$1:$I$89,3,0)*0.475*44/12</f>
        <v>12.266610352767408</v>
      </c>
      <c r="BS38" s="24">
        <f t="shared" si="9"/>
        <v>66.009734507187559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236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236.00000000000003</v>
      </c>
      <c r="BZ38" s="14">
        <f>BY38*VLOOKUP('Données projet'!$B$12,Paramètres!$A$1:$I$89,3,0)*VLOOKUP('Données projet'!$B$12,Paramètres!$A$1:$I$89,5,0)</f>
        <v>128.85600000000002</v>
      </c>
      <c r="CA38" s="14">
        <f t="shared" si="39"/>
        <v>33.731878688740906</v>
      </c>
      <c r="CB38" s="22">
        <f t="shared" si="10"/>
        <v>283.17388871622381</v>
      </c>
      <c r="CC38" s="62">
        <f t="shared" si="11"/>
        <v>549.67850972082738</v>
      </c>
      <c r="CD38" s="62">
        <f ca="1">AVERAGE(OFFSET($CC$3,0,0,'Données projet'!$E$12+1,1))-AVERAGE(OFFSET($H$3,0,0,'Données projet'!$E$12+1,1))</f>
        <v>202.72043399839748</v>
      </c>
      <c r="CE38" s="62">
        <f t="shared" si="40"/>
        <v>295.50255983395789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5.0872919390387574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5.0872919390387574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222</v>
      </c>
      <c r="CR38" s="13">
        <f>VLOOKUP(A38,'Données projet'!$A$139:$I$159,9,0)</f>
        <v>13.6</v>
      </c>
      <c r="CS38" s="13">
        <f t="array" ref="CS38">INDEX(CR:CR,MIN(IF(ISNUMBER(CR38:CR234),ROW(CR38:CR234),"")))</f>
        <v>13.6</v>
      </c>
      <c r="CT38" s="13">
        <f>IF('Données projet'!$A$140&gt;35,CT37+CS38-DB37,IF(A38&lt;'Données projet'!$A$140,$CQ$205^A38,IF(A38='Données projet'!$A$140,'Données projet'!$B$140,CT37+CS38-DB37)))</f>
        <v>222.00000000000009</v>
      </c>
      <c r="CU38" s="18">
        <f>CT38*VLOOKUP('Données projet'!$B$13,Paramètres!$A$1:$I$89,3,0)*VLOOKUP('Données projet'!$B$13,Paramètres!$A$1:$I$89,5,0)</f>
        <v>193.93920000000011</v>
      </c>
      <c r="CV38" s="14">
        <f t="shared" si="41"/>
        <v>48.409811198069384</v>
      </c>
      <c r="CW38" s="22">
        <f t="shared" si="13"/>
        <v>422.09119450330428</v>
      </c>
      <c r="CX38" s="62">
        <f t="shared" si="14"/>
        <v>688.59581550790779</v>
      </c>
      <c r="CY38" s="62">
        <f ca="1">AVERAGE(OFFSET($CX$3,0,0,'Données projet'!$E$13+1,1))-AVERAGE(OFFSET($H$3,0,0,'Données projet'!$E$13+1,1))</f>
        <v>297.56177871222496</v>
      </c>
      <c r="CZ38" s="62">
        <f t="shared" si="42"/>
        <v>421.5717731815397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49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29.457960122718791</v>
      </c>
      <c r="DH38" s="23">
        <f>EXP(-LN(2)/2)*DH37+(1-EXP(-LN(2)/2))/(LN(2)/2)*DB38*DE38*VLOOKUP('Données projet'!$B$13,Paramètres!$A$1:$I$89,3,0)*0.475*44/12</f>
        <v>2.8789851332378698</v>
      </c>
      <c r="DI38" s="24">
        <f t="shared" si="15"/>
        <v>32.336945255956664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414</v>
      </c>
      <c r="DM38" s="13">
        <f>VLOOKUP(A38,'Données projet'!$A$165:$I$185,9,0)</f>
        <v>23.6</v>
      </c>
      <c r="DN38" s="13">
        <f t="array" ref="DN38">INDEX(DM:DM,MIN(IF(ISNUMBER(DM38:DM234),ROW(DM38:DM234),"")))</f>
        <v>23.6</v>
      </c>
      <c r="DO38" s="13">
        <f>IF('Données projet'!$A$166&gt;35,DO37+DN38-DW37,IF(A38&lt;'Données projet'!$A$166,$DL$205^A38,IF(A38='Données projet'!$A$166,'Données projet'!$B$166,DO37+DN38-DW37)))</f>
        <v>414.00000000000006</v>
      </c>
      <c r="DP38" s="18">
        <f>DO38*VLOOKUP('Données projet'!$B$14,Paramètres!$A$1:$I$89,3,0)*VLOOKUP('Données projet'!$B$14,Paramètres!$A$1:$I$89,5,0)</f>
        <v>303.54480000000001</v>
      </c>
      <c r="DQ38" s="14">
        <f t="shared" si="43"/>
        <v>71.919080904752505</v>
      </c>
      <c r="DR38" s="22">
        <f t="shared" si="16"/>
        <v>653.93292590911062</v>
      </c>
      <c r="DS38" s="62">
        <f t="shared" si="17"/>
        <v>920.43754691371419</v>
      </c>
      <c r="DT38" s="62">
        <f ca="1">AVERAGE(OFFSET($DS$3,0,0,'Données projet'!$E$14+1,1))-AVERAGE(OFFSET($H$3,0,0,'Données projet'!$E$14+1,1))</f>
        <v>667.0152731006724</v>
      </c>
      <c r="DU38" s="62">
        <f t="shared" si="44"/>
        <v>567.40780872008088</v>
      </c>
      <c r="DV38" s="16">
        <f>IF(ISNA(VLOOKUP(A38,'Données projet'!$A$165:$I$185,3,0)),0,VLOOKUP(A38,'Données projet'!$A$165:$I$185,3,0))</f>
        <v>239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20.338422126448911</v>
      </c>
      <c r="EC38" s="23">
        <f>EXP(-LN(2)/2)*EC37+(1-EXP(-LN(2)/2))/(LN(2)/2)*DW38*DZ38*VLOOKUP('Données projet'!$B$14,Paramètres!$A$1:$I$89,3,0)*0.475*44/12</f>
        <v>2.6218433220891497</v>
      </c>
      <c r="ED38" s="24">
        <f t="shared" si="18"/>
        <v>22.96026544853806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142.17840000000004</v>
      </c>
      <c r="EL38" s="14">
        <f t="shared" si="45"/>
        <v>36.795597013009356</v>
      </c>
      <c r="EM38" s="22">
        <f t="shared" si="19"/>
        <v>311.71304479765803</v>
      </c>
      <c r="EN38" s="62">
        <f t="shared" si="20"/>
        <v>578.21766580226154</v>
      </c>
      <c r="EO38" s="62">
        <f ca="1">AVERAGE(OFFSET($EN$3,0,0,'Données projet'!$E$15+1,1))-AVERAGE(OFFSET($H$3,0,0,'Données projet'!$E$15+1,1))</f>
        <v>454.99849419289757</v>
      </c>
      <c r="EP38" s="62">
        <f t="shared" si="46"/>
        <v>288.86643267991928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62.683078455800967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2.7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8.002799999999997</v>
      </c>
      <c r="D39" s="12">
        <f t="shared" si="32"/>
        <v>2.8950539664743786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28.4559462510909</v>
      </c>
      <c r="H39" s="70">
        <f t="shared" si="1"/>
        <v>236.04709565827622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526.42168734146185</v>
      </c>
      <c r="S39" s="62">
        <f ca="1">AVERAGE(OFFSET($R$3,0,0,'Données projet'!$E$9+1,1))-AVERAGE(OFFSET($H$3,0,0,'Données projet'!$E$9+1,1))</f>
        <v>427.57091071251745</v>
      </c>
      <c r="T39" s="62">
        <f t="shared" si="34"/>
        <v>272.62827206514726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556.93341391289619</v>
      </c>
      <c r="AN39" s="62">
        <f ca="1">AVERAGE(OFFSET($AM$3,0,0,'Données projet'!$E$10+1,1))-AVERAGE(OFFSET($H$3,0,0,'Données projet'!$E$10+1,1))</f>
        <v>475.54515523869958</v>
      </c>
      <c r="AO39" s="62">
        <f t="shared" si="36"/>
        <v>301.02979240961452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8.6642285912801569</v>
      </c>
      <c r="AW39" s="23">
        <f>EXP(-LN(2)/2)*AW38+(1-EXP(-LN(2)/2))/(LN(2)/2)*AQ39*AT39*VLOOKUP('Données projet'!$B$10,Paramètres!$A$1:$I$89,3,0)*0.475*44/12</f>
        <v>2.0886537756384613</v>
      </c>
      <c r="AX39" s="23">
        <f t="shared" si="6"/>
        <v>10.752882366918618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22.82714285714286</v>
      </c>
      <c r="BD39" s="13">
        <f>IF('Données projet'!$A$88&gt;35,BD38+BC39-BL38,IF(A39&lt;'Données projet'!$A$88,$BA$205^A39,IF(A39='Données projet'!$A$88,'Données projet'!$B$88,BD38+BC39-BL38)))</f>
        <v>313.26714285714286</v>
      </c>
      <c r="BE39" s="14">
        <f>BD39*VLOOKUP('Données projet'!$B$11,Paramètres!$A$1:$I$89,3,0)*VLOOKUP('Données projet'!$B$11,Paramètres!$A$1:$I$89,5,0)</f>
        <v>175.11633285714288</v>
      </c>
      <c r="BF39" s="14">
        <f t="shared" si="37"/>
        <v>44.233926946721667</v>
      </c>
      <c r="BG39" s="22">
        <f t="shared" si="7"/>
        <v>382.03503582506414</v>
      </c>
      <c r="BH39" s="62">
        <f t="shared" si="8"/>
        <v>649.0050750085561</v>
      </c>
      <c r="BI39" s="62">
        <f ca="1">AVERAGE(OFFSET($BH$3,0,0,'Données projet'!$E$11+1,1))-AVERAGE(OFFSET($H$3,0,0,'Données projet'!$E$11+1,1))</f>
        <v>381.71417599784968</v>
      </c>
      <c r="BJ39" s="62">
        <f t="shared" si="38"/>
        <v>350.49230135197979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28.700524259872132</v>
      </c>
      <c r="BQ39" s="23">
        <f>EXP(-LN(2)/25)*BQ38+(1-EXP(-LN(2)/25))/(LN(2)/25)*Calculateur!BL39*Calculateur!BN39*VLOOKUP('Données projet'!$B$11,Paramètres!$A$1:$I$89,3,0)*0.475*44/12</f>
        <v>23.799449617074192</v>
      </c>
      <c r="BR39" s="23">
        <f>EXP(-LN(2)/2)*BR38+(1-EXP(-LN(2)/2))/(LN(2)/2)*BL39*BO39*VLOOKUP('Données projet'!$B$11,Paramètres!$A$1:$I$89,3,0)*0.475*44/12</f>
        <v>8.673803362614942</v>
      </c>
      <c r="BS39" s="24">
        <f t="shared" si="9"/>
        <v>61.173777239561268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6.4</v>
      </c>
      <c r="BY39" s="13">
        <f>IF('Données projet'!$A$114&gt;35,BY38+BX39-CG38,IF(A39&lt;'Données projet'!$A$114,$BV$205^A39,IF(A39='Données projet'!$A$114,'Données projet'!$B$114,BY38+BX39-CG38)))</f>
        <v>221.40000000000003</v>
      </c>
      <c r="BZ39" s="14">
        <f>BY39*VLOOKUP('Données projet'!$B$12,Paramètres!$A$1:$I$89,3,0)*VLOOKUP('Données projet'!$B$12,Paramètres!$A$1:$I$89,5,0)</f>
        <v>120.88440000000003</v>
      </c>
      <c r="CA39" s="14">
        <f t="shared" si="39"/>
        <v>31.881182835365173</v>
      </c>
      <c r="CB39" s="22">
        <f t="shared" si="10"/>
        <v>266.06672343826102</v>
      </c>
      <c r="CC39" s="62">
        <f t="shared" si="11"/>
        <v>533.03676262175293</v>
      </c>
      <c r="CD39" s="62">
        <f ca="1">AVERAGE(OFFSET($CC$3,0,0,'Données projet'!$E$12+1,1))-AVERAGE(OFFSET($H$3,0,0,'Données projet'!$E$12+1,1))</f>
        <v>202.72043399839748</v>
      </c>
      <c r="CE39" s="62">
        <f t="shared" si="40"/>
        <v>295.50255983395789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4.9481796734366865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4.9481796734366865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12.4</v>
      </c>
      <c r="CT39" s="13">
        <f>IF('Données projet'!$A$140&gt;35,CT38+CS39-DB38,IF(A39&lt;'Données projet'!$A$140,$CQ$205^A39,IF(A39='Données projet'!$A$140,'Données projet'!$B$140,CT38+CS39-DB38)))</f>
        <v>185.40000000000009</v>
      </c>
      <c r="CU39" s="18">
        <f>CT39*VLOOKUP('Données projet'!$B$13,Paramètres!$A$1:$I$89,3,0)*VLOOKUP('Données projet'!$B$13,Paramètres!$A$1:$I$89,5,0)</f>
        <v>161.96544000000009</v>
      </c>
      <c r="CV39" s="14">
        <f t="shared" si="41"/>
        <v>41.285510388923619</v>
      </c>
      <c r="CW39" s="22">
        <f t="shared" si="13"/>
        <v>353.99540526070876</v>
      </c>
      <c r="CX39" s="62">
        <f t="shared" si="14"/>
        <v>620.96544444420067</v>
      </c>
      <c r="CY39" s="62">
        <f ca="1">AVERAGE(OFFSET($CX$3,0,0,'Données projet'!$E$13+1,1))-AVERAGE(OFFSET($H$3,0,0,'Données projet'!$E$13+1,1))</f>
        <v>297.56177871222496</v>
      </c>
      <c r="CZ39" s="62">
        <f t="shared" si="42"/>
        <v>421.5717731815397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28.652430654036252</v>
      </c>
      <c r="DH39" s="23">
        <f>EXP(-LN(2)/2)*DH38+(1-EXP(-LN(2)/2))/(LN(2)/2)*DB39*DE39*VLOOKUP('Données projet'!$B$13,Paramètres!$A$1:$I$89,3,0)*0.475*44/12</f>
        <v>2.0357499106477537</v>
      </c>
      <c r="DI39" s="24">
        <f t="shared" si="15"/>
        <v>30.688180564684004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21.6</v>
      </c>
      <c r="DO39" s="13">
        <f>IF('Données projet'!$A$166&gt;35,DO38+DN39-DW38,IF(A39&lt;'Données projet'!$A$166,$DL$205^A39,IF(A39='Données projet'!$A$166,'Données projet'!$B$166,DO38+DN39-DW38)))</f>
        <v>393.60000000000008</v>
      </c>
      <c r="DP39" s="18">
        <f>DO39*VLOOKUP('Données projet'!$B$14,Paramètres!$A$1:$I$89,3,0)*VLOOKUP('Données projet'!$B$14,Paramètres!$A$1:$I$89,5,0)</f>
        <v>288.58752000000004</v>
      </c>
      <c r="DQ39" s="14">
        <f t="shared" si="43"/>
        <v>68.778595743102784</v>
      </c>
      <c r="DR39" s="22">
        <f t="shared" si="16"/>
        <v>622.41265158590397</v>
      </c>
      <c r="DS39" s="62">
        <f t="shared" si="17"/>
        <v>889.38269076939582</v>
      </c>
      <c r="DT39" s="62">
        <f ca="1">AVERAGE(OFFSET($DS$3,0,0,'Données projet'!$E$14+1,1))-AVERAGE(OFFSET($H$3,0,0,'Données projet'!$E$14+1,1))</f>
        <v>667.0152731006724</v>
      </c>
      <c r="DU39" s="62">
        <f t="shared" si="44"/>
        <v>567.40780872008088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19.782266903850029</v>
      </c>
      <c r="EC39" s="23">
        <f>EXP(-LN(2)/2)*EC38+(1-EXP(-LN(2)/2))/(LN(2)/2)*DW39*DZ39*VLOOKUP('Données projet'!$B$14,Paramètres!$A$1:$I$89,3,0)*0.475*44/12</f>
        <v>1.8539231922579034</v>
      </c>
      <c r="ED39" s="24">
        <f t="shared" si="18"/>
        <v>21.636190096107931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125.92944000000006</v>
      </c>
      <c r="EL39" s="14">
        <f t="shared" si="45"/>
        <v>33.054038034052077</v>
      </c>
      <c r="EM39" s="22">
        <f t="shared" si="19"/>
        <v>276.89622424264081</v>
      </c>
      <c r="EN39" s="62">
        <f t="shared" si="20"/>
        <v>543.86626342613272</v>
      </c>
      <c r="EO39" s="62">
        <f ca="1">AVERAGE(OFFSET($EN$3,0,0,'Données projet'!$E$15+1,1))-AVERAGE(OFFSET($H$3,0,0,'Données projet'!$E$15+1,1))</f>
        <v>454.99849419289757</v>
      </c>
      <c r="EP39" s="62">
        <f t="shared" si="46"/>
        <v>288.86643267991928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62.810010686406883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2.7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8.2250999999999976</v>
      </c>
      <c r="D40" s="12">
        <f t="shared" si="32"/>
        <v>2.9659977517648599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29.021855310423412</v>
      </c>
      <c r="H40" s="70">
        <f t="shared" si="1"/>
        <v>236.55782858432383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548.63398507178772</v>
      </c>
      <c r="S40" s="62">
        <f ca="1">AVERAGE(OFFSET($R$3,0,0,'Données projet'!$E$9+1,1))-AVERAGE(OFFSET($H$3,0,0,'Données projet'!$E$9+1,1))</f>
        <v>427.57091071251745</v>
      </c>
      <c r="T40" s="62">
        <f t="shared" si="34"/>
        <v>272.62827206514726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581.71069155114878</v>
      </c>
      <c r="AN40" s="62">
        <f ca="1">AVERAGE(OFFSET($AM$3,0,0,'Données projet'!$E$10+1,1))-AVERAGE(OFFSET($H$3,0,0,'Données projet'!$E$10+1,1))</f>
        <v>475.54515523869958</v>
      </c>
      <c r="AO40" s="62">
        <f t="shared" si="36"/>
        <v>301.02979240961452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8.427304804819622</v>
      </c>
      <c r="AW40" s="23">
        <f>EXP(-LN(2)/2)*AW39+(1-EXP(-LN(2)/2))/(LN(2)/2)*AQ40*AT40*VLOOKUP('Données projet'!$B$10,Paramètres!$A$1:$I$89,3,0)*0.475*44/12</f>
        <v>1.4769012483048418</v>
      </c>
      <c r="AX40" s="23">
        <f t="shared" si="6"/>
        <v>9.9042060531244633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22.82714285714286</v>
      </c>
      <c r="BD40" s="13">
        <f>IF('Données projet'!$A$88&gt;35,BD39+BC40-BL39,IF(A40&lt;'Données projet'!$A$88,$BA$205^A40,IF(A40='Données projet'!$A$88,'Données projet'!$B$88,BD39+BC40-BL39)))</f>
        <v>336.09428571428572</v>
      </c>
      <c r="BE40" s="14">
        <f>BD40*VLOOKUP('Données projet'!$B$11,Paramètres!$A$1:$I$89,3,0)*VLOOKUP('Données projet'!$B$11,Paramètres!$A$1:$I$89,5,0)</f>
        <v>187.87670571428572</v>
      </c>
      <c r="BF40" s="14">
        <f t="shared" si="37"/>
        <v>47.070216037627915</v>
      </c>
      <c r="BG40" s="22">
        <f t="shared" si="7"/>
        <v>409.19922205124954</v>
      </c>
      <c r="BH40" s="62">
        <f t="shared" si="8"/>
        <v>676.62660544874529</v>
      </c>
      <c r="BI40" s="62">
        <f ca="1">AVERAGE(OFFSET($BH$3,0,0,'Données projet'!$E$11+1,1))-AVERAGE(OFFSET($H$3,0,0,'Données projet'!$E$11+1,1))</f>
        <v>381.71417599784968</v>
      </c>
      <c r="BJ40" s="62">
        <f t="shared" si="38"/>
        <v>350.49230135197979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28.137724484727304</v>
      </c>
      <c r="BQ40" s="23">
        <f>EXP(-LN(2)/25)*BQ39+(1-EXP(-LN(2)/25))/(LN(2)/25)*Calculateur!BL40*Calculateur!BN40*VLOOKUP('Données projet'!$B$11,Paramètres!$A$1:$I$89,3,0)*0.475*44/12</f>
        <v>23.148652415736638</v>
      </c>
      <c r="BR40" s="23">
        <f>EXP(-LN(2)/2)*BR39+(1-EXP(-LN(2)/2))/(LN(2)/2)*BL40*BO40*VLOOKUP('Données projet'!$B$11,Paramètres!$A$1:$I$89,3,0)*0.475*44/12</f>
        <v>6.1333051763837041</v>
      </c>
      <c r="BS40" s="24">
        <f t="shared" si="9"/>
        <v>57.41968207684765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6.4</v>
      </c>
      <c r="BY40" s="13">
        <f>IF('Données projet'!$A$114&gt;35,BY39+BX40-CG39,IF(A40&lt;'Données projet'!$A$114,$BV$205^A40,IF(A40='Données projet'!$A$114,'Données projet'!$B$114,BY39+BX40-CG39)))</f>
        <v>227.80000000000004</v>
      </c>
      <c r="BZ40" s="14">
        <f>BY40*VLOOKUP('Données projet'!$B$12,Paramètres!$A$1:$I$89,3,0)*VLOOKUP('Données projet'!$B$12,Paramètres!$A$1:$I$89,5,0)</f>
        <v>124.37880000000003</v>
      </c>
      <c r="CA40" s="14">
        <f t="shared" si="39"/>
        <v>32.69414246460255</v>
      </c>
      <c r="CB40" s="22">
        <f t="shared" si="10"/>
        <v>273.56870812584953</v>
      </c>
      <c r="CC40" s="62">
        <f t="shared" si="11"/>
        <v>540.99609152334529</v>
      </c>
      <c r="CD40" s="62">
        <f ca="1">AVERAGE(OFFSET($CC$3,0,0,'Données projet'!$E$12+1,1))-AVERAGE(OFFSET($H$3,0,0,'Données projet'!$E$12+1,1))</f>
        <v>202.72043399839748</v>
      </c>
      <c r="CE40" s="62">
        <f t="shared" si="40"/>
        <v>295.50255983395789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4.8128714400531001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4.8128714400531001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12.4</v>
      </c>
      <c r="CT40" s="13">
        <f>IF('Données projet'!$A$140&gt;35,CT39+CS40-DB39,IF(A40&lt;'Données projet'!$A$140,$CQ$205^A40,IF(A40='Données projet'!$A$140,'Données projet'!$B$140,CT39+CS40-DB39)))</f>
        <v>197.8000000000001</v>
      </c>
      <c r="CU40" s="18">
        <f>CT40*VLOOKUP('Données projet'!$B$13,Paramètres!$A$1:$I$89,3,0)*VLOOKUP('Données projet'!$B$13,Paramètres!$A$1:$I$89,5,0)</f>
        <v>172.79808000000011</v>
      </c>
      <c r="CV40" s="14">
        <f t="shared" si="41"/>
        <v>43.716103757502459</v>
      </c>
      <c r="CW40" s="22">
        <f t="shared" si="13"/>
        <v>377.09553671098365</v>
      </c>
      <c r="CX40" s="62">
        <f t="shared" si="14"/>
        <v>644.52292010847941</v>
      </c>
      <c r="CY40" s="62">
        <f ca="1">AVERAGE(OFFSET($CX$3,0,0,'Données projet'!$E$13+1,1))-AVERAGE(OFFSET($H$3,0,0,'Données projet'!$E$13+1,1))</f>
        <v>297.56177871222496</v>
      </c>
      <c r="CZ40" s="62">
        <f t="shared" si="42"/>
        <v>421.5717731815397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27.868928431035787</v>
      </c>
      <c r="DH40" s="23">
        <f>EXP(-LN(2)/2)*DH39+(1-EXP(-LN(2)/2))/(LN(2)/2)*DB40*DE40*VLOOKUP('Données projet'!$B$13,Paramètres!$A$1:$I$89,3,0)*0.475*44/12</f>
        <v>1.4394925666189349</v>
      </c>
      <c r="DI40" s="24">
        <f t="shared" si="15"/>
        <v>29.308420997654721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21.6</v>
      </c>
      <c r="DO40" s="13">
        <f>IF('Données projet'!$A$166&gt;35,DO39+DN40-DW39,IF(A40&lt;'Données projet'!$A$166,$DL$205^A40,IF(A40='Données projet'!$A$166,'Données projet'!$B$166,DO39+DN40-DW39)))</f>
        <v>415.2000000000001</v>
      </c>
      <c r="DP40" s="18">
        <f>DO40*VLOOKUP('Données projet'!$B$14,Paramètres!$A$1:$I$89,3,0)*VLOOKUP('Données projet'!$B$14,Paramètres!$A$1:$I$89,5,0)</f>
        <v>304.42464000000007</v>
      </c>
      <c r="DQ40" s="14">
        <f t="shared" si="43"/>
        <v>72.103246096672578</v>
      </c>
      <c r="DR40" s="22">
        <f t="shared" si="16"/>
        <v>655.78606828503825</v>
      </c>
      <c r="DS40" s="62">
        <f t="shared" si="17"/>
        <v>923.21345168253401</v>
      </c>
      <c r="DT40" s="62">
        <f ca="1">AVERAGE(OFFSET($DS$3,0,0,'Données projet'!$E$14+1,1))-AVERAGE(OFFSET($H$3,0,0,'Données projet'!$E$14+1,1))</f>
        <v>667.0152731006724</v>
      </c>
      <c r="DU40" s="62">
        <f t="shared" si="44"/>
        <v>567.40780872008088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19.241319775060045</v>
      </c>
      <c r="EC40" s="23">
        <f>EXP(-LN(2)/2)*EC39+(1-EXP(-LN(2)/2))/(LN(2)/2)*DW40*DZ40*VLOOKUP('Données projet'!$B$14,Paramètres!$A$1:$I$89,3,0)*0.475*44/12</f>
        <v>1.3109216610445751</v>
      </c>
      <c r="ED40" s="24">
        <f t="shared" si="18"/>
        <v>20.55224143610462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136.76208000000003</v>
      </c>
      <c r="EL40" s="14">
        <f t="shared" si="45"/>
        <v>35.554236342883392</v>
      </c>
      <c r="EM40" s="22">
        <f t="shared" si="19"/>
        <v>300.11758429718861</v>
      </c>
      <c r="EN40" s="62">
        <f t="shared" si="20"/>
        <v>567.54496769468437</v>
      </c>
      <c r="EO40" s="62">
        <f ca="1">AVERAGE(OFFSET($EN$3,0,0,'Données projet'!$E$15+1,1))-AVERAGE(OFFSET($H$3,0,0,'Données projet'!$E$15+1,1))</f>
        <v>454.99849419289757</v>
      </c>
      <c r="EP40" s="62">
        <f t="shared" si="46"/>
        <v>288.86643267991928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62.93474092658974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2.7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8.4473999999999982</v>
      </c>
      <c r="D41" s="12">
        <f t="shared" si="32"/>
        <v>3.0367186737670733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29.587334282708387</v>
      </c>
      <c r="H41" s="70">
        <f t="shared" si="1"/>
        <v>237.068173356811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570.80063099557674</v>
      </c>
      <c r="S41" s="62">
        <f ca="1">AVERAGE(OFFSET($R$3,0,0,'Données projet'!$E$9+1,1))-AVERAGE(OFFSET($H$3,0,0,'Données projet'!$E$9+1,1))</f>
        <v>427.57091071251745</v>
      </c>
      <c r="T41" s="62">
        <f t="shared" si="34"/>
        <v>272.62827206514726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606.43832215284169</v>
      </c>
      <c r="AN41" s="62">
        <f ca="1">AVERAGE(OFFSET($AM$3,0,0,'Données projet'!$E$10+1,1))-AVERAGE(OFFSET($H$3,0,0,'Données projet'!$E$10+1,1))</f>
        <v>475.54515523869958</v>
      </c>
      <c r="AO41" s="62">
        <f t="shared" si="36"/>
        <v>301.02979240961452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8.1968597117591298</v>
      </c>
      <c r="AW41" s="23">
        <f>EXP(-LN(2)/2)*AW40+(1-EXP(-LN(2)/2))/(LN(2)/2)*AQ41*AT41*VLOOKUP('Données projet'!$B$10,Paramètres!$A$1:$I$89,3,0)*0.475*44/12</f>
        <v>1.0443268878192307</v>
      </c>
      <c r="AX41" s="23">
        <f t="shared" si="6"/>
        <v>9.2411865995783611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22.82714285714286</v>
      </c>
      <c r="BD41" s="13">
        <f>IF('Données projet'!$A$88&gt;35,BD40+BC41-BL40,IF(A41&lt;'Données projet'!$A$88,$BA$205^A41,IF(A41='Données projet'!$A$88,'Données projet'!$B$88,BD40+BC41-BL40)))</f>
        <v>358.92142857142858</v>
      </c>
      <c r="BE41" s="14">
        <f>BD41*VLOOKUP('Données projet'!$B$11,Paramètres!$A$1:$I$89,3,0)*VLOOKUP('Données projet'!$B$11,Paramètres!$A$1:$I$89,5,0)</f>
        <v>200.63707857142856</v>
      </c>
      <c r="BF41" s="14">
        <f t="shared" si="37"/>
        <v>49.884152387105956</v>
      </c>
      <c r="BG41" s="22">
        <f t="shared" si="7"/>
        <v>436.32447725278098</v>
      </c>
      <c r="BH41" s="62">
        <f t="shared" si="8"/>
        <v>704.20127096463602</v>
      </c>
      <c r="BI41" s="62">
        <f ca="1">AVERAGE(OFFSET($BH$3,0,0,'Données projet'!$E$11+1,1))-AVERAGE(OFFSET($H$3,0,0,'Données projet'!$E$11+1,1))</f>
        <v>381.71417599784968</v>
      </c>
      <c r="BJ41" s="62">
        <f t="shared" si="38"/>
        <v>350.49230135197979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27.5859608698991</v>
      </c>
      <c r="BQ41" s="23">
        <f>EXP(-LN(2)/25)*BQ40+(1-EXP(-LN(2)/25))/(LN(2)/25)*Calculateur!BL41*Calculateur!BN41*VLOOKUP('Données projet'!$B$11,Paramètres!$A$1:$I$89,3,0)*0.475*44/12</f>
        <v>22.515651298093598</v>
      </c>
      <c r="BR41" s="23">
        <f>EXP(-LN(2)/2)*BR40+(1-EXP(-LN(2)/2))/(LN(2)/2)*BL41*BO41*VLOOKUP('Données projet'!$B$11,Paramètres!$A$1:$I$89,3,0)*0.475*44/12</f>
        <v>4.336901681307471</v>
      </c>
      <c r="BS41" s="24">
        <f t="shared" si="9"/>
        <v>54.438513849300172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6.4</v>
      </c>
      <c r="BY41" s="13">
        <f>IF('Données projet'!$A$114&gt;35,BY40+BX41-CG40,IF(A41&lt;'Données projet'!$A$114,$BV$205^A41,IF(A41='Données projet'!$A$114,'Données projet'!$B$114,BY40+BX41-CG40)))</f>
        <v>234.20000000000005</v>
      </c>
      <c r="BZ41" s="14">
        <f>BY41*VLOOKUP('Données projet'!$B$12,Paramètres!$A$1:$I$89,3,0)*VLOOKUP('Données projet'!$B$12,Paramètres!$A$1:$I$89,5,0)</f>
        <v>127.87320000000003</v>
      </c>
      <c r="CA41" s="14">
        <f t="shared" si="39"/>
        <v>33.504447496471656</v>
      </c>
      <c r="CB41" s="22">
        <f t="shared" si="10"/>
        <v>281.06606938968815</v>
      </c>
      <c r="CC41" s="62">
        <f t="shared" si="11"/>
        <v>548.94286310154325</v>
      </c>
      <c r="CD41" s="62">
        <f ca="1">AVERAGE(OFFSET($CC$3,0,0,'Données projet'!$E$12+1,1))-AVERAGE(OFFSET($H$3,0,0,'Données projet'!$E$12+1,1))</f>
        <v>202.72043399839748</v>
      </c>
      <c r="CE41" s="62">
        <f t="shared" si="40"/>
        <v>295.50255983395789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4.6812632174269391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4.6812632174269391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12.4</v>
      </c>
      <c r="CT41" s="13">
        <f>IF('Données projet'!$A$140&gt;35,CT40+CS41-DB40,IF(A41&lt;'Données projet'!$A$140,$CQ$205^A41,IF(A41='Données projet'!$A$140,'Données projet'!$B$140,CT40+CS41-DB40)))</f>
        <v>210.2000000000001</v>
      </c>
      <c r="CU41" s="18">
        <f>CT41*VLOOKUP('Données projet'!$B$13,Paramètres!$A$1:$I$89,3,0)*VLOOKUP('Données projet'!$B$13,Paramètres!$A$1:$I$89,5,0)</f>
        <v>183.63072000000011</v>
      </c>
      <c r="CV41" s="14">
        <f t="shared" si="41"/>
        <v>46.129013251634483</v>
      </c>
      <c r="CW41" s="22">
        <f t="shared" si="13"/>
        <v>400.16486874659694</v>
      </c>
      <c r="CX41" s="62">
        <f t="shared" si="14"/>
        <v>668.04166245845204</v>
      </c>
      <c r="CY41" s="62">
        <f ca="1">AVERAGE(OFFSET($CX$3,0,0,'Données projet'!$E$13+1,1))-AVERAGE(OFFSET($H$3,0,0,'Données projet'!$E$13+1,1))</f>
        <v>297.56177871222496</v>
      </c>
      <c r="CZ41" s="62">
        <f t="shared" si="42"/>
        <v>421.5717731815397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27.106851117525864</v>
      </c>
      <c r="DH41" s="23">
        <f>EXP(-LN(2)/2)*DH40+(1-EXP(-LN(2)/2))/(LN(2)/2)*DB41*DE41*VLOOKUP('Données projet'!$B$13,Paramètres!$A$1:$I$89,3,0)*0.475*44/12</f>
        <v>1.0178749553238768</v>
      </c>
      <c r="DI41" s="24">
        <f t="shared" si="15"/>
        <v>28.124726072849739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21.6</v>
      </c>
      <c r="DO41" s="13">
        <f>IF('Données projet'!$A$166&gt;35,DO40+DN41-DW40,IF(A41&lt;'Données projet'!$A$166,$DL$205^A41,IF(A41='Données projet'!$A$166,'Données projet'!$B$166,DO40+DN41-DW40)))</f>
        <v>436.80000000000013</v>
      </c>
      <c r="DP41" s="18">
        <f>DO41*VLOOKUP('Données projet'!$B$14,Paramètres!$A$1:$I$89,3,0)*VLOOKUP('Données projet'!$B$14,Paramètres!$A$1:$I$89,5,0)</f>
        <v>320.26176000000009</v>
      </c>
      <c r="DQ41" s="14">
        <f t="shared" si="43"/>
        <v>75.407815329361952</v>
      </c>
      <c r="DR41" s="22">
        <f t="shared" si="16"/>
        <v>689.12451036530547</v>
      </c>
      <c r="DS41" s="62">
        <f t="shared" si="17"/>
        <v>957.00130407716051</v>
      </c>
      <c r="DT41" s="62">
        <f ca="1">AVERAGE(OFFSET($DS$3,0,0,'Données projet'!$E$14+1,1))-AVERAGE(OFFSET($H$3,0,0,'Données projet'!$E$14+1,1))</f>
        <v>667.0152731006724</v>
      </c>
      <c r="DU41" s="62">
        <f t="shared" si="44"/>
        <v>567.40780872008088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18.715164873953999</v>
      </c>
      <c r="EC41" s="23">
        <f>EXP(-LN(2)/2)*EC40+(1-EXP(-LN(2)/2))/(LN(2)/2)*DW41*DZ41*VLOOKUP('Données projet'!$B$14,Paramètres!$A$1:$I$89,3,0)*0.475*44/12</f>
        <v>0.92696159612895179</v>
      </c>
      <c r="ED41" s="24">
        <f t="shared" si="18"/>
        <v>19.64212647008295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147.59472000000002</v>
      </c>
      <c r="EL41" s="14">
        <f t="shared" si="45"/>
        <v>38.031463918082679</v>
      </c>
      <c r="EM41" s="22">
        <f t="shared" si="19"/>
        <v>323.29893699066071</v>
      </c>
      <c r="EN41" s="62">
        <f t="shared" si="20"/>
        <v>591.17573070251569</v>
      </c>
      <c r="EO41" s="62">
        <f ca="1">AVERAGE(OFFSET($EN$3,0,0,'Données projet'!$E$15+1,1))-AVERAGE(OFFSET($H$3,0,0,'Données projet'!$E$15+1,1))</f>
        <v>454.99849419289757</v>
      </c>
      <c r="EP41" s="62">
        <f t="shared" si="46"/>
        <v>288.86643267991928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63.057307375960463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2.7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8.6696999999999989</v>
      </c>
      <c r="D42" s="12">
        <f t="shared" si="32"/>
        <v>3.107223271479866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30.152395787066403</v>
      </c>
      <c r="H42" s="70">
        <f t="shared" si="1"/>
        <v>237.57814136449412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592.92484584025624</v>
      </c>
      <c r="S42" s="62">
        <f ca="1">AVERAGE(OFFSET($R$3,0,0,'Données projet'!$E$9+1,1))-AVERAGE(OFFSET($H$3,0,0,'Données projet'!$E$9+1,1))</f>
        <v>427.57091071251745</v>
      </c>
      <c r="T42" s="62">
        <f t="shared" si="34"/>
        <v>272.62827206514726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631.11985301871346</v>
      </c>
      <c r="AN42" s="62">
        <f ca="1">AVERAGE(OFFSET($AM$3,0,0,'Données projet'!$E$10+1,1))-AVERAGE(OFFSET($H$3,0,0,'Données projet'!$E$10+1,1))</f>
        <v>475.54515523869958</v>
      </c>
      <c r="AO42" s="62">
        <f t="shared" si="36"/>
        <v>301.02979240961452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7.9727161518869583</v>
      </c>
      <c r="AW42" s="23">
        <f>EXP(-LN(2)/2)*AW41+(1-EXP(-LN(2)/2))/(LN(2)/2)*AQ42*AT42*VLOOKUP('Données projet'!$B$10,Paramètres!$A$1:$I$89,3,0)*0.475*44/12</f>
        <v>0.73845062415242091</v>
      </c>
      <c r="AX42" s="23">
        <f t="shared" si="6"/>
        <v>8.7111667760393789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22.82714285714286</v>
      </c>
      <c r="BD42" s="13">
        <f>IF('Données projet'!$A$88&gt;35,BD41+BC42-BL41,IF(A42&lt;'Données projet'!$A$88,$BA$205^A42,IF(A42='Données projet'!$A$88,'Données projet'!$B$88,BD41+BC42-BL41)))</f>
        <v>381.74857142857144</v>
      </c>
      <c r="BE42" s="14">
        <f>BD42*VLOOKUP('Données projet'!$B$11,Paramètres!$A$1:$I$89,3,0)*VLOOKUP('Données projet'!$B$11,Paramètres!$A$1:$I$89,5,0)</f>
        <v>213.39745142857146</v>
      </c>
      <c r="BF42" s="14">
        <f t="shared" si="37"/>
        <v>52.67731943158536</v>
      </c>
      <c r="BG42" s="22">
        <f t="shared" si="7"/>
        <v>463.41355924810642</v>
      </c>
      <c r="BH42" s="62">
        <f t="shared" si="8"/>
        <v>731.73196701009761</v>
      </c>
      <c r="BI42" s="62">
        <f ca="1">AVERAGE(OFFSET($BH$3,0,0,'Données projet'!$E$11+1,1))-AVERAGE(OFFSET($H$3,0,0,'Données projet'!$E$11+1,1))</f>
        <v>381.71417599784968</v>
      </c>
      <c r="BJ42" s="62">
        <f t="shared" si="38"/>
        <v>350.49230135197979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27.045017003015101</v>
      </c>
      <c r="BQ42" s="23">
        <f>EXP(-LN(2)/25)*BQ41+(1-EXP(-LN(2)/25))/(LN(2)/25)*Calculateur!BL42*Calculateur!BN42*VLOOKUP('Données projet'!$B$11,Paramètres!$A$1:$I$89,3,0)*0.475*44/12</f>
        <v>21.899959629300586</v>
      </c>
      <c r="BR42" s="23">
        <f>EXP(-LN(2)/2)*BR41+(1-EXP(-LN(2)/2))/(LN(2)/2)*BL42*BO42*VLOOKUP('Données projet'!$B$11,Paramètres!$A$1:$I$89,3,0)*0.475*44/12</f>
        <v>3.066652588191852</v>
      </c>
      <c r="BS42" s="24">
        <f t="shared" si="9"/>
        <v>52.011629220507537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6.4</v>
      </c>
      <c r="BY42" s="13">
        <f>IF('Données projet'!$A$114&gt;35,BY41+BX42-CG41,IF(A42&lt;'Données projet'!$A$114,$BV$205^A42,IF(A42='Données projet'!$A$114,'Données projet'!$B$114,BY41+BX42-CG41)))</f>
        <v>240.60000000000005</v>
      </c>
      <c r="BZ42" s="14">
        <f>BY42*VLOOKUP('Données projet'!$B$12,Paramètres!$A$1:$I$89,3,0)*VLOOKUP('Données projet'!$B$12,Paramètres!$A$1:$I$89,5,0)</f>
        <v>131.36760000000004</v>
      </c>
      <c r="CA42" s="14">
        <f t="shared" si="39"/>
        <v>34.31217880899456</v>
      </c>
      <c r="CB42" s="22">
        <f t="shared" si="10"/>
        <v>288.55894809233223</v>
      </c>
      <c r="CC42" s="62">
        <f t="shared" si="11"/>
        <v>556.87735585432347</v>
      </c>
      <c r="CD42" s="62">
        <f ca="1">AVERAGE(OFFSET($CC$3,0,0,'Données projet'!$E$12+1,1))-AVERAGE(OFFSET($H$3,0,0,'Données projet'!$E$12+1,1))</f>
        <v>202.72043399839748</v>
      </c>
      <c r="CE42" s="62">
        <f t="shared" si="40"/>
        <v>295.50255983395789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4.5532538285694661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4.5532538285694661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12.4</v>
      </c>
      <c r="CT42" s="13">
        <f>IF('Données projet'!$A$140&gt;35,CT41+CS42-DB41,IF(A42&lt;'Données projet'!$A$140,$CQ$205^A42,IF(A42='Données projet'!$A$140,'Données projet'!$B$140,CT41+CS42-DB41)))</f>
        <v>222.60000000000011</v>
      </c>
      <c r="CU42" s="18">
        <f>CT42*VLOOKUP('Données projet'!$B$13,Paramètres!$A$1:$I$89,3,0)*VLOOKUP('Données projet'!$B$13,Paramètres!$A$1:$I$89,5,0)</f>
        <v>194.46336000000014</v>
      </c>
      <c r="CV42" s="14">
        <f t="shared" si="41"/>
        <v>48.525400894162686</v>
      </c>
      <c r="CW42" s="22">
        <f t="shared" si="13"/>
        <v>423.20542522400024</v>
      </c>
      <c r="CX42" s="62">
        <f t="shared" si="14"/>
        <v>691.52383298599148</v>
      </c>
      <c r="CY42" s="62">
        <f ca="1">AVERAGE(OFFSET($CX$3,0,0,'Données projet'!$E$13+1,1))-AVERAGE(OFFSET($H$3,0,0,'Données projet'!$E$13+1,1))</f>
        <v>297.56177871222496</v>
      </c>
      <c r="CZ42" s="62">
        <f t="shared" si="42"/>
        <v>421.5717731815397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26.365612848229773</v>
      </c>
      <c r="DH42" s="23">
        <f>EXP(-LN(2)/2)*DH41+(1-EXP(-LN(2)/2))/(LN(2)/2)*DB42*DE42*VLOOKUP('Données projet'!$B$13,Paramètres!$A$1:$I$89,3,0)*0.475*44/12</f>
        <v>0.71974628330946744</v>
      </c>
      <c r="DI42" s="24">
        <f t="shared" si="15"/>
        <v>27.085359131539242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21.6</v>
      </c>
      <c r="DO42" s="13">
        <f>IF('Données projet'!$A$166&gt;35,DO41+DN42-DW41,IF(A42&lt;'Données projet'!$A$166,$DL$205^A42,IF(A42='Données projet'!$A$166,'Données projet'!$B$166,DO41+DN42-DW41)))</f>
        <v>458.40000000000015</v>
      </c>
      <c r="DP42" s="18">
        <f>DO42*VLOOKUP('Données projet'!$B$14,Paramètres!$A$1:$I$89,3,0)*VLOOKUP('Données projet'!$B$14,Paramètres!$A$1:$I$89,5,0)</f>
        <v>336.09888000000012</v>
      </c>
      <c r="DQ42" s="14">
        <f t="shared" si="43"/>
        <v>78.69340979022968</v>
      </c>
      <c r="DR42" s="22">
        <f t="shared" si="16"/>
        <v>722.4299047179835</v>
      </c>
      <c r="DS42" s="62">
        <f t="shared" si="17"/>
        <v>990.74831247997463</v>
      </c>
      <c r="DT42" s="62">
        <f ca="1">AVERAGE(OFFSET($DS$3,0,0,'Données projet'!$E$14+1,1))-AVERAGE(OFFSET($H$3,0,0,'Données projet'!$E$14+1,1))</f>
        <v>667.0152731006724</v>
      </c>
      <c r="DU42" s="62">
        <f t="shared" si="44"/>
        <v>567.40780872008088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18.20339770628798</v>
      </c>
      <c r="EC42" s="23">
        <f>EXP(-LN(2)/2)*EC41+(1-EXP(-LN(2)/2))/(LN(2)/2)*DW42*DZ42*VLOOKUP('Données projet'!$B$14,Paramètres!$A$1:$I$89,3,0)*0.475*44/12</f>
        <v>0.65546083052228765</v>
      </c>
      <c r="ED42" s="24">
        <f t="shared" si="18"/>
        <v>18.858858536810267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158.42736000000002</v>
      </c>
      <c r="EL42" s="14">
        <f t="shared" si="45"/>
        <v>40.487598405868248</v>
      </c>
      <c r="EM42" s="22">
        <f t="shared" si="19"/>
        <v>346.4435525568872</v>
      </c>
      <c r="EN42" s="62">
        <f t="shared" si="20"/>
        <v>614.76196031887844</v>
      </c>
      <c r="EO42" s="62">
        <f ca="1">AVERAGE(OFFSET($EN$3,0,0,'Données projet'!$E$15+1,1))-AVERAGE(OFFSET($H$3,0,0,'Données projet'!$E$15+1,1))</f>
        <v>454.99849419289757</v>
      </c>
      <c r="EP42" s="62">
        <f t="shared" si="46"/>
        <v>288.86643267991928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63.177747571452144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2.7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43" s="12">
        <f t="shared" si="32"/>
        <v>3.177517729464268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30.717051758615256</v>
      </c>
      <c r="H43" s="70">
        <f t="shared" si="1"/>
        <v>238.08774337881695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615.00940246102891</v>
      </c>
      <c r="S43" s="62">
        <f ca="1">AVERAGE(OFFSET($R$3,0,0,'Données projet'!$E$9+1,1))-AVERAGE(OFFSET($H$3,0,0,'Données projet'!$E$9+1,1))</f>
        <v>427.57091071251745</v>
      </c>
      <c r="T43" s="62">
        <f t="shared" si="34"/>
        <v>272.62827206514726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655.7583363897902</v>
      </c>
      <c r="AN43" s="62">
        <f ca="1">AVERAGE(OFFSET($AM$3,0,0,'Données projet'!$E$10+1,1))-AVERAGE(OFFSET($H$3,0,0,'Données projet'!$E$10+1,1))</f>
        <v>475.54515523869958</v>
      </c>
      <c r="AO43" s="62">
        <f t="shared" si="36"/>
        <v>301.02979240961452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7.7547018094466891</v>
      </c>
      <c r="AW43" s="23">
        <f>EXP(-LN(2)/2)*AW42+(1-EXP(-LN(2)/2))/(LN(2)/2)*AQ43*AT43*VLOOKUP('Données projet'!$B$10,Paramètres!$A$1:$I$89,3,0)*0.475*44/12</f>
        <v>0.52216344390961533</v>
      </c>
      <c r="AX43" s="23">
        <f t="shared" si="6"/>
        <v>8.2768652533563039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22.82714285714286</v>
      </c>
      <c r="BD43" s="13">
        <f>IF('Données projet'!$A$88&gt;35,BD42+BC43-BL42,IF(A43&lt;'Données projet'!$A$88,$BA$205^A43,IF(A43='Données projet'!$A$88,'Données projet'!$B$88,BD42+BC43-BL42)))</f>
        <v>404.5757142857143</v>
      </c>
      <c r="BE43" s="14">
        <f>BD43*VLOOKUP('Données projet'!$B$11,Paramètres!$A$1:$I$89,3,0)*VLOOKUP('Données projet'!$B$11,Paramètres!$A$1:$I$89,5,0)</f>
        <v>226.1578242857143</v>
      </c>
      <c r="BF43" s="14">
        <f t="shared" si="37"/>
        <v>55.451100541643569</v>
      </c>
      <c r="BG43" s="22">
        <f t="shared" si="7"/>
        <v>490.46887740764834</v>
      </c>
      <c r="BH43" s="62">
        <f t="shared" si="8"/>
        <v>759.22123820330694</v>
      </c>
      <c r="BI43" s="62">
        <f ca="1">AVERAGE(OFFSET($BH$3,0,0,'Données projet'!$E$11+1,1))-AVERAGE(OFFSET($H$3,0,0,'Données projet'!$E$11+1,1))</f>
        <v>381.71417599784968</v>
      </c>
      <c r="BJ43" s="62">
        <f t="shared" si="38"/>
        <v>350.49230135197979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26.514680715417519</v>
      </c>
      <c r="BQ43" s="23">
        <f>EXP(-LN(2)/25)*BQ42+(1-EXP(-LN(2)/25))/(LN(2)/25)*Calculateur!BL43*Calculateur!BN43*VLOOKUP('Données projet'!$B$11,Paramètres!$A$1:$I$89,3,0)*0.475*44/12</f>
        <v>21.301104081568539</v>
      </c>
      <c r="BR43" s="23">
        <f>EXP(-LN(2)/2)*BR42+(1-EXP(-LN(2)/2))/(LN(2)/2)*BL43*BO43*VLOOKUP('Données projet'!$B$11,Paramètres!$A$1:$I$89,3,0)*0.475*44/12</f>
        <v>2.1684508406537355</v>
      </c>
      <c r="BS43" s="24">
        <f t="shared" si="9"/>
        <v>49.984235637639792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247</v>
      </c>
      <c r="BW43" s="13">
        <f>VLOOKUP(A43,'Données projet'!$A$113:$I$133,9,0)</f>
        <v>6.4</v>
      </c>
      <c r="BX43" s="13">
        <f t="array" ref="BX43">INDEX(BW:BW,MIN(IF(ISNUMBER(BW43:BW239),ROW(BW43:BW239),"")))</f>
        <v>6.4</v>
      </c>
      <c r="BY43" s="13">
        <f>IF('Données projet'!$A$114&gt;35,BY42+BX43-CG42,IF(A43&lt;'Données projet'!$A$114,$BV$205^A43,IF(A43='Données projet'!$A$114,'Données projet'!$B$114,BY42+BX43-CG42)))</f>
        <v>247.00000000000006</v>
      </c>
      <c r="BZ43" s="14">
        <f>BY43*VLOOKUP('Données projet'!$B$12,Paramètres!$A$1:$I$89,3,0)*VLOOKUP('Données projet'!$B$12,Paramètres!$A$1:$I$89,5,0)</f>
        <v>134.86200000000002</v>
      </c>
      <c r="CA43" s="14">
        <f t="shared" si="39"/>
        <v>35.11741273245844</v>
      </c>
      <c r="CB43" s="22">
        <f t="shared" si="10"/>
        <v>296.04747717569848</v>
      </c>
      <c r="CC43" s="62">
        <f t="shared" si="11"/>
        <v>564.79983797135696</v>
      </c>
      <c r="CD43" s="62">
        <f ca="1">AVERAGE(OFFSET($CC$3,0,0,'Données projet'!$E$12+1,1))-AVERAGE(OFFSET($H$3,0,0,'Données projet'!$E$12+1,1))</f>
        <v>202.72043399839748</v>
      </c>
      <c r="CE43" s="62">
        <f t="shared" si="40"/>
        <v>295.50255983395789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16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4.4287448631820219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4.4287448631820219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235</v>
      </c>
      <c r="CR43" s="13">
        <f>VLOOKUP(A43,'Données projet'!$A$139:$I$159,9,0)</f>
        <v>12.4</v>
      </c>
      <c r="CS43" s="13">
        <f t="array" ref="CS43">INDEX(CR:CR,MIN(IF(ISNUMBER(CR43:CR239),ROW(CR43:CR239),"")))</f>
        <v>12.4</v>
      </c>
      <c r="CT43" s="13">
        <f>IF('Données projet'!$A$140&gt;35,CT42+CS43-DB42,IF(A43&lt;'Données projet'!$A$140,$CQ$205^A43,IF(A43='Données projet'!$A$140,'Données projet'!$B$140,CT42+CS43-DB42)))</f>
        <v>235.00000000000011</v>
      </c>
      <c r="CU43" s="18">
        <f>CT43*VLOOKUP('Données projet'!$B$13,Paramètres!$A$1:$I$89,3,0)*VLOOKUP('Données projet'!$B$13,Paramètres!$A$1:$I$89,5,0)</f>
        <v>205.29600000000013</v>
      </c>
      <c r="CV43" s="14">
        <f t="shared" si="41"/>
        <v>50.906291934375396</v>
      </c>
      <c r="CW43" s="22">
        <f t="shared" si="13"/>
        <v>446.21899178570402</v>
      </c>
      <c r="CX43" s="62">
        <f t="shared" si="14"/>
        <v>714.97135258136257</v>
      </c>
      <c r="CY43" s="62">
        <f ca="1">AVERAGE(OFFSET($CX$3,0,0,'Données projet'!$E$13+1,1))-AVERAGE(OFFSET($H$3,0,0,'Données projet'!$E$13+1,1))</f>
        <v>297.56177871222496</v>
      </c>
      <c r="CZ43" s="62">
        <f t="shared" si="42"/>
        <v>421.5717731815397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25.644643778387611</v>
      </c>
      <c r="DH43" s="23">
        <f>EXP(-LN(2)/2)*DH42+(1-EXP(-LN(2)/2))/(LN(2)/2)*DB43*DE43*VLOOKUP('Données projet'!$B$13,Paramètres!$A$1:$I$89,3,0)*0.475*44/12</f>
        <v>0.50893747766193842</v>
      </c>
      <c r="DI43" s="24">
        <f t="shared" si="15"/>
        <v>26.153581256049549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480</v>
      </c>
      <c r="DM43" s="13">
        <f>VLOOKUP(A43,'Données projet'!$A$165:$I$185,9,0)</f>
        <v>21.6</v>
      </c>
      <c r="DN43" s="13">
        <f t="array" ref="DN43">INDEX(DM:DM,MIN(IF(ISNUMBER(DM43:DM239),ROW(DM43:DM239),"")))</f>
        <v>21.6</v>
      </c>
      <c r="DO43" s="13">
        <f>IF('Données projet'!$A$166&gt;35,DO42+DN43-DW42,IF(A43&lt;'Données projet'!$A$166,$DL$205^A43,IF(A43='Données projet'!$A$166,'Données projet'!$B$166,DO42+DN43-DW42)))</f>
        <v>480.00000000000017</v>
      </c>
      <c r="DP43" s="18">
        <f>DO43*VLOOKUP('Données projet'!$B$14,Paramètres!$A$1:$I$89,3,0)*VLOOKUP('Données projet'!$B$14,Paramètres!$A$1:$I$89,5,0)</f>
        <v>351.93600000000015</v>
      </c>
      <c r="DQ43" s="14">
        <f t="shared" si="43"/>
        <v>81.961025673167214</v>
      </c>
      <c r="DR43" s="22">
        <f t="shared" si="16"/>
        <v>755.70398638076642</v>
      </c>
      <c r="DS43" s="62">
        <f t="shared" si="17"/>
        <v>1024.456347176425</v>
      </c>
      <c r="DT43" s="62">
        <f ca="1">AVERAGE(OFFSET($DS$3,0,0,'Données projet'!$E$14+1,1))-AVERAGE(OFFSET($H$3,0,0,'Données projet'!$E$14+1,1))</f>
        <v>667.0152731006724</v>
      </c>
      <c r="DU43" s="62">
        <f t="shared" si="44"/>
        <v>567.40780872008088</v>
      </c>
      <c r="DV43" s="16">
        <f>IF(ISNA(VLOOKUP(A43,'Données projet'!$A$165:$I$185,3,0)),0,VLOOKUP(A43,'Données projet'!$A$165:$I$185,3,0))</f>
        <v>263</v>
      </c>
      <c r="DW43" s="16">
        <f>IF(ISNA(VLOOKUP(A43,'Données projet'!$A$165:$I$185,4,0)),0,VLOOKUP(A43,'Données projet'!$A$165:$I$185,4,0))</f>
        <v>40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17.705624838734455</v>
      </c>
      <c r="EC43" s="23">
        <f>EXP(-LN(2)/2)*EC42+(1-EXP(-LN(2)/2))/(LN(2)/2)*DW43*DZ43*VLOOKUP('Données projet'!$B$14,Paramètres!$A$1:$I$89,3,0)*0.475*44/12</f>
        <v>0.46348079806447601</v>
      </c>
      <c r="ED43" s="24">
        <f t="shared" si="18"/>
        <v>18.169105636798932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169.26000000000002</v>
      </c>
      <c r="EL43" s="14">
        <f t="shared" si="45"/>
        <v>42.924246146122272</v>
      </c>
      <c r="EM43" s="22">
        <f t="shared" si="19"/>
        <v>369.55422870449632</v>
      </c>
      <c r="EN43" s="62">
        <f t="shared" si="20"/>
        <v>638.30658950015481</v>
      </c>
      <c r="EO43" s="62">
        <f ca="1">AVERAGE(OFFSET($EN$3,0,0,'Données projet'!$E$15+1,1))-AVERAGE(OFFSET($H$3,0,0,'Données projet'!$E$15+1,1))</f>
        <v>454.99849419289757</v>
      </c>
      <c r="EP43" s="62">
        <f t="shared" si="46"/>
        <v>288.86643267991928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63.296098398815971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2.7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9.1143000000000001</v>
      </c>
      <c r="D44" s="12">
        <f t="shared" si="32"/>
        <v>3.2476079054291986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31.281313501705473</v>
      </c>
      <c r="H44" s="70">
        <f t="shared" si="1"/>
        <v>238.59698960195587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583.33526067127013</v>
      </c>
      <c r="S44" s="62">
        <f ca="1">AVERAGE(OFFSET($R$3,0,0,'Données projet'!$E$9+1,1))-AVERAGE(OFFSET($H$3,0,0,'Données projet'!$E$9+1,1))</f>
        <v>427.57091071251745</v>
      </c>
      <c r="T44" s="62">
        <f t="shared" si="34"/>
        <v>272.62827206514726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620.29771556669311</v>
      </c>
      <c r="AN44" s="62">
        <f ca="1">AVERAGE(OFFSET($AM$3,0,0,'Données projet'!$E$10+1,1))-AVERAGE(OFFSET($H$3,0,0,'Données projet'!$E$10+1,1))</f>
        <v>475.54515523869958</v>
      </c>
      <c r="AO44" s="62">
        <f t="shared" si="36"/>
        <v>301.02979240961452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7.542649080665325</v>
      </c>
      <c r="AW44" s="23">
        <f>EXP(-LN(2)/2)*AW43+(1-EXP(-LN(2)/2))/(LN(2)/2)*AQ44*AT44*VLOOKUP('Données projet'!$B$10,Paramètres!$A$1:$I$89,3,0)*0.475*44/12</f>
        <v>0.36922531207621045</v>
      </c>
      <c r="AX44" s="23">
        <f t="shared" si="6"/>
        <v>7.9118743927415354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22.82714285714286</v>
      </c>
      <c r="BD44" s="13">
        <f>IF('Données projet'!$A$88&gt;35,BD43+BC44-BL43,IF(A44&lt;'Données projet'!$A$88,$BA$205^A44,IF(A44='Données projet'!$A$88,'Données projet'!$B$88,BD43+BC44-BL43)))</f>
        <v>427.40285714285716</v>
      </c>
      <c r="BE44" s="14">
        <f>BD44*VLOOKUP('Données projet'!$B$11,Paramètres!$A$1:$I$89,3,0)*VLOOKUP('Données projet'!$B$11,Paramètres!$A$1:$I$89,5,0)</f>
        <v>238.91819714285714</v>
      </c>
      <c r="BF44" s="14">
        <f t="shared" si="37"/>
        <v>58.206714164613295</v>
      </c>
      <c r="BG44" s="22">
        <f t="shared" si="7"/>
        <v>517.49255386051107</v>
      </c>
      <c r="BH44" s="62">
        <f t="shared" si="8"/>
        <v>786.67133957487647</v>
      </c>
      <c r="BI44" s="62">
        <f ca="1">AVERAGE(OFFSET($BH$3,0,0,'Données projet'!$E$11+1,1))-AVERAGE(OFFSET($H$3,0,0,'Données projet'!$E$11+1,1))</f>
        <v>381.71417599784968</v>
      </c>
      <c r="BJ44" s="62">
        <f t="shared" si="38"/>
        <v>350.49230135197979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25.994743998946529</v>
      </c>
      <c r="BQ44" s="23">
        <f>EXP(-LN(2)/25)*BQ43+(1-EXP(-LN(2)/25))/(LN(2)/25)*Calculateur!BL44*Calculateur!BN44*VLOOKUP('Données projet'!$B$11,Paramètres!$A$1:$I$89,3,0)*0.475*44/12</f>
        <v>20.718624270281669</v>
      </c>
      <c r="BR44" s="23">
        <f>EXP(-LN(2)/2)*BR43+(1-EXP(-LN(2)/2))/(LN(2)/2)*BL44*BO44*VLOOKUP('Données projet'!$B$11,Paramètres!$A$1:$I$89,3,0)*0.475*44/12</f>
        <v>1.533326294095926</v>
      </c>
      <c r="BS44" s="24">
        <f t="shared" si="9"/>
        <v>48.246694563324127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4.5999999999999996</v>
      </c>
      <c r="BY44" s="13">
        <f>IF('Données projet'!$A$114&gt;35,BY43+BX44-CG43,IF(A44&lt;'Données projet'!$A$114,$BV$205^A44,IF(A44='Données projet'!$A$114,'Données projet'!$B$114,BY43+BX44-CG43)))</f>
        <v>235.60000000000005</v>
      </c>
      <c r="BZ44" s="14">
        <f>BY44*VLOOKUP('Données projet'!$B$12,Paramètres!$A$1:$I$89,3,0)*VLOOKUP('Données projet'!$B$12,Paramètres!$A$1:$I$89,5,0)</f>
        <v>128.63760000000002</v>
      </c>
      <c r="CA44" s="14">
        <f t="shared" si="39"/>
        <v>33.681355926028921</v>
      </c>
      <c r="CB44" s="22">
        <f t="shared" si="10"/>
        <v>282.70551490450038</v>
      </c>
      <c r="CC44" s="62">
        <f t="shared" si="11"/>
        <v>551.88430061886584</v>
      </c>
      <c r="CD44" s="62">
        <f ca="1">AVERAGE(OFFSET($CC$3,0,0,'Données projet'!$E$12+1,1))-AVERAGE(OFFSET($H$3,0,0,'Données projet'!$E$12+1,1))</f>
        <v>202.72043399839748</v>
      </c>
      <c r="CE44" s="62">
        <f t="shared" si="40"/>
        <v>295.50255983395789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4.3076406020007392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4.3076406020007392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</v>
      </c>
      <c r="CT44" s="13">
        <f>IF('Données projet'!$A$140&gt;35,CT43+CS44-DB43,IF(A44&lt;'Données projet'!$A$140,$CQ$205^A44,IF(A44='Données projet'!$A$140,'Données projet'!$B$140,CT43+CS44-DB43)))</f>
        <v>201.00000000000011</v>
      </c>
      <c r="CU44" s="18">
        <f>CT44*VLOOKUP('Données projet'!$B$13,Paramètres!$A$1:$I$89,3,0)*VLOOKUP('Données projet'!$B$13,Paramètres!$A$1:$I$89,5,0)</f>
        <v>175.59360000000012</v>
      </c>
      <c r="CV44" s="14">
        <f t="shared" si="41"/>
        <v>44.340433728638573</v>
      </c>
      <c r="CW44" s="22">
        <f t="shared" si="13"/>
        <v>383.05177541071242</v>
      </c>
      <c r="CX44" s="62">
        <f t="shared" si="14"/>
        <v>652.23056112507788</v>
      </c>
      <c r="CY44" s="62">
        <f ca="1">AVERAGE(OFFSET($CX$3,0,0,'Données projet'!$E$13+1,1))-AVERAGE(OFFSET($H$3,0,0,'Données projet'!$E$13+1,1))</f>
        <v>297.56177871222496</v>
      </c>
      <c r="CZ44" s="62">
        <f t="shared" si="42"/>
        <v>421.5717731815397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24.943389645674397</v>
      </c>
      <c r="DH44" s="23">
        <f>EXP(-LN(2)/2)*DH43+(1-EXP(-LN(2)/2))/(LN(2)/2)*DB44*DE44*VLOOKUP('Données projet'!$B$13,Paramètres!$A$1:$I$89,3,0)*0.475*44/12</f>
        <v>0.35987314165473372</v>
      </c>
      <c r="DI44" s="24">
        <f t="shared" si="15"/>
        <v>25.303262787329132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19.399999999999999</v>
      </c>
      <c r="DO44" s="13">
        <f>IF('Données projet'!$A$166&gt;35,DO43+DN44-DW43,IF(A44&lt;'Données projet'!$A$166,$DL$205^A44,IF(A44='Données projet'!$A$166,'Données projet'!$B$166,DO43+DN44-DW43)))</f>
        <v>459.40000000000015</v>
      </c>
      <c r="DP44" s="18">
        <f>DO44*VLOOKUP('Données projet'!$B$14,Paramètres!$A$1:$I$89,3,0)*VLOOKUP('Données projet'!$B$14,Paramètres!$A$1:$I$89,5,0)</f>
        <v>336.83208000000013</v>
      </c>
      <c r="DQ44" s="14">
        <f t="shared" si="43"/>
        <v>78.845077931249421</v>
      </c>
      <c r="DR44" s="22">
        <f t="shared" si="16"/>
        <v>723.97105006359288</v>
      </c>
      <c r="DS44" s="62">
        <f t="shared" si="17"/>
        <v>993.14983577795829</v>
      </c>
      <c r="DT44" s="62">
        <f ca="1">AVERAGE(OFFSET($DS$3,0,0,'Données projet'!$E$14+1,1))-AVERAGE(OFFSET($H$3,0,0,'Données projet'!$E$14+1,1))</f>
        <v>667.0152731006724</v>
      </c>
      <c r="DU44" s="62">
        <f t="shared" si="44"/>
        <v>567.40780872008088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17.221463596420918</v>
      </c>
      <c r="EC44" s="23">
        <f>EXP(-LN(2)/2)*EC43+(1-EXP(-LN(2)/2))/(LN(2)/2)*DW44*DZ44*VLOOKUP('Données projet'!$B$14,Paramètres!$A$1:$I$89,3,0)*0.475*44/12</f>
        <v>0.32773041526114388</v>
      </c>
      <c r="ED44" s="24">
        <f t="shared" si="18"/>
        <v>17.549194011682062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153.20447999999999</v>
      </c>
      <c r="EL44" s="14">
        <f t="shared" si="45"/>
        <v>39.305916881892401</v>
      </c>
      <c r="EM44" s="22">
        <f t="shared" si="19"/>
        <v>335.28894123596257</v>
      </c>
      <c r="EN44" s="62">
        <f t="shared" si="20"/>
        <v>604.46772695032791</v>
      </c>
      <c r="EO44" s="62">
        <f ca="1">AVERAGE(OFFSET($EN$3,0,0,'Données projet'!$E$15+1,1))-AVERAGE(OFFSET($H$3,0,0,'Données projet'!$E$15+1,1))</f>
        <v>454.99849419289757</v>
      </c>
      <c r="EP44" s="62">
        <f t="shared" si="46"/>
        <v>288.86643267991928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63.41239610391785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2.7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9.3366000000000007</v>
      </c>
      <c r="D45" s="12">
        <f t="shared" si="32"/>
        <v>3.31749935505009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31.84519173781597</v>
      </c>
      <c r="H45" s="70">
        <f t="shared" si="1"/>
        <v>239.1058897100456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605.8066154316723</v>
      </c>
      <c r="S45" s="62">
        <f ca="1">AVERAGE(OFFSET($R$3,0,0,'Données projet'!$E$9+1,1))-AVERAGE(OFFSET($H$3,0,0,'Données projet'!$E$9+1,1))</f>
        <v>427.57091071251745</v>
      </c>
      <c r="T45" s="62">
        <f t="shared" si="34"/>
        <v>272.62827206514726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645.37020298391485</v>
      </c>
      <c r="AN45" s="62">
        <f ca="1">AVERAGE(OFFSET($AM$3,0,0,'Données projet'!$E$10+1,1))-AVERAGE(OFFSET($H$3,0,0,'Données projet'!$E$10+1,1))</f>
        <v>475.54515523869958</v>
      </c>
      <c r="AO45" s="62">
        <f t="shared" si="36"/>
        <v>301.02979240961452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7.3363949449038559</v>
      </c>
      <c r="AW45" s="23">
        <f>EXP(-LN(2)/2)*AW44+(1-EXP(-LN(2)/2))/(LN(2)/2)*AQ45*AT45*VLOOKUP('Données projet'!$B$10,Paramètres!$A$1:$I$89,3,0)*0.475*44/12</f>
        <v>0.26108172195480767</v>
      </c>
      <c r="AX45" s="23">
        <f t="shared" si="6"/>
        <v>7.5974766668586637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450.23</v>
      </c>
      <c r="BB45" s="13">
        <f>VLOOKUP(A45,'Données projet'!$A$87:$I$107,9,0)</f>
        <v>22.82714285714286</v>
      </c>
      <c r="BC45" s="13">
        <f t="array" ref="BC45">INDEX(BB:BB,MIN(IF(ISNUMBER(BB45:BB241),ROW(BB45:BB241),"")))</f>
        <v>22.82714285714286</v>
      </c>
      <c r="BD45" s="13">
        <f>IF('Données projet'!$A$88&gt;35,BD44+BC45-BL44,IF(A45&lt;'Données projet'!$A$88,$BA$205^A45,IF(A45='Données projet'!$A$88,'Données projet'!$B$88,BD44+BC45-BL44)))</f>
        <v>450.23</v>
      </c>
      <c r="BE45" s="14">
        <f>BD45*VLOOKUP('Données projet'!$B$11,Paramètres!$A$1:$I$89,3,0)*VLOOKUP('Données projet'!$B$11,Paramètres!$A$1:$I$89,5,0)</f>
        <v>251.67857000000004</v>
      </c>
      <c r="BF45" s="14">
        <f t="shared" si="37"/>
        <v>60.945241245024086</v>
      </c>
      <c r="BG45" s="22">
        <f t="shared" si="7"/>
        <v>544.48647125175023</v>
      </c>
      <c r="BH45" s="62">
        <f t="shared" si="8"/>
        <v>814.08428436582631</v>
      </c>
      <c r="BI45" s="62">
        <f ca="1">AVERAGE(OFFSET($BH$3,0,0,'Données projet'!$E$11+1,1))-AVERAGE(OFFSET($H$3,0,0,'Données projet'!$E$11+1,1))</f>
        <v>381.71417599784968</v>
      </c>
      <c r="BJ45" s="62">
        <f t="shared" si="38"/>
        <v>350.49230135197979</v>
      </c>
      <c r="BK45" s="16">
        <f>IF(ISNA(VLOOKUP(A45,'Données projet'!$A$87:$I$107,3,0)),0,VLOOKUP(A45,'Données projet'!$A$87:$I$107,3,0))</f>
        <v>5</v>
      </c>
      <c r="BL45" s="16">
        <f>IF(ISNA(VLOOKUP(A45,'Données projet'!$A$87:$I$107,4,0)),0,VLOOKUP(A45,'Données projet'!$A$87:$I$107,4,0))</f>
        <v>99.98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25.485002924355452</v>
      </c>
      <c r="BQ45" s="23">
        <f>EXP(-LN(2)/25)*BQ44+(1-EXP(-LN(2)/25))/(LN(2)/25)*Calculateur!BL45*Calculateur!BN45*VLOOKUP('Données projet'!$B$11,Paramètres!$A$1:$I$89,3,0)*0.475*44/12</f>
        <v>20.15207240006572</v>
      </c>
      <c r="BR45" s="23">
        <f>EXP(-LN(2)/2)*BR44+(1-EXP(-LN(2)/2))/(LN(2)/2)*BL45*BO45*VLOOKUP('Données projet'!$B$11,Paramètres!$A$1:$I$89,3,0)*0.475*44/12</f>
        <v>1.0842254203268678</v>
      </c>
      <c r="BS45" s="24">
        <f t="shared" si="9"/>
        <v>46.721300744748042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4.5999999999999996</v>
      </c>
      <c r="BY45" s="13">
        <f>IF('Données projet'!$A$114&gt;35,BY44+BX45-CG44,IF(A45&lt;'Données projet'!$A$114,$BV$205^A45,IF(A45='Données projet'!$A$114,'Données projet'!$B$114,BY44+BX45-CG44)))</f>
        <v>240.20000000000005</v>
      </c>
      <c r="BZ45" s="14">
        <f>BY45*VLOOKUP('Données projet'!$B$12,Paramètres!$A$1:$I$89,3,0)*VLOOKUP('Données projet'!$B$12,Paramètres!$A$1:$I$89,5,0)</f>
        <v>131.14920000000004</v>
      </c>
      <c r="CA45" s="14">
        <f t="shared" si="39"/>
        <v>34.261769537926085</v>
      </c>
      <c r="CB45" s="22">
        <f t="shared" si="10"/>
        <v>288.09077194522132</v>
      </c>
      <c r="CC45" s="62">
        <f t="shared" si="11"/>
        <v>557.68858505929734</v>
      </c>
      <c r="CD45" s="62">
        <f ca="1">AVERAGE(OFFSET($CC$3,0,0,'Données projet'!$E$12+1,1))-AVERAGE(OFFSET($H$3,0,0,'Données projet'!$E$12+1,1))</f>
        <v>202.72043399839748</v>
      </c>
      <c r="CE45" s="62">
        <f t="shared" si="40"/>
        <v>295.50255983395789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4.1898479432100553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4.1898479432100553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</v>
      </c>
      <c r="CT45" s="13">
        <f>IF('Données projet'!$A$140&gt;35,CT44+CS45-DB44,IF(A45&lt;'Données projet'!$A$140,$CQ$205^A45,IF(A45='Données projet'!$A$140,'Données projet'!$B$140,CT44+CS45-DB44)))</f>
        <v>212.00000000000011</v>
      </c>
      <c r="CU45" s="18">
        <f>CT45*VLOOKUP('Données projet'!$B$13,Paramètres!$A$1:$I$89,3,0)*VLOOKUP('Données projet'!$B$13,Paramètres!$A$1:$I$89,5,0)</f>
        <v>185.20320000000012</v>
      </c>
      <c r="CV45" s="14">
        <f t="shared" si="41"/>
        <v>46.477875402099386</v>
      </c>
      <c r="CW45" s="22">
        <f t="shared" si="13"/>
        <v>403.51120632532326</v>
      </c>
      <c r="CX45" s="62">
        <f t="shared" si="14"/>
        <v>673.10901943939939</v>
      </c>
      <c r="CY45" s="62">
        <f ca="1">AVERAGE(OFFSET($CX$3,0,0,'Données projet'!$E$13+1,1))-AVERAGE(OFFSET($H$3,0,0,'Données projet'!$E$13+1,1))</f>
        <v>297.56177871222496</v>
      </c>
      <c r="CZ45" s="62">
        <f t="shared" si="42"/>
        <v>421.5717731815397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24.261311344097578</v>
      </c>
      <c r="DH45" s="23">
        <f>EXP(-LN(2)/2)*DH44+(1-EXP(-LN(2)/2))/(LN(2)/2)*DB45*DE45*VLOOKUP('Données projet'!$B$13,Paramètres!$A$1:$I$89,3,0)*0.475*44/12</f>
        <v>0.25446873883096921</v>
      </c>
      <c r="DI45" s="24">
        <f t="shared" si="15"/>
        <v>24.515780082928547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19.399999999999999</v>
      </c>
      <c r="DO45" s="13">
        <f>IF('Données projet'!$A$166&gt;35,DO44+DN45-DW44,IF(A45&lt;'Données projet'!$A$166,$DL$205^A45,IF(A45='Données projet'!$A$166,'Données projet'!$B$166,DO44+DN45-DW44)))</f>
        <v>478.80000000000013</v>
      </c>
      <c r="DP45" s="18">
        <f>DO45*VLOOKUP('Données projet'!$B$14,Paramètres!$A$1:$I$89,3,0)*VLOOKUP('Données projet'!$B$14,Paramètres!$A$1:$I$89,5,0)</f>
        <v>351.05616000000009</v>
      </c>
      <c r="DQ45" s="14">
        <f t="shared" si="43"/>
        <v>81.779947399862635</v>
      </c>
      <c r="DR45" s="22">
        <f t="shared" si="16"/>
        <v>753.85622038809424</v>
      </c>
      <c r="DS45" s="62">
        <f t="shared" si="17"/>
        <v>1023.4540335021703</v>
      </c>
      <c r="DT45" s="62">
        <f ca="1">AVERAGE(OFFSET($DS$3,0,0,'Données projet'!$E$14+1,1))-AVERAGE(OFFSET($H$3,0,0,'Données projet'!$E$14+1,1))</f>
        <v>667.0152731006724</v>
      </c>
      <c r="DU45" s="62">
        <f t="shared" si="44"/>
        <v>567.40780872008088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16.750541768739378</v>
      </c>
      <c r="EC45" s="23">
        <f>EXP(-LN(2)/2)*EC44+(1-EXP(-LN(2)/2))/(LN(2)/2)*DW45*DZ45*VLOOKUP('Données projet'!$B$14,Paramètres!$A$1:$I$89,3,0)*0.475*44/12</f>
        <v>0.23174039903223803</v>
      </c>
      <c r="ED45" s="24">
        <f t="shared" si="18"/>
        <v>16.982282167771615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164.23056000000003</v>
      </c>
      <c r="EL45" s="14">
        <f t="shared" si="45"/>
        <v>41.795275864636551</v>
      </c>
      <c r="EM45" s="22">
        <f t="shared" si="19"/>
        <v>358.82833079757535</v>
      </c>
      <c r="EN45" s="62">
        <f t="shared" si="20"/>
        <v>628.42614391165148</v>
      </c>
      <c r="EO45" s="62">
        <f ca="1">AVERAGE(OFFSET($EN$3,0,0,'Données projet'!$E$15+1,1))-AVERAGE(OFFSET($H$3,0,0,'Données projet'!$E$15+1,1))</f>
        <v>454.99849419289757</v>
      </c>
      <c r="EP45" s="62">
        <f t="shared" si="46"/>
        <v>288.86643267991928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63.526676303838926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2.7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9.5589000000000013</v>
      </c>
      <c r="D46" s="12">
        <f t="shared" si="32"/>
        <v>3.3871973543572653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32.408696648759637</v>
      </c>
      <c r="H46" s="70">
        <f t="shared" si="1"/>
        <v>239.61445289217227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628.23885690603754</v>
      </c>
      <c r="S46" s="62">
        <f ca="1">AVERAGE(OFFSET($R$3,0,0,'Données projet'!$E$9+1,1))-AVERAGE(OFFSET($H$3,0,0,'Données projet'!$E$9+1,1))</f>
        <v>427.57091071251745</v>
      </c>
      <c r="T46" s="62">
        <f t="shared" si="34"/>
        <v>272.62827206514726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670.40020406222675</v>
      </c>
      <c r="AN46" s="62">
        <f ca="1">AVERAGE(OFFSET($AM$3,0,0,'Données projet'!$E$10+1,1))-AVERAGE(OFFSET($H$3,0,0,'Données projet'!$E$10+1,1))</f>
        <v>475.54515523869958</v>
      </c>
      <c r="AO46" s="62">
        <f t="shared" si="36"/>
        <v>301.02979240961452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7.1357808393312174</v>
      </c>
      <c r="AW46" s="23">
        <f>EXP(-LN(2)/2)*AW45+(1-EXP(-LN(2)/2))/(LN(2)/2)*AQ46*AT46*VLOOKUP('Données projet'!$B$10,Paramètres!$A$1:$I$89,3,0)*0.475*44/12</f>
        <v>0.18461265603810523</v>
      </c>
      <c r="AX46" s="23">
        <f t="shared" si="6"/>
        <v>7.3203934953693226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21.939999999999998</v>
      </c>
      <c r="BD46" s="13">
        <f>IF('Données projet'!$A$88&gt;35,BD45+BC46-BL45,IF(A46&lt;'Données projet'!$A$88,$BA$205^A46,IF(A46='Données projet'!$A$88,'Données projet'!$B$88,BD45+BC46-BL45)))</f>
        <v>372.19</v>
      </c>
      <c r="BE46" s="14">
        <f>BD46*VLOOKUP('Données projet'!$B$11,Paramètres!$A$1:$I$89,3,0)*VLOOKUP('Données projet'!$B$11,Paramètres!$A$1:$I$89,5,0)</f>
        <v>208.05420999999998</v>
      </c>
      <c r="BF46" s="14">
        <f t="shared" si="37"/>
        <v>51.510151537098693</v>
      </c>
      <c r="BG46" s="22">
        <f t="shared" si="7"/>
        <v>452.07459634378012</v>
      </c>
      <c r="BH46" s="62">
        <f t="shared" si="8"/>
        <v>722.08416766898677</v>
      </c>
      <c r="BI46" s="62">
        <f ca="1">AVERAGE(OFFSET($BH$3,0,0,'Données projet'!$E$11+1,1))-AVERAGE(OFFSET($H$3,0,0,'Données projet'!$E$11+1,1))</f>
        <v>381.71417599784968</v>
      </c>
      <c r="BJ46" s="62">
        <f t="shared" si="38"/>
        <v>350.49230135197979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24.985257561325753</v>
      </c>
      <c r="BQ46" s="23">
        <f>EXP(-LN(2)/25)*BQ45+(1-EXP(-LN(2)/25))/(LN(2)/25)*Calculateur!BL46*Calculateur!BN46*VLOOKUP('Données projet'!$B$11,Paramètres!$A$1:$I$89,3,0)*0.475*44/12</f>
        <v>19.601012920534494</v>
      </c>
      <c r="BR46" s="23">
        <f>EXP(-LN(2)/2)*BR45+(1-EXP(-LN(2)/2))/(LN(2)/2)*BL46*BO46*VLOOKUP('Données projet'!$B$11,Paramètres!$A$1:$I$89,3,0)*0.475*44/12</f>
        <v>0.76666314704796301</v>
      </c>
      <c r="BS46" s="24">
        <f t="shared" si="9"/>
        <v>45.352933628908211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4.5999999999999996</v>
      </c>
      <c r="BY46" s="13">
        <f>IF('Données projet'!$A$114&gt;35,BY45+BX46-CG45,IF(A46&lt;'Données projet'!$A$114,$BV$205^A46,IF(A46='Données projet'!$A$114,'Données projet'!$B$114,BY45+BX46-CG45)))</f>
        <v>244.80000000000004</v>
      </c>
      <c r="BZ46" s="14">
        <f>BY46*VLOOKUP('Données projet'!$B$12,Paramètres!$A$1:$I$89,3,0)*VLOOKUP('Données projet'!$B$12,Paramètres!$A$1:$I$89,5,0)</f>
        <v>133.66080000000002</v>
      </c>
      <c r="CA46" s="14">
        <f t="shared" si="39"/>
        <v>34.840890682716747</v>
      </c>
      <c r="CB46" s="22">
        <f t="shared" si="10"/>
        <v>293.47377793906503</v>
      </c>
      <c r="CC46" s="62">
        <f t="shared" si="11"/>
        <v>563.48334926427174</v>
      </c>
      <c r="CD46" s="62">
        <f ca="1">AVERAGE(OFFSET($CC$3,0,0,'Données projet'!$E$12+1,1))-AVERAGE(OFFSET($H$3,0,0,'Données projet'!$E$12+1,1))</f>
        <v>202.72043399839748</v>
      </c>
      <c r="CE46" s="62">
        <f t="shared" si="40"/>
        <v>295.50255983395789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4.0752763308684488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4.0752763308684488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</v>
      </c>
      <c r="CT46" s="13">
        <f>IF('Données projet'!$A$140&gt;35,CT45+CS46-DB45,IF(A46&lt;'Données projet'!$A$140,$CQ$205^A46,IF(A46='Données projet'!$A$140,'Données projet'!$B$140,CT45+CS46-DB45)))</f>
        <v>223.00000000000011</v>
      </c>
      <c r="CU46" s="18">
        <f>CT46*VLOOKUP('Données projet'!$B$13,Paramètres!$A$1:$I$89,3,0)*VLOOKUP('Données projet'!$B$13,Paramètres!$A$1:$I$89,5,0)</f>
        <v>194.81280000000012</v>
      </c>
      <c r="CV46" s="14">
        <f t="shared" si="41"/>
        <v>48.602440540253902</v>
      </c>
      <c r="CW46" s="22">
        <f t="shared" si="13"/>
        <v>423.9482106076091</v>
      </c>
      <c r="CX46" s="62">
        <f t="shared" si="14"/>
        <v>693.95778193281581</v>
      </c>
      <c r="CY46" s="62">
        <f ca="1">AVERAGE(OFFSET($CX$3,0,0,'Données projet'!$E$13+1,1))-AVERAGE(OFFSET($H$3,0,0,'Données projet'!$E$13+1,1))</f>
        <v>297.56177871222496</v>
      </c>
      <c r="CZ46" s="62">
        <f t="shared" si="42"/>
        <v>421.5717731815397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23.597884509546315</v>
      </c>
      <c r="DH46" s="23">
        <f>EXP(-LN(2)/2)*DH45+(1-EXP(-LN(2)/2))/(LN(2)/2)*DB46*DE46*VLOOKUP('Données projet'!$B$13,Paramètres!$A$1:$I$89,3,0)*0.475*44/12</f>
        <v>0.17993657082736686</v>
      </c>
      <c r="DI46" s="24">
        <f t="shared" si="15"/>
        <v>23.77782108037368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19.399999999999999</v>
      </c>
      <c r="DO46" s="13">
        <f>IF('Données projet'!$A$166&gt;35,DO45+DN46-DW45,IF(A46&lt;'Données projet'!$A$166,$DL$205^A46,IF(A46='Données projet'!$A$166,'Données projet'!$B$166,DO45+DN46-DW45)))</f>
        <v>498.2000000000001</v>
      </c>
      <c r="DP46" s="18">
        <f>DO46*VLOOKUP('Données projet'!$B$14,Paramètres!$A$1:$I$89,3,0)*VLOOKUP('Données projet'!$B$14,Paramètres!$A$1:$I$89,5,0)</f>
        <v>365.28024000000005</v>
      </c>
      <c r="DQ46" s="14">
        <f t="shared" si="43"/>
        <v>84.701003768659135</v>
      </c>
      <c r="DR46" s="22">
        <f t="shared" si="16"/>
        <v>783.71733289708129</v>
      </c>
      <c r="DS46" s="62">
        <f t="shared" si="17"/>
        <v>1053.7269042222879</v>
      </c>
      <c r="DT46" s="62">
        <f ca="1">AVERAGE(OFFSET($DS$3,0,0,'Données projet'!$E$14+1,1))-AVERAGE(OFFSET($H$3,0,0,'Données projet'!$E$14+1,1))</f>
        <v>667.0152731006724</v>
      </c>
      <c r="DU46" s="62">
        <f t="shared" si="44"/>
        <v>567.40780872008088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16.292497323200493</v>
      </c>
      <c r="EC46" s="23">
        <f>EXP(-LN(2)/2)*EC45+(1-EXP(-LN(2)/2))/(LN(2)/2)*DW46*DZ46*VLOOKUP('Données projet'!$B$14,Paramètres!$A$1:$I$89,3,0)*0.475*44/12</f>
        <v>0.16386520763057197</v>
      </c>
      <c r="ED46" s="24">
        <f t="shared" si="18"/>
        <v>16.456362530831065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175.25664000000003</v>
      </c>
      <c r="EL46" s="14">
        <f t="shared" si="45"/>
        <v>44.265241345972555</v>
      </c>
      <c r="EM46" s="22">
        <f t="shared" si="19"/>
        <v>382.33394334423559</v>
      </c>
      <c r="EN46" s="62">
        <f t="shared" si="20"/>
        <v>652.34351466944224</v>
      </c>
      <c r="EO46" s="62">
        <f ca="1">AVERAGE(OFFSET($EN$3,0,0,'Données projet'!$E$15+1,1))-AVERAGE(OFFSET($H$3,0,0,'Données projet'!$E$15+1,1))</f>
        <v>454.99849419289757</v>
      </c>
      <c r="EP46" s="62">
        <f t="shared" si="46"/>
        <v>288.86643267991928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63.638973997783623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2.7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9.7812000000000019</v>
      </c>
      <c r="D47" s="12">
        <f t="shared" si="32"/>
        <v>3.4567069199829916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32.971837915756659</v>
      </c>
      <c r="H47" s="70">
        <f t="shared" si="1"/>
        <v>240.12268788563708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650.63434270110724</v>
      </c>
      <c r="S47" s="62">
        <f ca="1">AVERAGE(OFFSET($R$3,0,0,'Données projet'!$E$9+1,1))-AVERAGE(OFFSET($H$3,0,0,'Données projet'!$E$9+1,1))</f>
        <v>427.57091071251745</v>
      </c>
      <c r="T47" s="62">
        <f t="shared" si="34"/>
        <v>272.62827206514726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695.39031277795698</v>
      </c>
      <c r="AN47" s="62">
        <f ca="1">AVERAGE(OFFSET($AM$3,0,0,'Données projet'!$E$10+1,1))-AVERAGE(OFFSET($H$3,0,0,'Données projet'!$E$10+1,1))</f>
        <v>475.54515523869958</v>
      </c>
      <c r="AO47" s="62">
        <f t="shared" si="36"/>
        <v>301.02979240961452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6.9406525370252998</v>
      </c>
      <c r="AW47" s="23">
        <f>EXP(-LN(2)/2)*AW46+(1-EXP(-LN(2)/2))/(LN(2)/2)*AQ47*AT47*VLOOKUP('Données projet'!$B$10,Paramètres!$A$1:$I$89,3,0)*0.475*44/12</f>
        <v>0.13054086097740383</v>
      </c>
      <c r="AX47" s="23">
        <f t="shared" si="6"/>
        <v>7.0711933980027037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21.939999999999998</v>
      </c>
      <c r="BD47" s="13">
        <f>IF('Données projet'!$A$88&gt;35,BD46+BC47-BL46,IF(A47&lt;'Données projet'!$A$88,$BA$205^A47,IF(A47='Données projet'!$A$88,'Données projet'!$B$88,BD46+BC47-BL46)))</f>
        <v>394.13</v>
      </c>
      <c r="BE47" s="14">
        <f>BD47*VLOOKUP('Données projet'!$B$11,Paramètres!$A$1:$I$89,3,0)*VLOOKUP('Données projet'!$B$11,Paramètres!$A$1:$I$89,5,0)</f>
        <v>220.31867</v>
      </c>
      <c r="BF47" s="14">
        <f t="shared" si="37"/>
        <v>54.184141234835565</v>
      </c>
      <c r="BG47" s="22">
        <f t="shared" si="7"/>
        <v>478.09239623400526</v>
      </c>
      <c r="BH47" s="62">
        <f t="shared" si="8"/>
        <v>748.50658268593281</v>
      </c>
      <c r="BI47" s="62">
        <f ca="1">AVERAGE(OFFSET($BH$3,0,0,'Données projet'!$E$11+1,1))-AVERAGE(OFFSET($H$3,0,0,'Données projet'!$E$11+1,1))</f>
        <v>381.71417599784968</v>
      </c>
      <c r="BJ47" s="62">
        <f t="shared" si="38"/>
        <v>350.49230135197979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24.495311900050492</v>
      </c>
      <c r="BQ47" s="23">
        <f>EXP(-LN(2)/25)*BQ46+(1-EXP(-LN(2)/25))/(LN(2)/25)*Calculateur!BL47*Calculateur!BN47*VLOOKUP('Données projet'!$B$11,Paramètres!$A$1:$I$89,3,0)*0.475*44/12</f>
        <v>19.065022191450009</v>
      </c>
      <c r="BR47" s="23">
        <f>EXP(-LN(2)/2)*BR46+(1-EXP(-LN(2)/2))/(LN(2)/2)*BL47*BO47*VLOOKUP('Données projet'!$B$11,Paramètres!$A$1:$I$89,3,0)*0.475*44/12</f>
        <v>0.54211271016343388</v>
      </c>
      <c r="BS47" s="24">
        <f t="shared" si="9"/>
        <v>44.102446801663937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4.5999999999999996</v>
      </c>
      <c r="BY47" s="13">
        <f>IF('Données projet'!$A$114&gt;35,BY46+BX47-CG46,IF(A47&lt;'Données projet'!$A$114,$BV$205^A47,IF(A47='Données projet'!$A$114,'Données projet'!$B$114,BY46+BX47-CG46)))</f>
        <v>249.40000000000003</v>
      </c>
      <c r="BZ47" s="14">
        <f>BY47*VLOOKUP('Données projet'!$B$12,Paramètres!$A$1:$I$89,3,0)*VLOOKUP('Données projet'!$B$12,Paramètres!$A$1:$I$89,5,0)</f>
        <v>136.17240000000001</v>
      </c>
      <c r="CA47" s="14">
        <f t="shared" si="39"/>
        <v>35.418746447495963</v>
      </c>
      <c r="CB47" s="22">
        <f t="shared" si="10"/>
        <v>298.85458006272216</v>
      </c>
      <c r="CC47" s="62">
        <f t="shared" si="11"/>
        <v>569.26876651464977</v>
      </c>
      <c r="CD47" s="62">
        <f ca="1">AVERAGE(OFFSET($CC$3,0,0,'Données projet'!$E$12+1,1))-AVERAGE(OFFSET($H$3,0,0,'Données projet'!$E$12+1,1))</f>
        <v>202.72043399839748</v>
      </c>
      <c r="CE47" s="62">
        <f t="shared" si="40"/>
        <v>295.50255983395789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3.963837685291383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3.963837685291383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</v>
      </c>
      <c r="CT47" s="13">
        <f>IF('Données projet'!$A$140&gt;35,CT46+CS47-DB46,IF(A47&lt;'Données projet'!$A$140,$CQ$205^A47,IF(A47='Données projet'!$A$140,'Données projet'!$B$140,CT46+CS47-DB46)))</f>
        <v>234.00000000000011</v>
      </c>
      <c r="CU47" s="18">
        <f>CT47*VLOOKUP('Données projet'!$B$13,Paramètres!$A$1:$I$89,3,0)*VLOOKUP('Données projet'!$B$13,Paramètres!$A$1:$I$89,5,0)</f>
        <v>204.42240000000012</v>
      </c>
      <c r="CV47" s="14">
        <f t="shared" si="41"/>
        <v>50.714836797527312</v>
      </c>
      <c r="CW47" s="22">
        <f t="shared" si="13"/>
        <v>444.36402075569362</v>
      </c>
      <c r="CX47" s="62">
        <f t="shared" si="14"/>
        <v>714.77820720762111</v>
      </c>
      <c r="CY47" s="62">
        <f ca="1">AVERAGE(OFFSET($CX$3,0,0,'Données projet'!$E$13+1,1))-AVERAGE(OFFSET($H$3,0,0,'Données projet'!$E$13+1,1))</f>
        <v>297.56177871222496</v>
      </c>
      <c r="CZ47" s="62">
        <f t="shared" si="42"/>
        <v>421.5717731815397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22.952599116673959</v>
      </c>
      <c r="DH47" s="23">
        <f>EXP(-LN(2)/2)*DH46+(1-EXP(-LN(2)/2))/(LN(2)/2)*DB47*DE47*VLOOKUP('Données projet'!$B$13,Paramètres!$A$1:$I$89,3,0)*0.475*44/12</f>
        <v>0.1272343694154846</v>
      </c>
      <c r="DI47" s="24">
        <f t="shared" si="15"/>
        <v>23.079833486089445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19.399999999999999</v>
      </c>
      <c r="DO47" s="13">
        <f>IF('Données projet'!$A$166&gt;35,DO46+DN47-DW46,IF(A47&lt;'Données projet'!$A$166,$DL$205^A47,IF(A47='Données projet'!$A$166,'Données projet'!$B$166,DO46+DN47-DW46)))</f>
        <v>517.60000000000014</v>
      </c>
      <c r="DP47" s="18">
        <f>DO47*VLOOKUP('Données projet'!$B$14,Paramètres!$A$1:$I$89,3,0)*VLOOKUP('Données projet'!$B$14,Paramètres!$A$1:$I$89,5,0)</f>
        <v>379.50432000000006</v>
      </c>
      <c r="DQ47" s="14">
        <f t="shared" si="43"/>
        <v>87.608846481770726</v>
      </c>
      <c r="DR47" s="22">
        <f t="shared" si="16"/>
        <v>813.55543162241747</v>
      </c>
      <c r="DS47" s="62">
        <f t="shared" si="17"/>
        <v>1083.9696180743449</v>
      </c>
      <c r="DT47" s="62">
        <f ca="1">AVERAGE(OFFSET($DS$3,0,0,'Données projet'!$E$14+1,1))-AVERAGE(OFFSET($H$3,0,0,'Données projet'!$E$14+1,1))</f>
        <v>667.0152731006724</v>
      </c>
      <c r="DU47" s="62">
        <f t="shared" si="44"/>
        <v>567.40780872008088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15.846978127112378</v>
      </c>
      <c r="EC47" s="23">
        <f>EXP(-LN(2)/2)*EC46+(1-EXP(-LN(2)/2))/(LN(2)/2)*DW47*DZ47*VLOOKUP('Données projet'!$B$14,Paramètres!$A$1:$I$89,3,0)*0.475*44/12</f>
        <v>0.11587019951611904</v>
      </c>
      <c r="ED47" s="24">
        <f t="shared" si="18"/>
        <v>15.962848326628496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186.28272000000001</v>
      </c>
      <c r="EL47" s="14">
        <f t="shared" si="45"/>
        <v>46.717172342223918</v>
      </c>
      <c r="EM47" s="22">
        <f t="shared" si="19"/>
        <v>405.80814582937325</v>
      </c>
      <c r="EN47" s="62">
        <f t="shared" si="20"/>
        <v>676.22233228130085</v>
      </c>
      <c r="EO47" s="62">
        <f ca="1">AVERAGE(OFFSET($EN$3,0,0,'Données projet'!$E$15+1,1))-AVERAGE(OFFSET($H$3,0,0,'Données projet'!$E$15+1,1))</f>
        <v>454.99849419289757</v>
      </c>
      <c r="EP47" s="62">
        <f t="shared" si="46"/>
        <v>288.86643267991928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63.749323577798421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2.7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10.003500000000003</v>
      </c>
      <c r="D48" s="12">
        <f t="shared" si="32"/>
        <v>3.5260328275159982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33.534624754855443</v>
      </c>
      <c r="H48" s="70">
        <f t="shared" si="1"/>
        <v>240.63060300792372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672.99514914711597</v>
      </c>
      <c r="S48" s="62">
        <f ca="1">AVERAGE(OFFSET($R$3,0,0,'Données projet'!$E$9+1,1))-AVERAGE(OFFSET($H$3,0,0,'Données projet'!$E$9+1,1))</f>
        <v>427.57091071251745</v>
      </c>
      <c r="T48" s="62">
        <f t="shared" si="34"/>
        <v>272.62827206514726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720.34281226872758</v>
      </c>
      <c r="AN48" s="62">
        <f ca="1">AVERAGE(OFFSET($AM$3,0,0,'Données projet'!$E$10+1,1))-AVERAGE(OFFSET($H$3,0,0,'Données projet'!$E$10+1,1))</f>
        <v>475.54515523869958</v>
      </c>
      <c r="AO48" s="62">
        <f t="shared" si="36"/>
        <v>301.02979240961452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6.7508600284072893</v>
      </c>
      <c r="AW48" s="23">
        <f>EXP(-LN(2)/2)*AW47+(1-EXP(-LN(2)/2))/(LN(2)/2)*AQ48*AT48*VLOOKUP('Données projet'!$B$10,Paramètres!$A$1:$I$89,3,0)*0.475*44/12</f>
        <v>9.2306328019052614E-2</v>
      </c>
      <c r="AX48" s="23">
        <f t="shared" si="6"/>
        <v>6.8431663564263419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21.939999999999998</v>
      </c>
      <c r="BD48" s="13">
        <f>IF('Données projet'!$A$88&gt;35,BD47+BC48-BL47,IF(A48&lt;'Données projet'!$A$88,$BA$205^A48,IF(A48='Données projet'!$A$88,'Données projet'!$B$88,BD47+BC48-BL47)))</f>
        <v>416.07</v>
      </c>
      <c r="BE48" s="14">
        <f>BD48*VLOOKUP('Données projet'!$B$11,Paramètres!$A$1:$I$89,3,0)*VLOOKUP('Données projet'!$B$11,Paramètres!$A$1:$I$89,5,0)</f>
        <v>232.58313000000001</v>
      </c>
      <c r="BF48" s="14">
        <f t="shared" si="37"/>
        <v>56.840851065639789</v>
      </c>
      <c r="BG48" s="22">
        <f t="shared" si="7"/>
        <v>504.08010035598926</v>
      </c>
      <c r="BH48" s="62">
        <f t="shared" si="8"/>
        <v>774.89188276677305</v>
      </c>
      <c r="BI48" s="62">
        <f ca="1">AVERAGE(OFFSET($BH$3,0,0,'Données projet'!$E$11+1,1))-AVERAGE(OFFSET($H$3,0,0,'Données projet'!$E$11+1,1))</f>
        <v>381.71417599784968</v>
      </c>
      <c r="BJ48" s="62">
        <f t="shared" si="38"/>
        <v>350.49230135197979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24.014973774355493</v>
      </c>
      <c r="BQ48" s="23">
        <f>EXP(-LN(2)/25)*BQ47+(1-EXP(-LN(2)/25))/(LN(2)/25)*Calculateur!BL48*Calculateur!BN48*VLOOKUP('Données projet'!$B$11,Paramètres!$A$1:$I$89,3,0)*0.475*44/12</f>
        <v>18.543688157038865</v>
      </c>
      <c r="BR48" s="23">
        <f>EXP(-LN(2)/2)*BR47+(1-EXP(-LN(2)/2))/(LN(2)/2)*BL48*BO48*VLOOKUP('Données projet'!$B$11,Paramètres!$A$1:$I$89,3,0)*0.475*44/12</f>
        <v>0.38333157352398151</v>
      </c>
      <c r="BS48" s="24">
        <f t="shared" si="9"/>
        <v>42.941993504918337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254</v>
      </c>
      <c r="BW48" s="13">
        <f>VLOOKUP(A48,'Données projet'!$A$113:$I$133,9,0)</f>
        <v>4.5999999999999996</v>
      </c>
      <c r="BX48" s="13">
        <f t="array" ref="BX48">INDEX(BW:BW,MIN(IF(ISNUMBER(BW48:BW244),ROW(BW48:BW244),"")))</f>
        <v>4.5999999999999996</v>
      </c>
      <c r="BY48" s="13">
        <f>IF('Données projet'!$A$114&gt;35,BY47+BX48-CG47,IF(A48&lt;'Données projet'!$A$114,$BV$205^A48,IF(A48='Données projet'!$A$114,'Données projet'!$B$114,BY47+BX48-CG47)))</f>
        <v>254.00000000000003</v>
      </c>
      <c r="BZ48" s="14">
        <f>BY48*VLOOKUP('Données projet'!$B$12,Paramètres!$A$1:$I$89,3,0)*VLOOKUP('Données projet'!$B$12,Paramètres!$A$1:$I$89,5,0)</f>
        <v>138.68400000000003</v>
      </c>
      <c r="CA48" s="14">
        <f t="shared" si="39"/>
        <v>35.995362862956824</v>
      </c>
      <c r="CB48" s="22">
        <f t="shared" si="10"/>
        <v>304.23322365298316</v>
      </c>
      <c r="CC48" s="62">
        <f t="shared" si="11"/>
        <v>575.045006063767</v>
      </c>
      <c r="CD48" s="62">
        <f ca="1">AVERAGE(OFFSET($CC$3,0,0,'Données projet'!$E$12+1,1))-AVERAGE(OFFSET($H$3,0,0,'Données projet'!$E$12+1,1))</f>
        <v>202.72043399839748</v>
      </c>
      <c r="CE48" s="62">
        <f t="shared" si="40"/>
        <v>295.50255983395789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12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3.8554463353379256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3.8554463353379256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245</v>
      </c>
      <c r="CR48" s="13">
        <f>VLOOKUP(A48,'Données projet'!$A$139:$I$159,9,0)</f>
        <v>11</v>
      </c>
      <c r="CS48" s="13">
        <f t="array" ref="CS48">INDEX(CR:CR,MIN(IF(ISNUMBER(CR48:CR244),ROW(CR48:CR244),"")))</f>
        <v>11</v>
      </c>
      <c r="CT48" s="13">
        <f>IF('Données projet'!$A$140&gt;35,CT47+CS48-DB47,IF(A48&lt;'Données projet'!$A$140,$CQ$205^A48,IF(A48='Données projet'!$A$140,'Données projet'!$B$140,CT47+CS48-DB47)))</f>
        <v>245.00000000000011</v>
      </c>
      <c r="CU48" s="18">
        <f>CT48*VLOOKUP('Données projet'!$B$13,Paramètres!$A$1:$I$89,3,0)*VLOOKUP('Données projet'!$B$13,Paramètres!$A$1:$I$89,5,0)</f>
        <v>214.03200000000012</v>
      </c>
      <c r="CV48" s="14">
        <f t="shared" si="41"/>
        <v>52.815701536972284</v>
      </c>
      <c r="CW48" s="22">
        <f t="shared" si="13"/>
        <v>464.75974684356021</v>
      </c>
      <c r="CX48" s="62">
        <f t="shared" si="14"/>
        <v>735.571529254344</v>
      </c>
      <c r="CY48" s="62">
        <f ca="1">AVERAGE(OFFSET($CX$3,0,0,'Données projet'!$E$13+1,1))-AVERAGE(OFFSET($H$3,0,0,'Données projet'!$E$13+1,1))</f>
        <v>297.56177871222496</v>
      </c>
      <c r="CZ48" s="62">
        <f t="shared" si="42"/>
        <v>421.5717731815397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41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22.32495908680378</v>
      </c>
      <c r="DH48" s="23">
        <f>EXP(-LN(2)/2)*DH47+(1-EXP(-LN(2)/2))/(LN(2)/2)*DB48*DE48*VLOOKUP('Données projet'!$B$13,Paramètres!$A$1:$I$89,3,0)*0.475*44/12</f>
        <v>8.996828541368343E-2</v>
      </c>
      <c r="DI48" s="24">
        <f t="shared" si="15"/>
        <v>22.414927372217463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537</v>
      </c>
      <c r="DM48" s="13">
        <f>VLOOKUP(A48,'Données projet'!$A$165:$I$185,9,0)</f>
        <v>19.399999999999999</v>
      </c>
      <c r="DN48" s="13">
        <f t="array" ref="DN48">INDEX(DM:DM,MIN(IF(ISNUMBER(DM48:DM244),ROW(DM48:DM244),"")))</f>
        <v>19.399999999999999</v>
      </c>
      <c r="DO48" s="13">
        <f>IF('Données projet'!$A$166&gt;35,DO47+DN48-DW47,IF(A48&lt;'Données projet'!$A$166,$DL$205^A48,IF(A48='Données projet'!$A$166,'Données projet'!$B$166,DO47+DN48-DW47)))</f>
        <v>537.00000000000011</v>
      </c>
      <c r="DP48" s="18">
        <f>DO48*VLOOKUP('Données projet'!$B$14,Paramètres!$A$1:$I$89,3,0)*VLOOKUP('Données projet'!$B$14,Paramètres!$A$1:$I$89,5,0)</f>
        <v>393.72840000000008</v>
      </c>
      <c r="DQ48" s="14">
        <f t="shared" si="43"/>
        <v>90.504027502577912</v>
      </c>
      <c r="DR48" s="22">
        <f t="shared" si="16"/>
        <v>843.37147790032338</v>
      </c>
      <c r="DS48" s="62">
        <f t="shared" si="17"/>
        <v>1114.1832603111072</v>
      </c>
      <c r="DT48" s="62">
        <f ca="1">AVERAGE(OFFSET($DS$3,0,0,'Données projet'!$E$14+1,1))-AVERAGE(OFFSET($H$3,0,0,'Données projet'!$E$14+1,1))</f>
        <v>667.0152731006724</v>
      </c>
      <c r="DU48" s="62">
        <f t="shared" si="44"/>
        <v>567.40780872008088</v>
      </c>
      <c r="DV48" s="16">
        <f>IF(ISNA(VLOOKUP(A48,'Données projet'!$A$165:$I$185,3,0)),0,VLOOKUP(A48,'Données projet'!$A$165:$I$185,3,0))</f>
        <v>280</v>
      </c>
      <c r="DW48" s="16">
        <f>IF(ISNA(VLOOKUP(A48,'Données projet'!$A$165:$I$185,4,0)),0,VLOOKUP(A48,'Données projet'!$A$165:$I$185,4,0))</f>
        <v>26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15.413641676870128</v>
      </c>
      <c r="EC48" s="23">
        <f>EXP(-LN(2)/2)*EC47+(1-EXP(-LN(2)/2))/(LN(2)/2)*DW48*DZ48*VLOOKUP('Données projet'!$B$14,Paramètres!$A$1:$I$89,3,0)*0.475*44/12</f>
        <v>8.1932603815285998E-2</v>
      </c>
      <c r="ED48" s="24">
        <f t="shared" si="18"/>
        <v>15.495574280685414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197.30880000000005</v>
      </c>
      <c r="EL48" s="14">
        <f t="shared" si="45"/>
        <v>49.152257900676076</v>
      </c>
      <c r="EM48" s="22">
        <f t="shared" si="19"/>
        <v>429.25300917701088</v>
      </c>
      <c r="EN48" s="62">
        <f t="shared" si="20"/>
        <v>700.06479158779462</v>
      </c>
      <c r="EO48" s="62">
        <f ca="1">AVERAGE(OFFSET($EN$3,0,0,'Données projet'!$E$15+1,1))-AVERAGE(OFFSET($H$3,0,0,'Données projet'!$E$15+1,1))</f>
        <v>454.99849419289757</v>
      </c>
      <c r="EP48" s="62">
        <f t="shared" si="46"/>
        <v>288.86643267991928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63.857758839304658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2.7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10.225800000000003</v>
      </c>
      <c r="D49" s="12">
        <f t="shared" si="32"/>
        <v>3.5951796281784958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34.097065949116406</v>
      </c>
      <c r="H49" s="70">
        <f t="shared" si="1"/>
        <v>241.13820618574425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640.62367608279078</v>
      </c>
      <c r="S49" s="62">
        <f ca="1">AVERAGE(OFFSET($R$3,0,0,'Données projet'!$E$9+1,1))-AVERAGE(OFFSET($H$3,0,0,'Données projet'!$E$9+1,1))</f>
        <v>427.57091071251745</v>
      </c>
      <c r="T49" s="62">
        <f t="shared" si="34"/>
        <v>272.62827206514726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684.10547289132114</v>
      </c>
      <c r="AN49" s="62">
        <f ca="1">AVERAGE(OFFSET($AM$3,0,0,'Données projet'!$E$10+1,1))-AVERAGE(OFFSET($H$3,0,0,'Données projet'!$E$10+1,1))</f>
        <v>475.54515523869958</v>
      </c>
      <c r="AO49" s="62">
        <f t="shared" si="36"/>
        <v>301.02979240961452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6.5662574059181926</v>
      </c>
      <c r="AW49" s="23">
        <f>EXP(-LN(2)/2)*AW48+(1-EXP(-LN(2)/2))/(LN(2)/2)*AQ49*AT49*VLOOKUP('Données projet'!$B$10,Paramètres!$A$1:$I$89,3,0)*0.475*44/12</f>
        <v>6.5270430488701917E-2</v>
      </c>
      <c r="AX49" s="23">
        <f t="shared" si="6"/>
        <v>6.6315278364068941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21.939999999999998</v>
      </c>
      <c r="BD49" s="13">
        <f>IF('Données projet'!$A$88&gt;35,BD48+BC49-BL48,IF(A49&lt;'Données projet'!$A$88,$BA$205^A49,IF(A49='Données projet'!$A$88,'Données projet'!$B$88,BD48+BC49-BL48)))</f>
        <v>438.01</v>
      </c>
      <c r="BE49" s="14">
        <f>BD49*VLOOKUP('Données projet'!$B$11,Paramètres!$A$1:$I$89,3,0)*VLOOKUP('Données projet'!$B$11,Paramètres!$A$1:$I$89,5,0)</f>
        <v>244.84759000000003</v>
      </c>
      <c r="BF49" s="14">
        <f t="shared" si="37"/>
        <v>59.481296135283444</v>
      </c>
      <c r="BG49" s="22">
        <f t="shared" si="7"/>
        <v>530.03947668561875</v>
      </c>
      <c r="BH49" s="62">
        <f t="shared" si="8"/>
        <v>801.24195765426384</v>
      </c>
      <c r="BI49" s="62">
        <f ca="1">AVERAGE(OFFSET($BH$3,0,0,'Données projet'!$E$11+1,1))-AVERAGE(OFFSET($H$3,0,0,'Données projet'!$E$11+1,1))</f>
        <v>381.71417599784968</v>
      </c>
      <c r="BJ49" s="62">
        <f t="shared" si="38"/>
        <v>350.49230135197979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23.544054786328044</v>
      </c>
      <c r="BQ49" s="23">
        <f>EXP(-LN(2)/25)*BQ48+(1-EXP(-LN(2)/25))/(LN(2)/25)*Calculateur!BL49*Calculateur!BN49*VLOOKUP('Données projet'!$B$11,Paramètres!$A$1:$I$89,3,0)*0.475*44/12</f>
        <v>18.036610029214458</v>
      </c>
      <c r="BR49" s="23">
        <f>EXP(-LN(2)/2)*BR48+(1-EXP(-LN(2)/2))/(LN(2)/2)*BL49*BO49*VLOOKUP('Données projet'!$B$11,Paramètres!$A$1:$I$89,3,0)*0.475*44/12</f>
        <v>0.27105635508171694</v>
      </c>
      <c r="BS49" s="24">
        <f t="shared" si="9"/>
        <v>41.851721170624224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3.4</v>
      </c>
      <c r="BY49" s="13">
        <f>IF('Données projet'!$A$114&gt;35,BY48+BX49-CG48,IF(A49&lt;'Données projet'!$A$114,$BV$205^A49,IF(A49='Données projet'!$A$114,'Données projet'!$B$114,BY48+BX49-CG48)))</f>
        <v>245.40000000000003</v>
      </c>
      <c r="BZ49" s="14">
        <f>BY49*VLOOKUP('Données projet'!$B$12,Paramètres!$A$1:$I$89,3,0)*VLOOKUP('Données projet'!$B$12,Paramètres!$A$1:$I$89,5,0)</f>
        <v>133.98840000000001</v>
      </c>
      <c r="CA49" s="14">
        <f t="shared" si="39"/>
        <v>34.916334367910679</v>
      </c>
      <c r="CB49" s="22">
        <f t="shared" si="10"/>
        <v>294.17574569077777</v>
      </c>
      <c r="CC49" s="62">
        <f t="shared" si="11"/>
        <v>565.37822665942292</v>
      </c>
      <c r="CD49" s="62">
        <f ca="1">AVERAGE(OFFSET($CC$3,0,0,'Données projet'!$E$12+1,1))-AVERAGE(OFFSET($H$3,0,0,'Données projet'!$E$12+1,1))</f>
        <v>202.72043399839748</v>
      </c>
      <c r="CE49" s="62">
        <f t="shared" si="40"/>
        <v>295.50255983395789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3.7500189525489991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3.7500189525489991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9.6</v>
      </c>
      <c r="CT49" s="13">
        <f>IF('Données projet'!$A$140&gt;35,CT48+CS49-DB48,IF(A49&lt;'Données projet'!$A$140,$CQ$205^A49,IF(A49='Données projet'!$A$140,'Données projet'!$B$140,CT48+CS49-DB48)))</f>
        <v>213.60000000000011</v>
      </c>
      <c r="CU49" s="18">
        <f>CT49*VLOOKUP('Données projet'!$B$13,Paramètres!$A$1:$I$89,3,0)*VLOOKUP('Données projet'!$B$13,Paramètres!$A$1:$I$89,5,0)</f>
        <v>186.60096000000013</v>
      </c>
      <c r="CV49" s="14">
        <f t="shared" si="41"/>
        <v>46.787685683664144</v>
      </c>
      <c r="CW49" s="22">
        <f t="shared" si="13"/>
        <v>406.48522456571527</v>
      </c>
      <c r="CX49" s="62">
        <f t="shared" si="14"/>
        <v>677.68770553436048</v>
      </c>
      <c r="CY49" s="62">
        <f ca="1">AVERAGE(OFFSET($CX$3,0,0,'Données projet'!$E$13+1,1))-AVERAGE(OFFSET($H$3,0,0,'Données projet'!$E$13+1,1))</f>
        <v>297.56177871222496</v>
      </c>
      <c r="CZ49" s="62">
        <f t="shared" si="42"/>
        <v>421.5717731815397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21.714481906556557</v>
      </c>
      <c r="DH49" s="23">
        <f>EXP(-LN(2)/2)*DH48+(1-EXP(-LN(2)/2))/(LN(2)/2)*DB49*DE49*VLOOKUP('Données projet'!$B$13,Paramètres!$A$1:$I$89,3,0)*0.475*44/12</f>
        <v>6.3617184707742302E-2</v>
      </c>
      <c r="DI49" s="24">
        <f t="shared" si="15"/>
        <v>21.778099091264298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15</v>
      </c>
      <c r="DO49" s="13">
        <f>IF('Données projet'!$A$166&gt;35,DO48+DN49-DW48,IF(A49&lt;'Données projet'!$A$166,$DL$205^A49,IF(A49='Données projet'!$A$166,'Données projet'!$B$166,DO48+DN49-DW48)))</f>
        <v>526.00000000000011</v>
      </c>
      <c r="DP49" s="18">
        <f>DO49*VLOOKUP('Données projet'!$B$14,Paramètres!$A$1:$I$89,3,0)*VLOOKUP('Données projet'!$B$14,Paramètres!$A$1:$I$89,5,0)</f>
        <v>385.66320000000007</v>
      </c>
      <c r="DQ49" s="14">
        <f t="shared" si="43"/>
        <v>88.86395349296626</v>
      </c>
      <c r="DR49" s="22">
        <f t="shared" si="16"/>
        <v>826.46812566691642</v>
      </c>
      <c r="DS49" s="62">
        <f t="shared" si="17"/>
        <v>1097.6706066355616</v>
      </c>
      <c r="DT49" s="62">
        <f ca="1">AVERAGE(OFFSET($DS$3,0,0,'Données projet'!$E$14+1,1))-AVERAGE(OFFSET($H$3,0,0,'Données projet'!$E$14+1,1))</f>
        <v>667.0152731006724</v>
      </c>
      <c r="DU49" s="62">
        <f t="shared" si="44"/>
        <v>567.40780872008088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14.992154834647927</v>
      </c>
      <c r="EC49" s="23">
        <f>EXP(-LN(2)/2)*EC48+(1-EXP(-LN(2)/2))/(LN(2)/2)*DW49*DZ49*VLOOKUP('Données projet'!$B$14,Paramètres!$A$1:$I$89,3,0)*0.475*44/12</f>
        <v>5.7935099758059529E-2</v>
      </c>
      <c r="ED49" s="24">
        <f t="shared" si="18"/>
        <v>15.050089934405987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180.86640000000003</v>
      </c>
      <c r="EL49" s="14">
        <f t="shared" si="45"/>
        <v>45.514890302102152</v>
      </c>
      <c r="EM49" s="22">
        <f t="shared" si="19"/>
        <v>394.28074727616126</v>
      </c>
      <c r="EN49" s="62">
        <f t="shared" si="20"/>
        <v>665.48322824480647</v>
      </c>
      <c r="EO49" s="62">
        <f ca="1">AVERAGE(OFFSET($EN$3,0,0,'Données projet'!$E$15+1,1))-AVERAGE(OFFSET($H$3,0,0,'Données projet'!$E$15+1,1))</f>
        <v>454.99849419289757</v>
      </c>
      <c r="EP49" s="62">
        <f t="shared" si="46"/>
        <v>288.86643267991928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63.964312991448686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2.7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10.448100000000004</v>
      </c>
      <c r="D50" s="12">
        <f t="shared" si="32"/>
        <v>3.6641516640120919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34.659169877918082</v>
      </c>
      <c r="H50" s="70">
        <f t="shared" si="1"/>
        <v>241.64550498148776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662.21352165431881</v>
      </c>
      <c r="S50" s="62">
        <f ca="1">AVERAGE(OFFSET($R$3,0,0,'Données projet'!$E$9+1,1))-AVERAGE(OFFSET($H$3,0,0,'Données projet'!$E$9+1,1))</f>
        <v>427.57091071251745</v>
      </c>
      <c r="T50" s="62">
        <f t="shared" si="34"/>
        <v>272.62827206514726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708.19748933732876</v>
      </c>
      <c r="AN50" s="62">
        <f ca="1">AVERAGE(OFFSET($AM$3,0,0,'Données projet'!$E$10+1,1))-AVERAGE(OFFSET($H$3,0,0,'Données projet'!$E$10+1,1))</f>
        <v>475.54515523869958</v>
      </c>
      <c r="AO50" s="62">
        <f t="shared" si="36"/>
        <v>301.02979240961452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6.3867027518488904</v>
      </c>
      <c r="AW50" s="23">
        <f>EXP(-LN(2)/2)*AW49+(1-EXP(-LN(2)/2))/(LN(2)/2)*AQ50*AT50*VLOOKUP('Données projet'!$B$10,Paramètres!$A$1:$I$89,3,0)*0.475*44/12</f>
        <v>4.6153164009526307E-2</v>
      </c>
      <c r="AX50" s="23">
        <f t="shared" si="6"/>
        <v>6.4328559158584167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21.939999999999998</v>
      </c>
      <c r="BD50" s="13">
        <f>IF('Données projet'!$A$88&gt;35,BD49+BC50-BL49,IF(A50&lt;'Données projet'!$A$88,$BA$205^A50,IF(A50='Données projet'!$A$88,'Données projet'!$B$88,BD49+BC50-BL49)))</f>
        <v>459.95</v>
      </c>
      <c r="BE50" s="14">
        <f>BD50*VLOOKUP('Données projet'!$B$11,Paramètres!$A$1:$I$89,3,0)*VLOOKUP('Données projet'!$B$11,Paramètres!$A$1:$I$89,5,0)</f>
        <v>257.11205000000001</v>
      </c>
      <c r="BF50" s="14">
        <f t="shared" si="37"/>
        <v>62.106384111300585</v>
      </c>
      <c r="BG50" s="22">
        <f t="shared" si="7"/>
        <v>555.97210607718182</v>
      </c>
      <c r="BH50" s="62">
        <f t="shared" si="8"/>
        <v>827.55850785718076</v>
      </c>
      <c r="BI50" s="62">
        <f ca="1">AVERAGE(OFFSET($BH$3,0,0,'Données projet'!$E$11+1,1))-AVERAGE(OFFSET($H$3,0,0,'Données projet'!$E$11+1,1))</f>
        <v>381.71417599784968</v>
      </c>
      <c r="BJ50" s="62">
        <f t="shared" si="38"/>
        <v>350.49230135197979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23.082370232423592</v>
      </c>
      <c r="BQ50" s="23">
        <f>EXP(-LN(2)/25)*BQ49+(1-EXP(-LN(2)/25))/(LN(2)/25)*Calculateur!BL50*Calculateur!BN50*VLOOKUP('Données projet'!$B$11,Paramètres!$A$1:$I$89,3,0)*0.475*44/12</f>
        <v>17.543397979461492</v>
      </c>
      <c r="BR50" s="23">
        <f>EXP(-LN(2)/2)*BR49+(1-EXP(-LN(2)/2))/(LN(2)/2)*BL50*BO50*VLOOKUP('Données projet'!$B$11,Paramètres!$A$1:$I$89,3,0)*0.475*44/12</f>
        <v>0.19166578676199075</v>
      </c>
      <c r="BS50" s="24">
        <f t="shared" si="9"/>
        <v>40.817433998647076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3.4</v>
      </c>
      <c r="BY50" s="13">
        <f>IF('Données projet'!$A$114&gt;35,BY49+BX50-CG49,IF(A50&lt;'Données projet'!$A$114,$BV$205^A50,IF(A50='Données projet'!$A$114,'Données projet'!$B$114,BY49+BX50-CG49)))</f>
        <v>248.80000000000004</v>
      </c>
      <c r="BZ50" s="14">
        <f>BY50*VLOOKUP('Données projet'!$B$12,Paramètres!$A$1:$I$89,3,0)*VLOOKUP('Données projet'!$B$12,Paramètres!$A$1:$I$89,5,0)</f>
        <v>135.84480000000002</v>
      </c>
      <c r="CA50" s="14">
        <f t="shared" si="39"/>
        <v>35.343444786954898</v>
      </c>
      <c r="CB50" s="22">
        <f t="shared" si="10"/>
        <v>298.15285967061317</v>
      </c>
      <c r="CC50" s="62">
        <f t="shared" si="11"/>
        <v>569.73926145061205</v>
      </c>
      <c r="CD50" s="62">
        <f ca="1">AVERAGE(OFFSET($CC$3,0,0,'Données projet'!$E$12+1,1))-AVERAGE(OFFSET($H$3,0,0,'Données projet'!$E$12+1,1))</f>
        <v>202.72043399839748</v>
      </c>
      <c r="CE50" s="62">
        <f t="shared" si="40"/>
        <v>295.50255983395789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3.6474744870866207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3.6474744870866207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9.6</v>
      </c>
      <c r="CT50" s="13">
        <f>IF('Données projet'!$A$140&gt;35,CT49+CS50-DB49,IF(A50&lt;'Données projet'!$A$140,$CQ$205^A50,IF(A50='Données projet'!$A$140,'Données projet'!$B$140,CT49+CS50-DB49)))</f>
        <v>223.2000000000001</v>
      </c>
      <c r="CU50" s="18">
        <f>CT50*VLOOKUP('Données projet'!$B$13,Paramètres!$A$1:$I$89,3,0)*VLOOKUP('Données projet'!$B$13,Paramètres!$A$1:$I$89,5,0)</f>
        <v>194.98752000000013</v>
      </c>
      <c r="CV50" s="14">
        <f t="shared" si="41"/>
        <v>48.640954330020385</v>
      </c>
      <c r="CW50" s="22">
        <f t="shared" si="13"/>
        <v>424.31959279145235</v>
      </c>
      <c r="CX50" s="62">
        <f t="shared" si="14"/>
        <v>695.90599457145117</v>
      </c>
      <c r="CY50" s="62">
        <f ca="1">AVERAGE(OFFSET($CX$3,0,0,'Données projet'!$E$13+1,1))-AVERAGE(OFFSET($H$3,0,0,'Données projet'!$E$13+1,1))</f>
        <v>297.56177871222496</v>
      </c>
      <c r="CZ50" s="62">
        <f t="shared" si="42"/>
        <v>421.5717731815397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21.120698256906795</v>
      </c>
      <c r="DH50" s="23">
        <f>EXP(-LN(2)/2)*DH49+(1-EXP(-LN(2)/2))/(LN(2)/2)*DB50*DE50*VLOOKUP('Données projet'!$B$13,Paramètres!$A$1:$I$89,3,0)*0.475*44/12</f>
        <v>4.4984142706841715E-2</v>
      </c>
      <c r="DI50" s="24">
        <f t="shared" si="15"/>
        <v>21.165682399613637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15</v>
      </c>
      <c r="DO50" s="13">
        <f>IF('Données projet'!$A$166&gt;35,DO49+DN50-DW49,IF(A50&lt;'Données projet'!$A$166,$DL$205^A50,IF(A50='Données projet'!$A$166,'Données projet'!$B$166,DO49+DN50-DW49)))</f>
        <v>541.00000000000011</v>
      </c>
      <c r="DP50" s="18">
        <f>DO50*VLOOKUP('Données projet'!$B$14,Paramètres!$A$1:$I$89,3,0)*VLOOKUP('Données projet'!$B$14,Paramètres!$A$1:$I$89,5,0)</f>
        <v>396.66120000000006</v>
      </c>
      <c r="DQ50" s="14">
        <f t="shared" si="43"/>
        <v>91.099444904009161</v>
      </c>
      <c r="DR50" s="22">
        <f t="shared" si="16"/>
        <v>849.5164565411493</v>
      </c>
      <c r="DS50" s="62">
        <f t="shared" si="17"/>
        <v>1121.1028583211482</v>
      </c>
      <c r="DT50" s="62">
        <f ca="1">AVERAGE(OFFSET($DS$3,0,0,'Données projet'!$E$14+1,1))-AVERAGE(OFFSET($H$3,0,0,'Données projet'!$E$14+1,1))</f>
        <v>667.0152731006724</v>
      </c>
      <c r="DU50" s="62">
        <f t="shared" si="44"/>
        <v>567.40780872008088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14.582193572291322</v>
      </c>
      <c r="EC50" s="23">
        <f>EXP(-LN(2)/2)*EC49+(1-EXP(-LN(2)/2))/(LN(2)/2)*DW50*DZ50*VLOOKUP('Données projet'!$B$14,Paramètres!$A$1:$I$89,3,0)*0.475*44/12</f>
        <v>4.0966301907643006E-2</v>
      </c>
      <c r="ED50" s="24">
        <f t="shared" si="18"/>
        <v>14.623159874198965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191.50560000000004</v>
      </c>
      <c r="EL50" s="14">
        <f t="shared" si="45"/>
        <v>47.872666570685276</v>
      </c>
      <c r="EM50" s="22">
        <f t="shared" si="19"/>
        <v>416.91714761061024</v>
      </c>
      <c r="EN50" s="62">
        <f t="shared" si="20"/>
        <v>688.50354939060912</v>
      </c>
      <c r="EO50" s="62">
        <f ca="1">AVERAGE(OFFSET($EN$3,0,0,'Données projet'!$E$15+1,1))-AVERAGE(OFFSET($H$3,0,0,'Données projet'!$E$15+1,1))</f>
        <v>454.99849419289757</v>
      </c>
      <c r="EP50" s="62">
        <f t="shared" si="46"/>
        <v>288.86643267991928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64.069018667272417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2.7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10.670400000000004</v>
      </c>
      <c r="D51" s="12">
        <f t="shared" si="32"/>
        <v>3.7329530817348471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35.220944543698842</v>
      </c>
      <c r="H51" s="70">
        <f t="shared" si="1"/>
        <v>242.1525066173549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683.77173880228156</v>
      </c>
      <c r="S51" s="62">
        <f ca="1">AVERAGE(OFFSET($R$3,0,0,'Données projet'!$E$9+1,1))-AVERAGE(OFFSET($H$3,0,0,'Données projet'!$E$9+1,1))</f>
        <v>427.57091071251745</v>
      </c>
      <c r="T51" s="62">
        <f t="shared" si="34"/>
        <v>272.62827206514726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732.25523262326692</v>
      </c>
      <c r="AN51" s="62">
        <f ca="1">AVERAGE(OFFSET($AM$3,0,0,'Données projet'!$E$10+1,1))-AVERAGE(OFFSET($H$3,0,0,'Données projet'!$E$10+1,1))</f>
        <v>475.54515523869958</v>
      </c>
      <c r="AO51" s="62">
        <f t="shared" si="36"/>
        <v>301.02979240961452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6.2120580292374816</v>
      </c>
      <c r="AW51" s="23">
        <f>EXP(-LN(2)/2)*AW50+(1-EXP(-LN(2)/2))/(LN(2)/2)*AQ51*AT51*VLOOKUP('Données projet'!$B$10,Paramètres!$A$1:$I$89,3,0)*0.475*44/12</f>
        <v>3.2635215244350958E-2</v>
      </c>
      <c r="AX51" s="23">
        <f t="shared" si="6"/>
        <v>6.2446932444818328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21.939999999999998</v>
      </c>
      <c r="BD51" s="13">
        <f>IF('Données projet'!$A$88&gt;35,BD50+BC51-BL50,IF(A51&lt;'Données projet'!$A$88,$BA$205^A51,IF(A51='Données projet'!$A$88,'Données projet'!$B$88,BD50+BC51-BL50)))</f>
        <v>481.89</v>
      </c>
      <c r="BE51" s="14">
        <f>BD51*VLOOKUP('Données projet'!$B$11,Paramètres!$A$1:$I$89,3,0)*VLOOKUP('Données projet'!$B$11,Paramètres!$A$1:$I$89,5,0)</f>
        <v>269.37651</v>
      </c>
      <c r="BF51" s="14">
        <f t="shared" si="37"/>
        <v>64.716931175288423</v>
      </c>
      <c r="BG51" s="22">
        <f t="shared" si="7"/>
        <v>581.87941004696063</v>
      </c>
      <c r="BH51" s="62">
        <f t="shared" si="8"/>
        <v>853.84307247055449</v>
      </c>
      <c r="BI51" s="62">
        <f ca="1">AVERAGE(OFFSET($BH$3,0,0,'Données projet'!$E$11+1,1))-AVERAGE(OFFSET($H$3,0,0,'Données projet'!$E$11+1,1))</f>
        <v>381.71417599784968</v>
      </c>
      <c r="BJ51" s="62">
        <f t="shared" si="38"/>
        <v>350.49230135197979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22.629739031021437</v>
      </c>
      <c r="BQ51" s="23">
        <f>EXP(-LN(2)/25)*BQ50+(1-EXP(-LN(2)/25))/(LN(2)/25)*Calculateur!BL51*Calculateur!BN51*VLOOKUP('Données projet'!$B$11,Paramètres!$A$1:$I$89,3,0)*0.475*44/12</f>
        <v>17.063672839145912</v>
      </c>
      <c r="BR51" s="23">
        <f>EXP(-LN(2)/2)*BR50+(1-EXP(-LN(2)/2))/(LN(2)/2)*BL51*BO51*VLOOKUP('Données projet'!$B$11,Paramètres!$A$1:$I$89,3,0)*0.475*44/12</f>
        <v>0.13552817754085847</v>
      </c>
      <c r="BS51" s="24">
        <f t="shared" si="9"/>
        <v>39.828940047708208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3.4</v>
      </c>
      <c r="BY51" s="13">
        <f>IF('Données projet'!$A$114&gt;35,BY50+BX51-CG50,IF(A51&lt;'Données projet'!$A$114,$BV$205^A51,IF(A51='Données projet'!$A$114,'Données projet'!$B$114,BY50+BX51-CG50)))</f>
        <v>252.20000000000005</v>
      </c>
      <c r="BZ51" s="14">
        <f>BY51*VLOOKUP('Données projet'!$B$12,Paramètres!$A$1:$I$89,3,0)*VLOOKUP('Données projet'!$B$12,Paramètres!$A$1:$I$89,5,0)</f>
        <v>137.70120000000003</v>
      </c>
      <c r="CA51" s="14">
        <f t="shared" si="39"/>
        <v>35.769876329748612</v>
      </c>
      <c r="CB51" s="22">
        <f t="shared" si="10"/>
        <v>302.12879127431222</v>
      </c>
      <c r="CC51" s="62">
        <f t="shared" si="11"/>
        <v>574.09245369790608</v>
      </c>
      <c r="CD51" s="62">
        <f ca="1">AVERAGE(OFFSET($CC$3,0,0,'Données projet'!$E$12+1,1))-AVERAGE(OFFSET($H$3,0,0,'Données projet'!$E$12+1,1))</f>
        <v>202.72043399839748</v>
      </c>
      <c r="CE51" s="62">
        <f t="shared" si="40"/>
        <v>295.50255983395789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3.5477341054248903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3.5477341054248903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9.6</v>
      </c>
      <c r="CT51" s="13">
        <f>IF('Données projet'!$A$140&gt;35,CT50+CS51-DB50,IF(A51&lt;'Données projet'!$A$140,$CQ$205^A51,IF(A51='Données projet'!$A$140,'Données projet'!$B$140,CT50+CS51-DB50)))</f>
        <v>232.8000000000001</v>
      </c>
      <c r="CU51" s="18">
        <f>CT51*VLOOKUP('Données projet'!$B$13,Paramètres!$A$1:$I$89,3,0)*VLOOKUP('Données projet'!$B$13,Paramètres!$A$1:$I$89,5,0)</f>
        <v>203.37408000000013</v>
      </c>
      <c r="CV51" s="14">
        <f t="shared" si="41"/>
        <v>50.484964849140624</v>
      </c>
      <c r="CW51" s="22">
        <f t="shared" si="13"/>
        <v>442.1378364455868</v>
      </c>
      <c r="CX51" s="62">
        <f t="shared" si="14"/>
        <v>714.10149886918066</v>
      </c>
      <c r="CY51" s="62">
        <f ca="1">AVERAGE(OFFSET($CX$3,0,0,'Données projet'!$E$13+1,1))-AVERAGE(OFFSET($H$3,0,0,'Données projet'!$E$13+1,1))</f>
        <v>297.56177871222496</v>
      </c>
      <c r="CZ51" s="62">
        <f t="shared" si="42"/>
        <v>421.5717731815397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20.543151652382431</v>
      </c>
      <c r="DH51" s="23">
        <f>EXP(-LN(2)/2)*DH50+(1-EXP(-LN(2)/2))/(LN(2)/2)*DB51*DE51*VLOOKUP('Données projet'!$B$13,Paramètres!$A$1:$I$89,3,0)*0.475*44/12</f>
        <v>3.1808592353871151E-2</v>
      </c>
      <c r="DI51" s="24">
        <f t="shared" si="15"/>
        <v>20.574960244736303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15</v>
      </c>
      <c r="DO51" s="13">
        <f>IF('Données projet'!$A$166&gt;35,DO50+DN51-DW50,IF(A51&lt;'Données projet'!$A$166,$DL$205^A51,IF(A51='Données projet'!$A$166,'Données projet'!$B$166,DO50+DN51-DW50)))</f>
        <v>556.00000000000011</v>
      </c>
      <c r="DP51" s="18">
        <f>DO51*VLOOKUP('Données projet'!$B$14,Paramètres!$A$1:$I$89,3,0)*VLOOKUP('Données projet'!$B$14,Paramètres!$A$1:$I$89,5,0)</f>
        <v>407.65920000000011</v>
      </c>
      <c r="DQ51" s="14">
        <f t="shared" si="43"/>
        <v>93.327732241146009</v>
      </c>
      <c r="DR51" s="22">
        <f t="shared" si="16"/>
        <v>872.55224031999614</v>
      </c>
      <c r="DS51" s="62">
        <f t="shared" si="17"/>
        <v>1144.51590274359</v>
      </c>
      <c r="DT51" s="62">
        <f ca="1">AVERAGE(OFFSET($DS$3,0,0,'Données projet'!$E$14+1,1))-AVERAGE(OFFSET($H$3,0,0,'Données projet'!$E$14+1,1))</f>
        <v>667.0152731006724</v>
      </c>
      <c r="DU51" s="62">
        <f t="shared" si="44"/>
        <v>567.40780872008088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14.183442722212783</v>
      </c>
      <c r="EC51" s="23">
        <f>EXP(-LN(2)/2)*EC50+(1-EXP(-LN(2)/2))/(LN(2)/2)*DW51*DZ51*VLOOKUP('Données projet'!$B$14,Paramètres!$A$1:$I$89,3,0)*0.475*44/12</f>
        <v>2.8967549879029768E-2</v>
      </c>
      <c r="ED51" s="24">
        <f t="shared" si="18"/>
        <v>14.212410272091812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202.14480000000003</v>
      </c>
      <c r="EL51" s="14">
        <f t="shared" si="45"/>
        <v>50.215236821738628</v>
      </c>
      <c r="EM51" s="22">
        <f t="shared" si="19"/>
        <v>439.52706413119489</v>
      </c>
      <c r="EN51" s="62">
        <f t="shared" si="20"/>
        <v>711.49072655478881</v>
      </c>
      <c r="EO51" s="62">
        <f ca="1">AVERAGE(OFFSET($EN$3,0,0,'Données projet'!$E$15+1,1))-AVERAGE(OFFSET($H$3,0,0,'Données projet'!$E$15+1,1))</f>
        <v>454.99849419289757</v>
      </c>
      <c r="EP51" s="62">
        <f t="shared" si="46"/>
        <v>288.86643267991928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64.171907933707416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2.7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10.892700000000005</v>
      </c>
      <c r="D52" s="12">
        <f t="shared" si="32"/>
        <v>3.8015878454109502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35.782397596407108</v>
      </c>
      <c r="H52" s="70">
        <f t="shared" si="1"/>
        <v>242.65921799742409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705.29990704934335</v>
      </c>
      <c r="S52" s="62">
        <f ca="1">AVERAGE(OFFSET($R$3,0,0,'Données projet'!$E$9+1,1))-AVERAGE(OFFSET($H$3,0,0,'Données projet'!$E$9+1,1))</f>
        <v>427.57091071251745</v>
      </c>
      <c r="T52" s="62">
        <f t="shared" si="34"/>
        <v>272.62827206514726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756.28043734274354</v>
      </c>
      <c r="AN52" s="62">
        <f ca="1">AVERAGE(OFFSET($AM$3,0,0,'Données projet'!$E$10+1,1))-AVERAGE(OFFSET($H$3,0,0,'Données projet'!$E$10+1,1))</f>
        <v>475.54515523869958</v>
      </c>
      <c r="AO52" s="62">
        <f t="shared" si="36"/>
        <v>301.02979240961452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6.0421889757500491</v>
      </c>
      <c r="AW52" s="23">
        <f>EXP(-LN(2)/2)*AW51+(1-EXP(-LN(2)/2))/(LN(2)/2)*AQ52*AT52*VLOOKUP('Données projet'!$B$10,Paramètres!$A$1:$I$89,3,0)*0.475*44/12</f>
        <v>2.3076582004763153E-2</v>
      </c>
      <c r="AX52" s="23">
        <f t="shared" si="6"/>
        <v>6.0652655577548122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503.83</v>
      </c>
      <c r="BB52" s="13">
        <f>VLOOKUP(A52,'Données projet'!$A$87:$I$107,9,0)</f>
        <v>21.939999999999998</v>
      </c>
      <c r="BC52" s="13">
        <f t="array" ref="BC52">INDEX(BB:BB,MIN(IF(ISNUMBER(BB52:BB248),ROW(BB52:BB248),"")))</f>
        <v>21.939999999999998</v>
      </c>
      <c r="BD52" s="13">
        <f>IF('Données projet'!$A$88&gt;35,BD51+BC52-BL51,IF(A52&lt;'Données projet'!$A$88,$BA$205^A52,IF(A52='Données projet'!$A$88,'Données projet'!$B$88,BD51+BC52-BL51)))</f>
        <v>503.83</v>
      </c>
      <c r="BE52" s="14">
        <f>BD52*VLOOKUP('Données projet'!$B$11,Paramètres!$A$1:$I$89,3,0)*VLOOKUP('Données projet'!$B$11,Paramètres!$A$1:$I$89,5,0)</f>
        <v>281.64096999999998</v>
      </c>
      <c r="BF52" s="14">
        <f t="shared" si="37"/>
        <v>67.313674987907362</v>
      </c>
      <c r="BG52" s="22">
        <f t="shared" si="7"/>
        <v>607.76267335393857</v>
      </c>
      <c r="BH52" s="62">
        <f t="shared" si="8"/>
        <v>880.09705179238949</v>
      </c>
      <c r="BI52" s="62">
        <f ca="1">AVERAGE(OFFSET($BH$3,0,0,'Données projet'!$E$11+1,1))-AVERAGE(OFFSET($H$3,0,0,'Données projet'!$E$11+1,1))</f>
        <v>381.71417599784968</v>
      </c>
      <c r="BJ52" s="62">
        <f t="shared" si="38"/>
        <v>350.49230135197979</v>
      </c>
      <c r="BK52" s="16">
        <f>IF(ISNA(VLOOKUP(A52,'Données projet'!$A$87:$I$107,3,0)),0,VLOOKUP(A52,'Données projet'!$A$87:$I$107,3,0))</f>
        <v>6</v>
      </c>
      <c r="BL52" s="16">
        <f>IF(ISNA(VLOOKUP(A52,'Données projet'!$A$87:$I$107,4,0)),0,VLOOKUP(A52,'Données projet'!$A$87:$I$107,4,0))</f>
        <v>112.61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22.185983651401003</v>
      </c>
      <c r="BQ52" s="23">
        <f>EXP(-LN(2)/25)*BQ51+(1-EXP(-LN(2)/25))/(LN(2)/25)*Calculateur!BL52*Calculateur!BN52*VLOOKUP('Données projet'!$B$11,Paramètres!$A$1:$I$89,3,0)*0.475*44/12</f>
        <v>16.597065808019913</v>
      </c>
      <c r="BR52" s="23">
        <f>EXP(-LN(2)/2)*BR51+(1-EXP(-LN(2)/2))/(LN(2)/2)*BL52*BO52*VLOOKUP('Données projet'!$B$11,Paramètres!$A$1:$I$89,3,0)*0.475*44/12</f>
        <v>9.5832893380995376E-2</v>
      </c>
      <c r="BS52" s="24">
        <f t="shared" si="9"/>
        <v>38.878882352801909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3.4</v>
      </c>
      <c r="BY52" s="13">
        <f>IF('Données projet'!$A$114&gt;35,BY51+BX52-CG51,IF(A52&lt;'Données projet'!$A$114,$BV$205^A52,IF(A52='Données projet'!$A$114,'Données projet'!$B$114,BY51+BX52-CG51)))</f>
        <v>255.60000000000005</v>
      </c>
      <c r="BZ52" s="14">
        <f>BY52*VLOOKUP('Données projet'!$B$12,Paramètres!$A$1:$I$89,3,0)*VLOOKUP('Données projet'!$B$12,Paramètres!$A$1:$I$89,5,0)</f>
        <v>139.55760000000004</v>
      </c>
      <c r="CA52" s="14">
        <f t="shared" si="39"/>
        <v>36.195639206392919</v>
      </c>
      <c r="CB52" s="22">
        <f t="shared" si="10"/>
        <v>306.10355828446768</v>
      </c>
      <c r="CC52" s="62">
        <f t="shared" si="11"/>
        <v>578.43793672291872</v>
      </c>
      <c r="CD52" s="62">
        <f ca="1">AVERAGE(OFFSET($CC$3,0,0,'Données projet'!$E$12+1,1))-AVERAGE(OFFSET($H$3,0,0,'Données projet'!$E$12+1,1))</f>
        <v>202.72043399839748</v>
      </c>
      <c r="CE52" s="62">
        <f t="shared" si="40"/>
        <v>295.50255983395789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3.4507211297448186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3.4507211297448186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9.6</v>
      </c>
      <c r="CT52" s="13">
        <f>IF('Données projet'!$A$140&gt;35,CT51+CS52-DB51,IF(A52&lt;'Données projet'!$A$140,$CQ$205^A52,IF(A52='Données projet'!$A$140,'Données projet'!$B$140,CT51+CS52-DB51)))</f>
        <v>242.40000000000009</v>
      </c>
      <c r="CU52" s="18">
        <f>CT52*VLOOKUP('Données projet'!$B$13,Paramètres!$A$1:$I$89,3,0)*VLOOKUP('Données projet'!$B$13,Paramètres!$A$1:$I$89,5,0)</f>
        <v>211.76064000000011</v>
      </c>
      <c r="CV52" s="14">
        <f t="shared" si="41"/>
        <v>52.320142683061327</v>
      </c>
      <c r="CW52" s="22">
        <f t="shared" si="13"/>
        <v>459.94069650633202</v>
      </c>
      <c r="CX52" s="62">
        <f t="shared" si="14"/>
        <v>732.275074944783</v>
      </c>
      <c r="CY52" s="62">
        <f ca="1">AVERAGE(OFFSET($CX$3,0,0,'Données projet'!$E$13+1,1))-AVERAGE(OFFSET($H$3,0,0,'Données projet'!$E$13+1,1))</f>
        <v>297.56177871222496</v>
      </c>
      <c r="CZ52" s="62">
        <f t="shared" si="42"/>
        <v>421.5717731815397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19.981398090130639</v>
      </c>
      <c r="DH52" s="23">
        <f>EXP(-LN(2)/2)*DH51+(1-EXP(-LN(2)/2))/(LN(2)/2)*DB52*DE52*VLOOKUP('Données projet'!$B$13,Paramètres!$A$1:$I$89,3,0)*0.475*44/12</f>
        <v>2.2492071353420857E-2</v>
      </c>
      <c r="DI52" s="24">
        <f t="shared" si="15"/>
        <v>20.003890161484062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15</v>
      </c>
      <c r="DO52" s="13">
        <f>IF('Données projet'!$A$166&gt;35,DO51+DN52-DW51,IF(A52&lt;'Données projet'!$A$166,$DL$205^A52,IF(A52='Données projet'!$A$166,'Données projet'!$B$166,DO51+DN52-DW51)))</f>
        <v>571.00000000000011</v>
      </c>
      <c r="DP52" s="18">
        <f>DO52*VLOOKUP('Données projet'!$B$14,Paramètres!$A$1:$I$89,3,0)*VLOOKUP('Données projet'!$B$14,Paramètres!$A$1:$I$89,5,0)</f>
        <v>418.6572000000001</v>
      </c>
      <c r="DQ52" s="14">
        <f t="shared" si="43"/>
        <v>95.549032194651417</v>
      </c>
      <c r="DR52" s="22">
        <f t="shared" si="16"/>
        <v>895.57585440568471</v>
      </c>
      <c r="DS52" s="62">
        <f t="shared" si="17"/>
        <v>1167.9102328441356</v>
      </c>
      <c r="DT52" s="62">
        <f ca="1">AVERAGE(OFFSET($DS$3,0,0,'Données projet'!$E$14+1,1))-AVERAGE(OFFSET($H$3,0,0,'Données projet'!$E$14+1,1))</f>
        <v>667.0152731006724</v>
      </c>
      <c r="DU52" s="62">
        <f t="shared" si="44"/>
        <v>567.40780872008088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13.795595735099038</v>
      </c>
      <c r="EC52" s="23">
        <f>EXP(-LN(2)/2)*EC51+(1-EXP(-LN(2)/2))/(LN(2)/2)*DW52*DZ52*VLOOKUP('Données projet'!$B$14,Paramètres!$A$1:$I$89,3,0)*0.475*44/12</f>
        <v>2.0483150953821503E-2</v>
      </c>
      <c r="ED52" s="24">
        <f t="shared" si="18"/>
        <v>13.81607888605286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212.78400000000002</v>
      </c>
      <c r="EL52" s="14">
        <f t="shared" si="45"/>
        <v>52.543492641808065</v>
      </c>
      <c r="EM52" s="22">
        <f t="shared" si="19"/>
        <v>462.11204968448237</v>
      </c>
      <c r="EN52" s="62">
        <f t="shared" si="20"/>
        <v>734.44642812293341</v>
      </c>
      <c r="EO52" s="62">
        <f ca="1">AVERAGE(OFFSET($EN$3,0,0,'Données projet'!$E$15+1,1))-AVERAGE(OFFSET($H$3,0,0,'Données projet'!$E$15+1,1))</f>
        <v>454.99849419289757</v>
      </c>
      <c r="EP52" s="62">
        <f t="shared" si="46"/>
        <v>288.86643267991928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64.273012301395724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2.7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11.115000000000006</v>
      </c>
      <c r="D53" s="12">
        <f t="shared" si="32"/>
        <v>3.8700597480569492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36.343536355899396</v>
      </c>
      <c r="H53" s="70">
        <f t="shared" si="1"/>
        <v>243.16564572786589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726.79944924549113</v>
      </c>
      <c r="S53" s="62">
        <f ca="1">AVERAGE(OFFSET($R$3,0,0,'Données projet'!$E$9+1,1))-AVERAGE(OFFSET($H$3,0,0,'Données projet'!$E$9+1,1))</f>
        <v>427.57091071251745</v>
      </c>
      <c r="T53" s="62">
        <f t="shared" si="34"/>
        <v>272.62827206514726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780.27466503360665</v>
      </c>
      <c r="AN53" s="62">
        <f ca="1">AVERAGE(OFFSET($AM$3,0,0,'Données projet'!$E$10+1,1))-AVERAGE(OFFSET($H$3,0,0,'Données projet'!$E$10+1,1))</f>
        <v>475.54515523869958</v>
      </c>
      <c r="AO53" s="62">
        <f t="shared" si="36"/>
        <v>301.02979240961452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5.8769650004632554</v>
      </c>
      <c r="AW53" s="23">
        <f>EXP(-LN(2)/2)*AW52+(1-EXP(-LN(2)/2))/(LN(2)/2)*AQ53*AT53*VLOOKUP('Données projet'!$B$10,Paramètres!$A$1:$I$89,3,0)*0.475*44/12</f>
        <v>1.6317607622175479E-2</v>
      </c>
      <c r="AX53" s="23">
        <f t="shared" si="6"/>
        <v>5.893282608085431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20.324285714285718</v>
      </c>
      <c r="BD53" s="13">
        <f>IF('Données projet'!$A$88&gt;35,BD52+BC53-BL52,IF(A53&lt;'Données projet'!$A$88,$BA$205^A53,IF(A53='Données projet'!$A$88,'Données projet'!$B$88,BD52+BC53-BL52)))</f>
        <v>411.54428571428571</v>
      </c>
      <c r="BE53" s="14">
        <f>BD53*VLOOKUP('Données projet'!$B$11,Paramètres!$A$1:$I$89,3,0)*VLOOKUP('Données projet'!$B$11,Paramètres!$A$1:$I$89,5,0)</f>
        <v>230.05325571428571</v>
      </c>
      <c r="BF53" s="14">
        <f t="shared" si="37"/>
        <v>56.294196506523747</v>
      </c>
      <c r="BG53" s="22">
        <f t="shared" si="7"/>
        <v>498.72181261790985</v>
      </c>
      <c r="BH53" s="62">
        <f t="shared" si="8"/>
        <v>771.42047597715691</v>
      </c>
      <c r="BI53" s="62">
        <f ca="1">AVERAGE(OFFSET($BH$3,0,0,'Données projet'!$E$11+1,1))-AVERAGE(OFFSET($H$3,0,0,'Données projet'!$E$11+1,1))</f>
        <v>381.71417599784968</v>
      </c>
      <c r="BJ53" s="62">
        <f t="shared" si="38"/>
        <v>350.49230135197979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21.75093004411087</v>
      </c>
      <c r="BQ53" s="23">
        <f>EXP(-LN(2)/25)*BQ52+(1-EXP(-LN(2)/25))/(LN(2)/25)*Calculateur!BL53*Calculateur!BN53*VLOOKUP('Données projet'!$B$11,Paramètres!$A$1:$I$89,3,0)*0.475*44/12</f>
        <v>16.14321817069785</v>
      </c>
      <c r="BR53" s="23">
        <f>EXP(-LN(2)/2)*BR52+(1-EXP(-LN(2)/2))/(LN(2)/2)*BL53*BO53*VLOOKUP('Données projet'!$B$11,Paramètres!$A$1:$I$89,3,0)*0.475*44/12</f>
        <v>6.7764088770429234E-2</v>
      </c>
      <c r="BS53" s="24">
        <f t="shared" si="9"/>
        <v>37.961912303579155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259</v>
      </c>
      <c r="BW53" s="13">
        <f>VLOOKUP(A53,'Données projet'!$A$113:$I$133,9,0)</f>
        <v>3.4</v>
      </c>
      <c r="BX53" s="13">
        <f t="array" ref="BX53">INDEX(BW:BW,MIN(IF(ISNUMBER(BW53:BW249),ROW(BW53:BW249),"")))</f>
        <v>3.4</v>
      </c>
      <c r="BY53" s="13">
        <f>IF('Données projet'!$A$114&gt;35,BY52+BX53-CG52,IF(A53&lt;'Données projet'!$A$114,$BV$205^A53,IF(A53='Données projet'!$A$114,'Données projet'!$B$114,BY52+BX53-CG52)))</f>
        <v>259.00000000000006</v>
      </c>
      <c r="BZ53" s="14">
        <f>BY53*VLOOKUP('Données projet'!$B$12,Paramètres!$A$1:$I$89,3,0)*VLOOKUP('Données projet'!$B$12,Paramètres!$A$1:$I$89,5,0)</f>
        <v>141.41400000000002</v>
      </c>
      <c r="CA53" s="14">
        <f t="shared" si="39"/>
        <v>36.620743339746923</v>
      </c>
      <c r="CB53" s="22">
        <f t="shared" si="10"/>
        <v>310.07717798339257</v>
      </c>
      <c r="CC53" s="62">
        <f t="shared" si="11"/>
        <v>582.77584134263975</v>
      </c>
      <c r="CD53" s="62">
        <f ca="1">AVERAGE(OFFSET($CC$3,0,0,'Données projet'!$E$12+1,1))-AVERAGE(OFFSET($H$3,0,0,'Données projet'!$E$12+1,1))</f>
        <v>202.72043399839748</v>
      </c>
      <c r="CE53" s="62">
        <f t="shared" si="40"/>
        <v>295.50255983395789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259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3.3563609789864088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3.3563609789864088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252</v>
      </c>
      <c r="CR53" s="13">
        <f>VLOOKUP(A53,'Données projet'!$A$139:$I$159,9,0)</f>
        <v>9.6</v>
      </c>
      <c r="CS53" s="13">
        <f t="array" ref="CS53">INDEX(CR:CR,MIN(IF(ISNUMBER(CR53:CR249),ROW(CR53:CR249),"")))</f>
        <v>9.6</v>
      </c>
      <c r="CT53" s="13">
        <f>IF('Données projet'!$A$140&gt;35,CT52+CS53-DB52,IF(A53&lt;'Données projet'!$A$140,$CQ$205^A53,IF(A53='Données projet'!$A$140,'Données projet'!$B$140,CT52+CS53-DB52)))</f>
        <v>252.00000000000009</v>
      </c>
      <c r="CU53" s="18">
        <f>CT53*VLOOKUP('Données projet'!$B$13,Paramètres!$A$1:$I$89,3,0)*VLOOKUP('Données projet'!$B$13,Paramètres!$A$1:$I$89,5,0)</f>
        <v>220.14720000000011</v>
      </c>
      <c r="CV53" s="14">
        <f t="shared" si="41"/>
        <v>54.146877667769687</v>
      </c>
      <c r="CW53" s="22">
        <f t="shared" si="13"/>
        <v>477.72885193803239</v>
      </c>
      <c r="CX53" s="62">
        <f t="shared" si="14"/>
        <v>750.42751529727957</v>
      </c>
      <c r="CY53" s="62">
        <f ca="1">AVERAGE(OFFSET($CX$3,0,0,'Données projet'!$E$13+1,1))-AVERAGE(OFFSET($H$3,0,0,'Données projet'!$E$13+1,1))</f>
        <v>297.56177871222496</v>
      </c>
      <c r="CZ53" s="62">
        <f t="shared" si="42"/>
        <v>421.5717731815397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37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19.435005708579961</v>
      </c>
      <c r="DH53" s="23">
        <f>EXP(-LN(2)/2)*DH52+(1-EXP(-LN(2)/2))/(LN(2)/2)*DB53*DE53*VLOOKUP('Données projet'!$B$13,Paramètres!$A$1:$I$89,3,0)*0.475*44/12</f>
        <v>1.5904296176935576E-2</v>
      </c>
      <c r="DI53" s="24">
        <f t="shared" si="15"/>
        <v>19.450910004756896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586</v>
      </c>
      <c r="DM53" s="13">
        <f>VLOOKUP(A53,'Données projet'!$A$165:$I$185,9,0)</f>
        <v>15</v>
      </c>
      <c r="DN53" s="13">
        <f t="array" ref="DN53">INDEX(DM:DM,MIN(IF(ISNUMBER(DM53:DM249),ROW(DM53:DM249),"")))</f>
        <v>15</v>
      </c>
      <c r="DO53" s="13">
        <f>IF('Données projet'!$A$166&gt;35,DO52+DN53-DW52,IF(A53&lt;'Données projet'!$A$166,$DL$205^A53,IF(A53='Données projet'!$A$166,'Données projet'!$B$166,DO52+DN53-DW52)))</f>
        <v>586.00000000000011</v>
      </c>
      <c r="DP53" s="18">
        <f>DO53*VLOOKUP('Données projet'!$B$14,Paramètres!$A$1:$I$89,3,0)*VLOOKUP('Données projet'!$B$14,Paramètres!$A$1:$I$89,5,0)</f>
        <v>429.65520000000004</v>
      </c>
      <c r="DQ53" s="14">
        <f t="shared" si="43"/>
        <v>97.763549421650538</v>
      </c>
      <c r="DR53" s="22">
        <f t="shared" si="16"/>
        <v>918.58765524270802</v>
      </c>
      <c r="DS53" s="62">
        <f t="shared" si="17"/>
        <v>1191.2863186019551</v>
      </c>
      <c r="DT53" s="62">
        <f ca="1">AVERAGE(OFFSET($DS$3,0,0,'Données projet'!$E$14+1,1))-AVERAGE(OFFSET($H$3,0,0,'Données projet'!$E$14+1,1))</f>
        <v>667.0152731006724</v>
      </c>
      <c r="DU53" s="62">
        <f t="shared" si="44"/>
        <v>567.40780872008088</v>
      </c>
      <c r="DV53" s="16">
        <f>IF(ISNA(VLOOKUP(A53,'Données projet'!$A$165:$I$185,3,0)),0,VLOOKUP(A53,'Données projet'!$A$165:$I$185,3,0))</f>
        <v>303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13.418354444243905</v>
      </c>
      <c r="EC53" s="23">
        <f>EXP(-LN(2)/2)*EC52+(1-EXP(-LN(2)/2))/(LN(2)/2)*DW53*DZ53*VLOOKUP('Données projet'!$B$14,Paramètres!$A$1:$I$89,3,0)*0.475*44/12</f>
        <v>1.4483774939514884E-2</v>
      </c>
      <c r="ED53" s="24">
        <f t="shared" si="18"/>
        <v>13.43283821918342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223.42320000000004</v>
      </c>
      <c r="EL53" s="14">
        <f t="shared" si="45"/>
        <v>54.858231422257631</v>
      </c>
      <c r="EM53" s="22">
        <f t="shared" si="19"/>
        <v>484.67349306043207</v>
      </c>
      <c r="EN53" s="62">
        <f t="shared" si="20"/>
        <v>757.37215641967919</v>
      </c>
      <c r="EO53" s="62">
        <f ca="1">AVERAGE(OFFSET($EN$3,0,0,'Données projet'!$E$15+1,1))-AVERAGE(OFFSET($H$3,0,0,'Données projet'!$E$15+1,1))</f>
        <v>454.99849419289757</v>
      </c>
      <c r="EP53" s="62">
        <f t="shared" si="46"/>
        <v>288.86643267991928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64.372362734340129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2.7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11.337300000000006</v>
      </c>
      <c r="D54" s="12">
        <f t="shared" si="32"/>
        <v>3.9383724222932535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36.904367832495772</v>
      </c>
      <c r="H54" s="70">
        <f t="shared" si="1"/>
        <v>243.67179613549411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692.94570465349443</v>
      </c>
      <c r="S54" s="62">
        <f ca="1">AVERAGE(OFFSET($R$3,0,0,'Données projet'!$E$9+1,1))-AVERAGE(OFFSET($H$3,0,0,'Données projet'!$E$9+1,1))</f>
        <v>427.57091071251745</v>
      </c>
      <c r="T54" s="62">
        <f t="shared" si="34"/>
        <v>272.62827206514726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742.38289835056662</v>
      </c>
      <c r="AN54" s="62">
        <f ca="1">AVERAGE(OFFSET($AM$3,0,0,'Données projet'!$E$10+1,1))-AVERAGE(OFFSET($H$3,0,0,'Données projet'!$E$10+1,1))</f>
        <v>475.54515523869958</v>
      </c>
      <c r="AO54" s="62">
        <f t="shared" si="36"/>
        <v>301.02979240961452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5.7162590834694305</v>
      </c>
      <c r="AW54" s="23">
        <f>EXP(-LN(2)/2)*AW53+(1-EXP(-LN(2)/2))/(LN(2)/2)*AQ54*AT54*VLOOKUP('Données projet'!$B$10,Paramètres!$A$1:$I$89,3,0)*0.475*44/12</f>
        <v>1.1538291002381577E-2</v>
      </c>
      <c r="AX54" s="23">
        <f t="shared" si="6"/>
        <v>5.7277973744718125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20.324285714285718</v>
      </c>
      <c r="BD54" s="13">
        <f>IF('Données projet'!$A$88&gt;35,BD53+BC54-BL53,IF(A54&lt;'Données projet'!$A$88,$BA$205^A54,IF(A54='Données projet'!$A$88,'Données projet'!$B$88,BD53+BC54-BL53)))</f>
        <v>431.86857142857144</v>
      </c>
      <c r="BE54" s="14">
        <f>BD54*VLOOKUP('Données projet'!$B$11,Paramètres!$A$1:$I$89,3,0)*VLOOKUP('Données projet'!$B$11,Paramètres!$A$1:$I$89,5,0)</f>
        <v>241.41453142857142</v>
      </c>
      <c r="BF54" s="14">
        <f t="shared" si="37"/>
        <v>58.743769641045859</v>
      </c>
      <c r="BG54" s="22">
        <f t="shared" si="7"/>
        <v>522.77570769625004</v>
      </c>
      <c r="BH54" s="62">
        <f t="shared" si="8"/>
        <v>795.83233644733662</v>
      </c>
      <c r="BI54" s="62">
        <f ca="1">AVERAGE(OFFSET($BH$3,0,0,'Données projet'!$E$11+1,1))-AVERAGE(OFFSET($H$3,0,0,'Données projet'!$E$11+1,1))</f>
        <v>381.71417599784968</v>
      </c>
      <c r="BJ54" s="62">
        <f t="shared" si="38"/>
        <v>350.49230135197979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21.324407572703198</v>
      </c>
      <c r="BQ54" s="23">
        <f>EXP(-LN(2)/25)*BQ53+(1-EXP(-LN(2)/25))/(LN(2)/25)*Calculateur!BL54*Calculateur!BN54*VLOOKUP('Données projet'!$B$11,Paramètres!$A$1:$I$89,3,0)*0.475*44/12</f>
        <v>15.70178102088517</v>
      </c>
      <c r="BR54" s="23">
        <f>EXP(-LN(2)/2)*BR53+(1-EXP(-LN(2)/2))/(LN(2)/2)*BL54*BO54*VLOOKUP('Données projet'!$B$11,Paramètres!$A$1:$I$89,3,0)*0.475*44/12</f>
        <v>4.7916446690497688E-2</v>
      </c>
      <c r="BS54" s="24">
        <f t="shared" si="9"/>
        <v>37.074105040278866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5.6843418860808015E-14</v>
      </c>
      <c r="BZ54" s="14">
        <f>BY54*VLOOKUP('Données projet'!$B$12,Paramètres!$A$1:$I$89,3,0)*VLOOKUP('Données projet'!$B$12,Paramètres!$A$1:$I$89,5,0)</f>
        <v>3.1036506698001178E-14</v>
      </c>
      <c r="CA54" s="14">
        <f t="shared" si="39"/>
        <v>5.3428243983771088E-13</v>
      </c>
      <c r="CB54" s="22">
        <f t="shared" si="10"/>
        <v>9.8459716521636505E-13</v>
      </c>
      <c r="CC54" s="62">
        <f t="shared" si="11"/>
        <v>273.05662875108754</v>
      </c>
      <c r="CD54" s="62">
        <f ca="1">AVERAGE(OFFSET($CC$3,0,0,'Données projet'!$E$12+1,1))-AVERAGE(OFFSET($H$3,0,0,'Données projet'!$E$12+1,1))</f>
        <v>202.72043399839748</v>
      </c>
      <c r="CE54" s="62">
        <f t="shared" si="40"/>
        <v>295.50255983395789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3.2645811115126726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3.2645811115126726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8.6</v>
      </c>
      <c r="CT54" s="13">
        <f>IF('Données projet'!$A$140&gt;35,CT53+CS54-DB53,IF(A54&lt;'Données projet'!$A$140,$CQ$205^A54,IF(A54='Données projet'!$A$140,'Données projet'!$B$140,CT53+CS54-DB53)))</f>
        <v>223.60000000000008</v>
      </c>
      <c r="CU54" s="18">
        <f>CT54*VLOOKUP('Données projet'!$B$13,Paramètres!$A$1:$I$89,3,0)*VLOOKUP('Données projet'!$B$13,Paramètres!$A$1:$I$89,5,0)</f>
        <v>195.33696000000009</v>
      </c>
      <c r="CV54" s="14">
        <f t="shared" si="41"/>
        <v>48.717969863105488</v>
      </c>
      <c r="CW54" s="22">
        <f t="shared" si="13"/>
        <v>425.06233617824211</v>
      </c>
      <c r="CX54" s="62">
        <f t="shared" si="14"/>
        <v>698.11896492932874</v>
      </c>
      <c r="CY54" s="62">
        <f ca="1">AVERAGE(OFFSET($CX$3,0,0,'Données projet'!$E$13+1,1))-AVERAGE(OFFSET($H$3,0,0,'Données projet'!$E$13+1,1))</f>
        <v>297.56177871222496</v>
      </c>
      <c r="CZ54" s="62">
        <f t="shared" si="42"/>
        <v>421.5717731815397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18.903554455436311</v>
      </c>
      <c r="DH54" s="23">
        <f>EXP(-LN(2)/2)*DH53+(1-EXP(-LN(2)/2))/(LN(2)/2)*DB54*DE54*VLOOKUP('Données projet'!$B$13,Paramètres!$A$1:$I$89,3,0)*0.475*44/12</f>
        <v>1.1246035676710429E-2</v>
      </c>
      <c r="DI54" s="24">
        <f t="shared" si="15"/>
        <v>18.91480049111302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12.6</v>
      </c>
      <c r="DO54" s="13">
        <f>IF('Données projet'!$A$166&gt;35,DO53+DN54-DW53,IF(A54&lt;'Données projet'!$A$166,$DL$205^A54,IF(A54='Données projet'!$A$166,'Données projet'!$B$166,DO53+DN54-DW53)))</f>
        <v>577.60000000000014</v>
      </c>
      <c r="DP54" s="18">
        <f>DO54*VLOOKUP('Données projet'!$B$14,Paramètres!$A$1:$I$89,3,0)*VLOOKUP('Données projet'!$B$14,Paramètres!$A$1:$I$89,5,0)</f>
        <v>423.49632000000008</v>
      </c>
      <c r="DQ54" s="14">
        <f t="shared" si="43"/>
        <v>96.524243713440171</v>
      </c>
      <c r="DR54" s="22">
        <f t="shared" si="16"/>
        <v>905.70248180090823</v>
      </c>
      <c r="DS54" s="62">
        <f t="shared" si="17"/>
        <v>1178.7591105519948</v>
      </c>
      <c r="DT54" s="62">
        <f ca="1">AVERAGE(OFFSET($DS$3,0,0,'Données projet'!$E$14+1,1))-AVERAGE(OFFSET($H$3,0,0,'Données projet'!$E$14+1,1))</f>
        <v>667.0152731006724</v>
      </c>
      <c r="DU54" s="62">
        <f t="shared" si="44"/>
        <v>567.40780872008088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13.051428836325464</v>
      </c>
      <c r="EC54" s="23">
        <f>EXP(-LN(2)/2)*EC53+(1-EXP(-LN(2)/2))/(LN(2)/2)*DW54*DZ54*VLOOKUP('Données projet'!$B$14,Paramètres!$A$1:$I$89,3,0)*0.475*44/12</f>
        <v>1.0241575476910751E-2</v>
      </c>
      <c r="ED54" s="24">
        <f t="shared" si="18"/>
        <v>13.061670411802375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206.20704000000001</v>
      </c>
      <c r="EL54" s="14">
        <f t="shared" si="45"/>
        <v>51.105851308113081</v>
      </c>
      <c r="EM54" s="22">
        <f t="shared" si="19"/>
        <v>448.15328569496359</v>
      </c>
      <c r="EN54" s="62">
        <f t="shared" si="20"/>
        <v>721.20991444605011</v>
      </c>
      <c r="EO54" s="62">
        <f ca="1">AVERAGE(OFFSET($EN$3,0,0,'Données projet'!$E$15+1,1))-AVERAGE(OFFSET($H$3,0,0,'Données projet'!$E$15+1,1))</f>
        <v>454.99849419289757</v>
      </c>
      <c r="EP54" s="62">
        <f t="shared" si="46"/>
        <v>288.86643267991928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64.469989659387252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2.7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11.559600000000007</v>
      </c>
      <c r="D55" s="12">
        <f t="shared" si="32"/>
        <v>4.0065293501366073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37.464898745877676</v>
      </c>
      <c r="H55" s="70">
        <f t="shared" si="1"/>
        <v>244.17767528482131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712.90894137027294</v>
      </c>
      <c r="S55" s="62">
        <f ca="1">AVERAGE(OFFSET($R$3,0,0,'Données projet'!$E$9+1,1))-AVERAGE(OFFSET($H$3,0,0,'Données projet'!$E$9+1,1))</f>
        <v>427.57091071251745</v>
      </c>
      <c r="T55" s="62">
        <f t="shared" si="34"/>
        <v>272.62827206514726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764.66080123411973</v>
      </c>
      <c r="AN55" s="62">
        <f ca="1">AVERAGE(OFFSET($AM$3,0,0,'Données projet'!$E$10+1,1))-AVERAGE(OFFSET($H$3,0,0,'Données projet'!$E$10+1,1))</f>
        <v>475.54515523869958</v>
      </c>
      <c r="AO55" s="62">
        <f t="shared" si="36"/>
        <v>301.02979240961452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5.5599476782269583</v>
      </c>
      <c r="AW55" s="23">
        <f>EXP(-LN(2)/2)*AW54+(1-EXP(-LN(2)/2))/(LN(2)/2)*AQ55*AT55*VLOOKUP('Données projet'!$B$10,Paramètres!$A$1:$I$89,3,0)*0.475*44/12</f>
        <v>8.1588038110877396E-3</v>
      </c>
      <c r="AX55" s="23">
        <f t="shared" si="6"/>
        <v>5.5681064820380461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20.324285714285718</v>
      </c>
      <c r="BD55" s="13">
        <f>IF('Données projet'!$A$88&gt;35,BD54+BC55-BL54,IF(A55&lt;'Données projet'!$A$88,$BA$205^A55,IF(A55='Données projet'!$A$88,'Données projet'!$B$88,BD54+BC55-BL54)))</f>
        <v>452.19285714285718</v>
      </c>
      <c r="BE55" s="14">
        <f>BD55*VLOOKUP('Données projet'!$B$11,Paramètres!$A$1:$I$89,3,0)*VLOOKUP('Données projet'!$B$11,Paramètres!$A$1:$I$89,5,0)</f>
        <v>252.77580714285716</v>
      </c>
      <c r="BF55" s="14">
        <f t="shared" si="37"/>
        <v>61.179955647848509</v>
      </c>
      <c r="BG55" s="22">
        <f t="shared" si="7"/>
        <v>546.80628686047896</v>
      </c>
      <c r="BH55" s="62">
        <f t="shared" si="8"/>
        <v>820.21467110414733</v>
      </c>
      <c r="BI55" s="62">
        <f ca="1">AVERAGE(OFFSET($BH$3,0,0,'Données projet'!$E$11+1,1))-AVERAGE(OFFSET($H$3,0,0,'Données projet'!$E$11+1,1))</f>
        <v>381.71417599784968</v>
      </c>
      <c r="BJ55" s="62">
        <f t="shared" si="38"/>
        <v>350.49230135197979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20.906248946806812</v>
      </c>
      <c r="BQ55" s="23">
        <f>EXP(-LN(2)/25)*BQ54+(1-EXP(-LN(2)/25))/(LN(2)/25)*Calculateur!BL55*Calculateur!BN55*VLOOKUP('Données projet'!$B$11,Paramètres!$A$1:$I$89,3,0)*0.475*44/12</f>
        <v>15.272414993148288</v>
      </c>
      <c r="BR55" s="23">
        <f>EXP(-LN(2)/2)*BR54+(1-EXP(-LN(2)/2))/(LN(2)/2)*BL55*BO55*VLOOKUP('Données projet'!$B$11,Paramètres!$A$1:$I$89,3,0)*0.475*44/12</f>
        <v>3.3882044385214617E-2</v>
      </c>
      <c r="BS55" s="24">
        <f t="shared" si="9"/>
        <v>36.212545984340316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5.6843418860808015E-14</v>
      </c>
      <c r="BZ55" s="14">
        <f>BY55*VLOOKUP('Données projet'!$B$12,Paramètres!$A$1:$I$89,3,0)*VLOOKUP('Données projet'!$B$12,Paramètres!$A$1:$I$89,5,0)</f>
        <v>3.1036506698001178E-14</v>
      </c>
      <c r="CA55" s="14">
        <f t="shared" si="39"/>
        <v>5.3428243983771088E-13</v>
      </c>
      <c r="CB55" s="22">
        <f t="shared" si="10"/>
        <v>9.8459716521636505E-13</v>
      </c>
      <c r="CC55" s="62">
        <f t="shared" si="11"/>
        <v>273.40838424366927</v>
      </c>
      <c r="CD55" s="62">
        <f ca="1">AVERAGE(OFFSET($CC$3,0,0,'Données projet'!$E$12+1,1))-AVERAGE(OFFSET($H$3,0,0,'Données projet'!$E$12+1,1))</f>
        <v>202.72043399839748</v>
      </c>
      <c r="CE55" s="62">
        <f t="shared" si="40"/>
        <v>295.50255983395789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3.1753109693414991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3.1753109693414991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8.6</v>
      </c>
      <c r="CT55" s="13">
        <f>IF('Données projet'!$A$140&gt;35,CT54+CS55-DB54,IF(A55&lt;'Données projet'!$A$140,$CQ$205^A55,IF(A55='Données projet'!$A$140,'Données projet'!$B$140,CT54+CS55-DB54)))</f>
        <v>232.20000000000007</v>
      </c>
      <c r="CU55" s="18">
        <f>CT55*VLOOKUP('Données projet'!$B$13,Paramètres!$A$1:$I$89,3,0)*VLOOKUP('Données projet'!$B$13,Paramètres!$A$1:$I$89,5,0)</f>
        <v>202.84992000000011</v>
      </c>
      <c r="CV55" s="14">
        <f t="shared" si="41"/>
        <v>50.369977187686075</v>
      </c>
      <c r="CW55" s="22">
        <f t="shared" si="13"/>
        <v>441.02465426855338</v>
      </c>
      <c r="CX55" s="62">
        <f t="shared" si="14"/>
        <v>714.43303851222163</v>
      </c>
      <c r="CY55" s="62">
        <f ca="1">AVERAGE(OFFSET($CX$3,0,0,'Données projet'!$E$13+1,1))-AVERAGE(OFFSET($H$3,0,0,'Données projet'!$E$13+1,1))</f>
        <v>297.56177871222496</v>
      </c>
      <c r="CZ55" s="62">
        <f t="shared" si="42"/>
        <v>421.5717731815397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18.386635764757681</v>
      </c>
      <c r="DH55" s="23">
        <f>EXP(-LN(2)/2)*DH54+(1-EXP(-LN(2)/2))/(LN(2)/2)*DB55*DE55*VLOOKUP('Données projet'!$B$13,Paramètres!$A$1:$I$89,3,0)*0.475*44/12</f>
        <v>7.9521480884677878E-3</v>
      </c>
      <c r="DI55" s="24">
        <f t="shared" si="15"/>
        <v>18.394587912846148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12.6</v>
      </c>
      <c r="DO55" s="13">
        <f>IF('Données projet'!$A$166&gt;35,DO54+DN55-DW54,IF(A55&lt;'Données projet'!$A$166,$DL$205^A55,IF(A55='Données projet'!$A$166,'Données projet'!$B$166,DO54+DN55-DW54)))</f>
        <v>590.20000000000016</v>
      </c>
      <c r="DP55" s="18">
        <f>DO55*VLOOKUP('Données projet'!$B$14,Paramètres!$A$1:$I$89,3,0)*VLOOKUP('Données projet'!$B$14,Paramètres!$A$1:$I$89,5,0)</f>
        <v>432.73464000000013</v>
      </c>
      <c r="DQ55" s="14">
        <f t="shared" si="43"/>
        <v>98.382425402284056</v>
      </c>
      <c r="DR55" s="22">
        <f t="shared" si="16"/>
        <v>925.02888890897827</v>
      </c>
      <c r="DS55" s="62">
        <f t="shared" si="17"/>
        <v>1198.4372731526466</v>
      </c>
      <c r="DT55" s="62">
        <f ca="1">AVERAGE(OFFSET($DS$3,0,0,'Données projet'!$E$14+1,1))-AVERAGE(OFFSET($H$3,0,0,'Données projet'!$E$14+1,1))</f>
        <v>667.0152731006724</v>
      </c>
      <c r="DU55" s="62">
        <f t="shared" si="44"/>
        <v>567.40780872008088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12.69453682845133</v>
      </c>
      <c r="EC55" s="23">
        <f>EXP(-LN(2)/2)*EC54+(1-EXP(-LN(2)/2))/(LN(2)/2)*DW55*DZ55*VLOOKUP('Données projet'!$B$14,Paramètres!$A$1:$I$89,3,0)*0.475*44/12</f>
        <v>7.241887469757442E-3</v>
      </c>
      <c r="ED55" s="24">
        <f t="shared" si="18"/>
        <v>12.701778715921087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216.07248000000001</v>
      </c>
      <c r="EL55" s="14">
        <f t="shared" si="45"/>
        <v>53.260365780197098</v>
      </c>
      <c r="EM55" s="22">
        <f t="shared" si="19"/>
        <v>469.08803973384329</v>
      </c>
      <c r="EN55" s="62">
        <f t="shared" si="20"/>
        <v>742.49642397751154</v>
      </c>
      <c r="EO55" s="62">
        <f ca="1">AVERAGE(OFFSET($EN$3,0,0,'Données projet'!$E$15+1,1))-AVERAGE(OFFSET($H$3,0,0,'Données projet'!$E$15+1,1))</f>
        <v>454.99849419289757</v>
      </c>
      <c r="EP55" s="62">
        <f t="shared" si="46"/>
        <v>288.86643267991928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64.565922975545902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2.7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11.781900000000007</v>
      </c>
      <c r="D56" s="12">
        <f t="shared" si="32"/>
        <v>4.0745338720180158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38.025135542490922</v>
      </c>
      <c r="H56" s="70">
        <f t="shared" si="1"/>
        <v>244.68328899376473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732.84731742293184</v>
      </c>
      <c r="S56" s="62">
        <f ca="1">AVERAGE(OFFSET($R$3,0,0,'Données projet'!$E$9+1,1))-AVERAGE(OFFSET($H$3,0,0,'Données projet'!$E$9+1,1))</f>
        <v>427.57091071251745</v>
      </c>
      <c r="T56" s="62">
        <f t="shared" si="34"/>
        <v>272.62827206514726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786.91185647973884</v>
      </c>
      <c r="AN56" s="62">
        <f ca="1">AVERAGE(OFFSET($AM$3,0,0,'Données projet'!$E$10+1,1))-AVERAGE(OFFSET($H$3,0,0,'Données projet'!$E$10+1,1))</f>
        <v>475.54515523869958</v>
      </c>
      <c r="AO56" s="62">
        <f t="shared" si="36"/>
        <v>301.02979240961452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5.4079106165809012</v>
      </c>
      <c r="AW56" s="23">
        <f>EXP(-LN(2)/2)*AW55+(1-EXP(-LN(2)/2))/(LN(2)/2)*AQ56*AT56*VLOOKUP('Données projet'!$B$10,Paramètres!$A$1:$I$89,3,0)*0.475*44/12</f>
        <v>5.7691455011907884E-3</v>
      </c>
      <c r="AX56" s="23">
        <f t="shared" si="6"/>
        <v>5.4136797620820918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20.324285714285718</v>
      </c>
      <c r="BD56" s="13">
        <f>IF('Données projet'!$A$88&gt;35,BD55+BC56-BL55,IF(A56&lt;'Données projet'!$A$88,$BA$205^A56,IF(A56='Données projet'!$A$88,'Données projet'!$B$88,BD55+BC56-BL55)))</f>
        <v>472.51714285714291</v>
      </c>
      <c r="BE56" s="14">
        <f>BD56*VLOOKUP('Données projet'!$B$11,Paramètres!$A$1:$I$89,3,0)*VLOOKUP('Données projet'!$B$11,Paramètres!$A$1:$I$89,5,0)</f>
        <v>264.1370828571429</v>
      </c>
      <c r="BF56" s="14">
        <f t="shared" si="37"/>
        <v>63.60342497029243</v>
      </c>
      <c r="BG56" s="22">
        <f t="shared" si="7"/>
        <v>570.81471779944991</v>
      </c>
      <c r="BH56" s="62">
        <f t="shared" si="8"/>
        <v>844.56875536431119</v>
      </c>
      <c r="BI56" s="62">
        <f ca="1">AVERAGE(OFFSET($BH$3,0,0,'Données projet'!$E$11+1,1))-AVERAGE(OFFSET($H$3,0,0,'Données projet'!$E$11+1,1))</f>
        <v>381.71417599784968</v>
      </c>
      <c r="BJ56" s="62">
        <f t="shared" si="38"/>
        <v>350.49230135197979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20.496290156512678</v>
      </c>
      <c r="BQ56" s="23">
        <f>EXP(-LN(2)/25)*BQ55+(1-EXP(-LN(2)/25))/(LN(2)/25)*Calculateur!BL56*Calculateur!BN56*VLOOKUP('Données projet'!$B$11,Paramètres!$A$1:$I$89,3,0)*0.475*44/12</f>
        <v>14.85479000201925</v>
      </c>
      <c r="BR56" s="23">
        <f>EXP(-LN(2)/2)*BR55+(1-EXP(-LN(2)/2))/(LN(2)/2)*BL56*BO56*VLOOKUP('Données projet'!$B$11,Paramètres!$A$1:$I$89,3,0)*0.475*44/12</f>
        <v>2.3958223345248844E-2</v>
      </c>
      <c r="BS56" s="24">
        <f t="shared" si="9"/>
        <v>35.375038381877175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5.6843418860808015E-14</v>
      </c>
      <c r="BZ56" s="14">
        <f>BY56*VLOOKUP('Données projet'!$B$12,Paramètres!$A$1:$I$89,3,0)*VLOOKUP('Données projet'!$B$12,Paramètres!$A$1:$I$89,5,0)</f>
        <v>3.1036506698001178E-14</v>
      </c>
      <c r="CA56" s="14">
        <f t="shared" si="39"/>
        <v>5.3428243983771088E-13</v>
      </c>
      <c r="CB56" s="22">
        <f t="shared" si="10"/>
        <v>9.8459716521636505E-13</v>
      </c>
      <c r="CC56" s="62">
        <f t="shared" si="11"/>
        <v>273.75403756486224</v>
      </c>
      <c r="CD56" s="62">
        <f ca="1">AVERAGE(OFFSET($CC$3,0,0,'Données projet'!$E$12+1,1))-AVERAGE(OFFSET($H$3,0,0,'Données projet'!$E$12+1,1))</f>
        <v>202.72043399839748</v>
      </c>
      <c r="CE56" s="62">
        <f t="shared" si="40"/>
        <v>295.50255983395789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3.0884819239025094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3.0884819239025094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8.6</v>
      </c>
      <c r="CT56" s="13">
        <f>IF('Données projet'!$A$140&gt;35,CT55+CS56-DB55,IF(A56&lt;'Données projet'!$A$140,$CQ$205^A56,IF(A56='Données projet'!$A$140,'Données projet'!$B$140,CT55+CS56-DB55)))</f>
        <v>240.80000000000007</v>
      </c>
      <c r="CU56" s="18">
        <f>CT56*VLOOKUP('Données projet'!$B$13,Paramètres!$A$1:$I$89,3,0)*VLOOKUP('Données projet'!$B$13,Paramètres!$A$1:$I$89,5,0)</f>
        <v>210.36288000000008</v>
      </c>
      <c r="CV56" s="14">
        <f t="shared" si="41"/>
        <v>52.014876138342963</v>
      </c>
      <c r="CW56" s="22">
        <f t="shared" si="13"/>
        <v>456.97459194094745</v>
      </c>
      <c r="CX56" s="62">
        <f t="shared" si="14"/>
        <v>730.72862950580873</v>
      </c>
      <c r="CY56" s="62">
        <f ca="1">AVERAGE(OFFSET($CX$3,0,0,'Données projet'!$E$13+1,1))-AVERAGE(OFFSET($H$3,0,0,'Données projet'!$E$13+1,1))</f>
        <v>297.56177871222496</v>
      </c>
      <c r="CZ56" s="62">
        <f t="shared" si="42"/>
        <v>421.5717731815397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17.883852242859231</v>
      </c>
      <c r="DH56" s="23">
        <f>EXP(-LN(2)/2)*DH55+(1-EXP(-LN(2)/2))/(LN(2)/2)*DB56*DE56*VLOOKUP('Données projet'!$B$13,Paramètres!$A$1:$I$89,3,0)*0.475*44/12</f>
        <v>5.6230178383552144E-3</v>
      </c>
      <c r="DI56" s="24">
        <f t="shared" si="15"/>
        <v>17.889475260697587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12.6</v>
      </c>
      <c r="DO56" s="13">
        <f>IF('Données projet'!$A$166&gt;35,DO55+DN56-DW55,IF(A56&lt;'Données projet'!$A$166,$DL$205^A56,IF(A56='Données projet'!$A$166,'Données projet'!$B$166,DO55+DN56-DW55)))</f>
        <v>602.80000000000018</v>
      </c>
      <c r="DP56" s="18">
        <f>DO56*VLOOKUP('Données projet'!$B$14,Paramètres!$A$1:$I$89,3,0)*VLOOKUP('Données projet'!$B$14,Paramètres!$A$1:$I$89,5,0)</f>
        <v>441.97296000000017</v>
      </c>
      <c r="DQ56" s="14">
        <f t="shared" si="43"/>
        <v>100.23599489389228</v>
      </c>
      <c r="DR56" s="22">
        <f t="shared" si="16"/>
        <v>944.34726310686267</v>
      </c>
      <c r="DS56" s="62">
        <f t="shared" si="17"/>
        <v>1218.1013006717239</v>
      </c>
      <c r="DT56" s="62">
        <f ca="1">AVERAGE(OFFSET($DS$3,0,0,'Données projet'!$E$14+1,1))-AVERAGE(OFFSET($H$3,0,0,'Données projet'!$E$14+1,1))</f>
        <v>667.0152731006724</v>
      </c>
      <c r="DU56" s="62">
        <f t="shared" si="44"/>
        <v>567.40780872008088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12.34740405130065</v>
      </c>
      <c r="EC56" s="23">
        <f>EXP(-LN(2)/2)*EC55+(1-EXP(-LN(2)/2))/(LN(2)/2)*DW56*DZ56*VLOOKUP('Données projet'!$B$14,Paramètres!$A$1:$I$89,3,0)*0.475*44/12</f>
        <v>5.1207877384553757E-3</v>
      </c>
      <c r="ED56" s="24">
        <f t="shared" si="18"/>
        <v>12.352524839039106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225.93791999999999</v>
      </c>
      <c r="EL56" s="14">
        <f t="shared" si="45"/>
        <v>55.403456067447962</v>
      </c>
      <c r="EM56" s="22">
        <f t="shared" si="19"/>
        <v>490.00289665080521</v>
      </c>
      <c r="EN56" s="62">
        <f t="shared" si="20"/>
        <v>763.75693421566643</v>
      </c>
      <c r="EO56" s="62">
        <f ca="1">AVERAGE(OFFSET($EN$3,0,0,'Données projet'!$E$15+1,1))-AVERAGE(OFFSET($H$3,0,0,'Données projet'!$E$15+1,1))</f>
        <v>454.99849419289757</v>
      </c>
      <c r="EP56" s="62">
        <f t="shared" si="46"/>
        <v>288.86643267991928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64.660192063143981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2.7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12.004200000000008</v>
      </c>
      <c r="D57" s="12">
        <f t="shared" si="32"/>
        <v>4.1423891951008214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38.585084411598096</v>
      </c>
      <c r="H57" s="70">
        <f t="shared" si="1"/>
        <v>245.18864284813398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752.76185136145784</v>
      </c>
      <c r="S57" s="62">
        <f ca="1">AVERAGE(OFFSET($R$3,0,0,'Données projet'!$E$9+1,1))-AVERAGE(OFFSET($H$3,0,0,'Données projet'!$E$9+1,1))</f>
        <v>427.57091071251745</v>
      </c>
      <c r="T57" s="62">
        <f t="shared" si="34"/>
        <v>272.62827206514726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809.13717931324936</v>
      </c>
      <c r="AN57" s="62">
        <f ca="1">AVERAGE(OFFSET($AM$3,0,0,'Données projet'!$E$10+1,1))-AVERAGE(OFFSET($H$3,0,0,'Données projet'!$E$10+1,1))</f>
        <v>475.54515523869958</v>
      </c>
      <c r="AO57" s="62">
        <f t="shared" si="36"/>
        <v>301.02979240961452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5.2600310163808368</v>
      </c>
      <c r="AW57" s="23">
        <f>EXP(-LN(2)/2)*AW56+(1-EXP(-LN(2)/2))/(LN(2)/2)*AQ57*AT57*VLOOKUP('Données projet'!$B$10,Paramètres!$A$1:$I$89,3,0)*0.475*44/12</f>
        <v>4.0794019055438698E-3</v>
      </c>
      <c r="AX57" s="23">
        <f t="shared" si="6"/>
        <v>5.2641104182863803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20.324285714285718</v>
      </c>
      <c r="BD57" s="13">
        <f>IF('Données projet'!$A$88&gt;35,BD56+BC57-BL56,IF(A57&lt;'Données projet'!$A$88,$BA$205^A57,IF(A57='Données projet'!$A$88,'Données projet'!$B$88,BD56+BC57-BL56)))</f>
        <v>492.84142857142865</v>
      </c>
      <c r="BE57" s="14">
        <f>BD57*VLOOKUP('Données projet'!$B$11,Paramètres!$A$1:$I$89,3,0)*VLOOKUP('Données projet'!$B$11,Paramètres!$A$1:$I$89,5,0)</f>
        <v>275.49835857142858</v>
      </c>
      <c r="BF57" s="14">
        <f t="shared" si="37"/>
        <v>66.0147871145425</v>
      </c>
      <c r="BG57" s="22">
        <f t="shared" si="7"/>
        <v>594.80206206973287</v>
      </c>
      <c r="BH57" s="62">
        <f t="shared" si="8"/>
        <v>868.89575664342942</v>
      </c>
      <c r="BI57" s="62">
        <f ca="1">AVERAGE(OFFSET($BH$3,0,0,'Données projet'!$E$11+1,1))-AVERAGE(OFFSET($H$3,0,0,'Données projet'!$E$11+1,1))</f>
        <v>381.71417599784968</v>
      </c>
      <c r="BJ57" s="62">
        <f t="shared" si="38"/>
        <v>350.49230135197979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20.094370408046039</v>
      </c>
      <c r="BQ57" s="23">
        <f>EXP(-LN(2)/25)*BQ56+(1-EXP(-LN(2)/25))/(LN(2)/25)*Calculateur!BL57*Calculateur!BN57*VLOOKUP('Données projet'!$B$11,Paramètres!$A$1:$I$89,3,0)*0.475*44/12</f>
        <v>14.448584988234579</v>
      </c>
      <c r="BR57" s="23">
        <f>EXP(-LN(2)/2)*BR56+(1-EXP(-LN(2)/2))/(LN(2)/2)*BL57*BO57*VLOOKUP('Données projet'!$B$11,Paramètres!$A$1:$I$89,3,0)*0.475*44/12</f>
        <v>1.6941022192607309E-2</v>
      </c>
      <c r="BS57" s="24">
        <f t="shared" si="9"/>
        <v>34.559896418473222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5.6843418860808015E-14</v>
      </c>
      <c r="BZ57" s="14">
        <f>BY57*VLOOKUP('Données projet'!$B$12,Paramètres!$A$1:$I$89,3,0)*VLOOKUP('Données projet'!$B$12,Paramètres!$A$1:$I$89,5,0)</f>
        <v>3.1036506698001178E-14</v>
      </c>
      <c r="CA57" s="14">
        <f t="shared" si="39"/>
        <v>5.3428243983771088E-13</v>
      </c>
      <c r="CB57" s="22">
        <f t="shared" si="10"/>
        <v>9.8459716521636505E-13</v>
      </c>
      <c r="CC57" s="62">
        <f t="shared" si="11"/>
        <v>274.09369457369752</v>
      </c>
      <c r="CD57" s="62">
        <f ca="1">AVERAGE(OFFSET($CC$3,0,0,'Données projet'!$E$12+1,1))-AVERAGE(OFFSET($H$3,0,0,'Données projet'!$E$12+1,1))</f>
        <v>202.72043399839748</v>
      </c>
      <c r="CE57" s="62">
        <f t="shared" si="40"/>
        <v>295.50255983395789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3.0040272232771899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3.0040272232771899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8.6</v>
      </c>
      <c r="CT57" s="13">
        <f>IF('Données projet'!$A$140&gt;35,CT56+CS57-DB56,IF(A57&lt;'Données projet'!$A$140,$CQ$205^A57,IF(A57='Données projet'!$A$140,'Données projet'!$B$140,CT56+CS57-DB56)))</f>
        <v>249.40000000000006</v>
      </c>
      <c r="CU57" s="18">
        <f>CT57*VLOOKUP('Données projet'!$B$13,Paramètres!$A$1:$I$89,3,0)*VLOOKUP('Données projet'!$B$13,Paramètres!$A$1:$I$89,5,0)</f>
        <v>217.87584000000007</v>
      </c>
      <c r="CV57" s="14">
        <f t="shared" si="41"/>
        <v>53.652949670124926</v>
      </c>
      <c r="CW57" s="22">
        <f t="shared" si="13"/>
        <v>472.91264200880101</v>
      </c>
      <c r="CX57" s="62">
        <f t="shared" si="14"/>
        <v>747.00633658249762</v>
      </c>
      <c r="CY57" s="62">
        <f ca="1">AVERAGE(OFFSET($CX$3,0,0,'Données projet'!$E$13+1,1))-AVERAGE(OFFSET($H$3,0,0,'Données projet'!$E$13+1,1))</f>
        <v>297.56177871222496</v>
      </c>
      <c r="CZ57" s="62">
        <f t="shared" si="42"/>
        <v>421.5717731815397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17.394817362807331</v>
      </c>
      <c r="DH57" s="23">
        <f>EXP(-LN(2)/2)*DH56+(1-EXP(-LN(2)/2))/(LN(2)/2)*DB57*DE57*VLOOKUP('Données projet'!$B$13,Paramètres!$A$1:$I$89,3,0)*0.475*44/12</f>
        <v>3.9760740442338939E-3</v>
      </c>
      <c r="DI57" s="24">
        <f t="shared" si="15"/>
        <v>17.398793436851566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12.6</v>
      </c>
      <c r="DO57" s="13">
        <f>IF('Données projet'!$A$166&gt;35,DO56+DN57-DW56,IF(A57&lt;'Données projet'!$A$166,$DL$205^A57,IF(A57='Données projet'!$A$166,'Données projet'!$B$166,DO56+DN57-DW56)))</f>
        <v>615.4000000000002</v>
      </c>
      <c r="DP57" s="18">
        <f>DO57*VLOOKUP('Données projet'!$B$14,Paramètres!$A$1:$I$89,3,0)*VLOOKUP('Données projet'!$B$14,Paramètres!$A$1:$I$89,5,0)</f>
        <v>451.2112800000001</v>
      </c>
      <c r="DQ57" s="14">
        <f t="shared" si="43"/>
        <v>102.08505970117993</v>
      </c>
      <c r="DR57" s="22">
        <f t="shared" si="16"/>
        <v>963.65779164622188</v>
      </c>
      <c r="DS57" s="62">
        <f t="shared" si="17"/>
        <v>1237.7514862199184</v>
      </c>
      <c r="DT57" s="62">
        <f ca="1">AVERAGE(OFFSET($DS$3,0,0,'Données projet'!$E$14+1,1))-AVERAGE(OFFSET($H$3,0,0,'Données projet'!$E$14+1,1))</f>
        <v>667.0152731006724</v>
      </c>
      <c r="DU57" s="62">
        <f t="shared" si="44"/>
        <v>567.40780872008088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12.009763638196075</v>
      </c>
      <c r="EC57" s="23">
        <f>EXP(-LN(2)/2)*EC56+(1-EXP(-LN(2)/2))/(LN(2)/2)*DW57*DZ57*VLOOKUP('Données projet'!$B$14,Paramètres!$A$1:$I$89,3,0)*0.475*44/12</f>
        <v>3.620943734878721E-3</v>
      </c>
      <c r="ED57" s="24">
        <f t="shared" si="18"/>
        <v>12.013384581930953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235.80335999999997</v>
      </c>
      <c r="EL57" s="14">
        <f t="shared" si="45"/>
        <v>57.53567801144218</v>
      </c>
      <c r="EM57" s="22">
        <f t="shared" si="19"/>
        <v>510.89882453659499</v>
      </c>
      <c r="EN57" s="62">
        <f t="shared" si="20"/>
        <v>784.9925191102916</v>
      </c>
      <c r="EO57" s="62">
        <f ca="1">AVERAGE(OFFSET($EN$3,0,0,'Données projet'!$E$15+1,1))-AVERAGE(OFFSET($H$3,0,0,'Données projet'!$E$15+1,1))</f>
        <v>454.99849419289757</v>
      </c>
      <c r="EP57" s="62">
        <f t="shared" si="46"/>
        <v>288.86643267991928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64.752825792826329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2.7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12.226500000000009</v>
      </c>
      <c r="D58" s="12">
        <f t="shared" si="32"/>
        <v>4.2100984009652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39.144751300108304</v>
      </c>
      <c r="H58" s="70">
        <f t="shared" si="1"/>
        <v>245.69374221501442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772.65347920939428</v>
      </c>
      <c r="S58" s="62">
        <f ca="1">AVERAGE(OFFSET($R$3,0,0,'Données projet'!$E$9+1,1))-AVERAGE(OFFSET($H$3,0,0,'Données projet'!$E$9+1,1))</f>
        <v>427.57091071251745</v>
      </c>
      <c r="T58" s="62">
        <f t="shared" si="34"/>
        <v>272.62827206514726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831.33779388702737</v>
      </c>
      <c r="AN58" s="62">
        <f ca="1">AVERAGE(OFFSET($AM$3,0,0,'Données projet'!$E$10+1,1))-AVERAGE(OFFSET($H$3,0,0,'Données projet'!$E$10+1,1))</f>
        <v>475.54515523869958</v>
      </c>
      <c r="AO58" s="62">
        <f t="shared" si="36"/>
        <v>301.02979240961452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5.116195191624894</v>
      </c>
      <c r="AW58" s="23">
        <f>EXP(-LN(2)/2)*AW57+(1-EXP(-LN(2)/2))/(LN(2)/2)*AQ58*AT58*VLOOKUP('Données projet'!$B$10,Paramètres!$A$1:$I$89,3,0)*0.475*44/12</f>
        <v>2.8845727505953942E-3</v>
      </c>
      <c r="AX58" s="23">
        <f t="shared" si="6"/>
        <v>5.1190797643754893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20.324285714285718</v>
      </c>
      <c r="BD58" s="13">
        <f>IF('Données projet'!$A$88&gt;35,BD57+BC58-BL57,IF(A58&lt;'Données projet'!$A$88,$BA$205^A58,IF(A58='Données projet'!$A$88,'Données projet'!$B$88,BD57+BC58-BL57)))</f>
        <v>513.16571428571433</v>
      </c>
      <c r="BE58" s="14">
        <f>BD58*VLOOKUP('Données projet'!$B$11,Paramètres!$A$1:$I$89,3,0)*VLOOKUP('Données projet'!$B$11,Paramètres!$A$1:$I$89,5,0)</f>
        <v>286.85963428571432</v>
      </c>
      <c r="BF58" s="14">
        <f t="shared" si="37"/>
        <v>68.414598471463037</v>
      </c>
      <c r="BG58" s="22">
        <f t="shared" si="7"/>
        <v>618.76928871875054</v>
      </c>
      <c r="BH58" s="62">
        <f t="shared" si="8"/>
        <v>893.19674801153838</v>
      </c>
      <c r="BI58" s="62">
        <f ca="1">AVERAGE(OFFSET($BH$3,0,0,'Données projet'!$E$11+1,1))-AVERAGE(OFFSET($H$3,0,0,'Données projet'!$E$11+1,1))</f>
        <v>381.71417599784968</v>
      </c>
      <c r="BJ58" s="62">
        <f t="shared" si="38"/>
        <v>350.49230135197979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19.700332060699992</v>
      </c>
      <c r="BQ58" s="23">
        <f>EXP(-LN(2)/25)*BQ57+(1-EXP(-LN(2)/25))/(LN(2)/25)*Calculateur!BL58*Calculateur!BN58*VLOOKUP('Données projet'!$B$11,Paramètres!$A$1:$I$89,3,0)*0.475*44/12</f>
        <v>14.053487671913242</v>
      </c>
      <c r="BR58" s="23">
        <f>EXP(-LN(2)/2)*BR57+(1-EXP(-LN(2)/2))/(LN(2)/2)*BL58*BO58*VLOOKUP('Données projet'!$B$11,Paramètres!$A$1:$I$89,3,0)*0.475*44/12</f>
        <v>1.1979111672624422E-2</v>
      </c>
      <c r="BS58" s="24">
        <f t="shared" si="9"/>
        <v>33.765798844285861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5.6843418860808015E-14</v>
      </c>
      <c r="BZ58" s="14">
        <f>BY58*VLOOKUP('Données projet'!$B$12,Paramètres!$A$1:$I$89,3,0)*VLOOKUP('Données projet'!$B$12,Paramètres!$A$1:$I$89,5,0)</f>
        <v>3.1036506698001178E-14</v>
      </c>
      <c r="CA58" s="14">
        <f t="shared" si="39"/>
        <v>5.3428243983771088E-13</v>
      </c>
      <c r="CB58" s="22">
        <f t="shared" si="10"/>
        <v>9.8459716521636505E-13</v>
      </c>
      <c r="CC58" s="62">
        <f t="shared" si="11"/>
        <v>274.42745929278885</v>
      </c>
      <c r="CD58" s="62">
        <f ca="1">AVERAGE(OFFSET($CC$3,0,0,'Données projet'!$E$12+1,1))-AVERAGE(OFFSET($H$3,0,0,'Données projet'!$E$12+1,1))</f>
        <v>202.72043399839748</v>
      </c>
      <c r="CE58" s="62">
        <f t="shared" si="40"/>
        <v>295.50255983395789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2.9218819408817494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2.9218819408817494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258</v>
      </c>
      <c r="CR58" s="13">
        <f>VLOOKUP(A58,'Données projet'!$A$139:$I$159,9,0)</f>
        <v>8.6</v>
      </c>
      <c r="CS58" s="13">
        <f t="array" ref="CS58">INDEX(CR:CR,MIN(IF(ISNUMBER(CR58:CR254),ROW(CR58:CR254),"")))</f>
        <v>8.6</v>
      </c>
      <c r="CT58" s="13">
        <f>IF('Données projet'!$A$140&gt;35,CT57+CS58-DB57,IF(A58&lt;'Données projet'!$A$140,$CQ$205^A58,IF(A58='Données projet'!$A$140,'Données projet'!$B$140,CT57+CS58-DB57)))</f>
        <v>258.00000000000006</v>
      </c>
      <c r="CU58" s="18">
        <f>CT58*VLOOKUP('Données projet'!$B$13,Paramètres!$A$1:$I$89,3,0)*VLOOKUP('Données projet'!$B$13,Paramètres!$A$1:$I$89,5,0)</f>
        <v>225.38880000000009</v>
      </c>
      <c r="CV58" s="14">
        <f t="shared" si="41"/>
        <v>55.284460117161593</v>
      </c>
      <c r="CW58" s="22">
        <f t="shared" si="13"/>
        <v>488.83926137072331</v>
      </c>
      <c r="CX58" s="62">
        <f t="shared" si="14"/>
        <v>763.26672066351125</v>
      </c>
      <c r="CY58" s="62">
        <f ca="1">AVERAGE(OFFSET($CX$3,0,0,'Données projet'!$E$13+1,1))-AVERAGE(OFFSET($H$3,0,0,'Données projet'!$E$13+1,1))</f>
        <v>297.56177871222496</v>
      </c>
      <c r="CZ58" s="62">
        <f t="shared" si="42"/>
        <v>421.5717731815397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258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16.919155167267675</v>
      </c>
      <c r="DH58" s="23">
        <f>EXP(-LN(2)/2)*DH57+(1-EXP(-LN(2)/2))/(LN(2)/2)*DB58*DE58*VLOOKUP('Données projet'!$B$13,Paramètres!$A$1:$I$89,3,0)*0.475*44/12</f>
        <v>2.8115089191776072E-3</v>
      </c>
      <c r="DI58" s="24">
        <f t="shared" si="15"/>
        <v>16.921966676186852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628</v>
      </c>
      <c r="DM58" s="13">
        <f>VLOOKUP(A58,'Données projet'!$A$165:$I$185,9,0)</f>
        <v>12.6</v>
      </c>
      <c r="DN58" s="13">
        <f t="array" ref="DN58">INDEX(DM:DM,MIN(IF(ISNUMBER(DM58:DM254),ROW(DM58:DM254),"")))</f>
        <v>12.6</v>
      </c>
      <c r="DO58" s="13">
        <f>IF('Données projet'!$A$166&gt;35,DO57+DN58-DW57,IF(A58&lt;'Données projet'!$A$166,$DL$205^A58,IF(A58='Données projet'!$A$166,'Données projet'!$B$166,DO57+DN58-DW57)))</f>
        <v>628.00000000000023</v>
      </c>
      <c r="DP58" s="18">
        <f>DO58*VLOOKUP('Données projet'!$B$14,Paramètres!$A$1:$I$89,3,0)*VLOOKUP('Données projet'!$B$14,Paramètres!$A$1:$I$89,5,0)</f>
        <v>460.44960000000015</v>
      </c>
      <c r="DQ58" s="14">
        <f t="shared" si="43"/>
        <v>103.92972268286125</v>
      </c>
      <c r="DR58" s="22">
        <f t="shared" si="16"/>
        <v>982.9606536726501</v>
      </c>
      <c r="DS58" s="62">
        <f t="shared" si="17"/>
        <v>1257.388112965438</v>
      </c>
      <c r="DT58" s="62">
        <f ca="1">AVERAGE(OFFSET($DS$3,0,0,'Données projet'!$E$14+1,1))-AVERAGE(OFFSET($H$3,0,0,'Données projet'!$E$14+1,1))</f>
        <v>667.0152731006724</v>
      </c>
      <c r="DU58" s="62">
        <f t="shared" si="44"/>
        <v>567.40780872008088</v>
      </c>
      <c r="DV58" s="16">
        <f>IF(ISNA(VLOOKUP(A58,'Données projet'!$A$165:$I$185,3,0)),0,VLOOKUP(A58,'Données projet'!$A$165:$I$185,3,0))</f>
        <v>324</v>
      </c>
      <c r="DW58" s="16">
        <f>IF(ISNA(VLOOKUP(A58,'Données projet'!$A$165:$I$185,4,0)),0,VLOOKUP(A58,'Données projet'!$A$165:$I$185,4,0))</f>
        <v>18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11.681356019943582</v>
      </c>
      <c r="EC58" s="23">
        <f>EXP(-LN(2)/2)*EC57+(1-EXP(-LN(2)/2))/(LN(2)/2)*DW58*DZ58*VLOOKUP('Données projet'!$B$14,Paramètres!$A$1:$I$89,3,0)*0.475*44/12</f>
        <v>2.5603938692276879E-3</v>
      </c>
      <c r="ED58" s="24">
        <f t="shared" si="18"/>
        <v>11.68391641381281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245.6688</v>
      </c>
      <c r="EL58" s="14">
        <f t="shared" si="45"/>
        <v>59.657538312400263</v>
      </c>
      <c r="EM58" s="22">
        <f t="shared" si="19"/>
        <v>531.77670589409706</v>
      </c>
      <c r="EN58" s="62">
        <f t="shared" si="20"/>
        <v>806.20416518688489</v>
      </c>
      <c r="EO58" s="62">
        <f ca="1">AVERAGE(OFFSET($EN$3,0,0,'Données projet'!$E$15+1,1))-AVERAGE(OFFSET($H$3,0,0,'Données projet'!$E$15+1,1))</f>
        <v>454.99849419289757</v>
      </c>
      <c r="EP58" s="62">
        <f t="shared" si="46"/>
        <v>288.86643267991928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64.843852534396689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2.7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12.448800000000009</v>
      </c>
      <c r="D59" s="12">
        <f t="shared" si="32"/>
        <v>4.2776644527179668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39.704141926297858</v>
      </c>
      <c r="H59" s="70">
        <f t="shared" si="1"/>
        <v>246.19859225515052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737.30437590346583</v>
      </c>
      <c r="S59" s="62">
        <f ca="1">AVERAGE(OFFSET($R$3,0,0,'Données projet'!$E$9+1,1))-AVERAGE(OFFSET($H$3,0,0,'Données projet'!$E$9+1,1))</f>
        <v>427.57091071251745</v>
      </c>
      <c r="T59" s="62">
        <f t="shared" si="34"/>
        <v>272.62827206514726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791.77683597736132</v>
      </c>
      <c r="AN59" s="62">
        <f ca="1">AVERAGE(OFFSET($AM$3,0,0,'Données projet'!$E$10+1,1))-AVERAGE(OFFSET($H$3,0,0,'Données projet'!$E$10+1,1))</f>
        <v>475.54515523869958</v>
      </c>
      <c r="AO59" s="62">
        <f t="shared" si="36"/>
        <v>301.02979240961452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4.9762925650608993</v>
      </c>
      <c r="AW59" s="23">
        <f>EXP(-LN(2)/2)*AW58+(1-EXP(-LN(2)/2))/(LN(2)/2)*AQ59*AT59*VLOOKUP('Données projet'!$B$10,Paramètres!$A$1:$I$89,3,0)*0.475*44/12</f>
        <v>2.0397009527719349E-3</v>
      </c>
      <c r="AX59" s="23">
        <f t="shared" si="6"/>
        <v>4.9783322660136715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533.49</v>
      </c>
      <c r="BB59" s="13">
        <f>VLOOKUP(A59,'Données projet'!$A$87:$I$107,9,0)</f>
        <v>20.324285714285718</v>
      </c>
      <c r="BC59" s="13">
        <f t="array" ref="BC59">INDEX(BB:BB,MIN(IF(ISNUMBER(BB59:BB255),ROW(BB59:BB255),"")))</f>
        <v>20.324285714285718</v>
      </c>
      <c r="BD59" s="13">
        <f>IF('Données projet'!$A$88&gt;35,BD58+BC59-BL58,IF(A59&lt;'Données projet'!$A$88,$BA$205^A59,IF(A59='Données projet'!$A$88,'Données projet'!$B$88,BD58+BC59-BL58)))</f>
        <v>533.49</v>
      </c>
      <c r="BE59" s="14">
        <f>BD59*VLOOKUP('Données projet'!$B$11,Paramètres!$A$1:$I$89,3,0)*VLOOKUP('Données projet'!$B$11,Paramètres!$A$1:$I$89,5,0)</f>
        <v>298.22091</v>
      </c>
      <c r="BF59" s="14">
        <f t="shared" si="37"/>
        <v>70.803368864473384</v>
      </c>
      <c r="BG59" s="22">
        <f t="shared" si="7"/>
        <v>642.71728568895776</v>
      </c>
      <c r="BH59" s="62">
        <f t="shared" si="8"/>
        <v>917.4727196291467</v>
      </c>
      <c r="BI59" s="62">
        <f ca="1">AVERAGE(OFFSET($BH$3,0,0,'Données projet'!$E$11+1,1))-AVERAGE(OFFSET($H$3,0,0,'Données projet'!$E$11+1,1))</f>
        <v>381.71417599784968</v>
      </c>
      <c r="BJ59" s="62">
        <f t="shared" si="38"/>
        <v>350.49230135197979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94.57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19.314020565005737</v>
      </c>
      <c r="BQ59" s="23">
        <f>EXP(-LN(2)/25)*BQ58+(1-EXP(-LN(2)/25))/(LN(2)/25)*Calculateur!BL59*Calculateur!BN59*VLOOKUP('Données projet'!$B$11,Paramètres!$A$1:$I$89,3,0)*0.475*44/12</f>
        <v>13.669194312483977</v>
      </c>
      <c r="BR59" s="23">
        <f>EXP(-LN(2)/2)*BR58+(1-EXP(-LN(2)/2))/(LN(2)/2)*BL59*BO59*VLOOKUP('Données projet'!$B$11,Paramètres!$A$1:$I$89,3,0)*0.475*44/12</f>
        <v>8.4705110963036543E-3</v>
      </c>
      <c r="BS59" s="24">
        <f t="shared" si="9"/>
        <v>32.991685388586021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5.6843418860808015E-14</v>
      </c>
      <c r="BZ59" s="14">
        <f>BY59*VLOOKUP('Données projet'!$B$12,Paramètres!$A$1:$I$89,3,0)*VLOOKUP('Données projet'!$B$12,Paramètres!$A$1:$I$89,5,0)</f>
        <v>3.1036506698001178E-14</v>
      </c>
      <c r="CA59" s="14">
        <f t="shared" si="39"/>
        <v>5.3428243983771088E-13</v>
      </c>
      <c r="CB59" s="22">
        <f t="shared" si="10"/>
        <v>9.8459716521636505E-13</v>
      </c>
      <c r="CC59" s="62">
        <f t="shared" si="11"/>
        <v>274.75543394018996</v>
      </c>
      <c r="CD59" s="62">
        <f ca="1">AVERAGE(OFFSET($CC$3,0,0,'Données projet'!$E$12+1,1))-AVERAGE(OFFSET($H$3,0,0,'Données projet'!$E$12+1,1))</f>
        <v>202.72043399839748</v>
      </c>
      <c r="CE59" s="62">
        <f t="shared" si="40"/>
        <v>295.50255983395789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2.8419829255532445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2.8419829255532445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5.6843418860808015E-14</v>
      </c>
      <c r="CU59" s="18">
        <f>CT59*VLOOKUP('Données projet'!$B$13,Paramètres!$A$1:$I$89,3,0)*VLOOKUP('Données projet'!$B$13,Paramètres!$A$1:$I$89,5,0)</f>
        <v>4.9658410716801891E-14</v>
      </c>
      <c r="CV59" s="14">
        <f t="shared" si="41"/>
        <v>8.0934058173791862E-13</v>
      </c>
      <c r="CW59" s="22">
        <f t="shared" si="13"/>
        <v>1.4960899118586383E-12</v>
      </c>
      <c r="CX59" s="62">
        <f t="shared" si="14"/>
        <v>274.75543394019047</v>
      </c>
      <c r="CY59" s="62">
        <f ca="1">AVERAGE(OFFSET($CX$3,0,0,'Données projet'!$E$13+1,1))-AVERAGE(OFFSET($H$3,0,0,'Données projet'!$E$13+1,1))</f>
        <v>297.56177871222496</v>
      </c>
      <c r="CZ59" s="62">
        <f t="shared" si="42"/>
        <v>421.5717731815397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16.456499979479041</v>
      </c>
      <c r="DH59" s="23">
        <f>EXP(-LN(2)/2)*DH58+(1-EXP(-LN(2)/2))/(LN(2)/2)*DB59*DE59*VLOOKUP('Données projet'!$B$13,Paramètres!$A$1:$I$89,3,0)*0.475*44/12</f>
        <v>1.988037022116947E-3</v>
      </c>
      <c r="DI59" s="24">
        <f t="shared" si="15"/>
        <v>16.458488016501157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11</v>
      </c>
      <c r="DO59" s="13">
        <f>IF('Données projet'!$A$166&gt;35,DO58+DN59-DW58,IF(A59&lt;'Données projet'!$A$166,$DL$205^A59,IF(A59='Données projet'!$A$166,'Données projet'!$B$166,DO58+DN59-DW58)))</f>
        <v>621.00000000000023</v>
      </c>
      <c r="DP59" s="18">
        <f>DO59*VLOOKUP('Données projet'!$B$14,Paramètres!$A$1:$I$89,3,0)*VLOOKUP('Données projet'!$B$14,Paramètres!$A$1:$I$89,5,0)</f>
        <v>455.31720000000018</v>
      </c>
      <c r="DQ59" s="14">
        <f t="shared" si="43"/>
        <v>102.90544739800977</v>
      </c>
      <c r="DR59" s="22">
        <f t="shared" si="16"/>
        <v>972.2377775515339</v>
      </c>
      <c r="DS59" s="62">
        <f t="shared" si="17"/>
        <v>1246.9932114917228</v>
      </c>
      <c r="DT59" s="62">
        <f ca="1">AVERAGE(OFFSET($DS$3,0,0,'Données projet'!$E$14+1,1))-AVERAGE(OFFSET($H$3,0,0,'Données projet'!$E$14+1,1))</f>
        <v>667.0152731006724</v>
      </c>
      <c r="DU59" s="62">
        <f t="shared" si="44"/>
        <v>567.40780872008088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11.361928725282409</v>
      </c>
      <c r="EC59" s="23">
        <f>EXP(-LN(2)/2)*EC58+(1-EXP(-LN(2)/2))/(LN(2)/2)*DW59*DZ59*VLOOKUP('Données projet'!$B$14,Paramètres!$A$1:$I$89,3,0)*0.475*44/12</f>
        <v>1.8104718674393605E-3</v>
      </c>
      <c r="ED59" s="24">
        <f t="shared" si="18"/>
        <v>11.363739197149849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227.67887999999996</v>
      </c>
      <c r="EL59" s="14">
        <f t="shared" si="45"/>
        <v>55.780505229774469</v>
      </c>
      <c r="EM59" s="22">
        <f t="shared" si="19"/>
        <v>493.69176260852379</v>
      </c>
      <c r="EN59" s="62">
        <f t="shared" si="20"/>
        <v>768.44719654871278</v>
      </c>
      <c r="EO59" s="62">
        <f ca="1">AVERAGE(OFFSET($EN$3,0,0,'Données projet'!$E$15+1,1))-AVERAGE(OFFSET($H$3,0,0,'Données projet'!$E$15+1,1))</f>
        <v>454.99849419289757</v>
      </c>
      <c r="EP59" s="62">
        <f t="shared" si="46"/>
        <v>288.86643267991928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64.933300165506097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2.7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12.67110000000001</v>
      </c>
      <c r="D60" s="12">
        <f t="shared" si="32"/>
        <v>4.3450902015801667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40.263261792523153</v>
      </c>
      <c r="H60" s="70">
        <f t="shared" si="1"/>
        <v>246.70319793441882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755.66405271911958</v>
      </c>
      <c r="S60" s="62">
        <f ca="1">AVERAGE(OFFSET($R$3,0,0,'Données projet'!$E$9+1,1))-AVERAGE(OFFSET($H$3,0,0,'Données projet'!$E$9+1,1))</f>
        <v>427.57091071251745</v>
      </c>
      <c r="T60" s="62">
        <f t="shared" si="34"/>
        <v>272.62827206514726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812.26583023967214</v>
      </c>
      <c r="AN60" s="62">
        <f ca="1">AVERAGE(OFFSET($AM$3,0,0,'Données projet'!$E$10+1,1))-AVERAGE(OFFSET($H$3,0,0,'Données projet'!$E$10+1,1))</f>
        <v>475.54515523869958</v>
      </c>
      <c r="AO60" s="62">
        <f t="shared" si="36"/>
        <v>301.02979240961452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4.8402155831774563</v>
      </c>
      <c r="AW60" s="23">
        <f>EXP(-LN(2)/2)*AW59+(1-EXP(-LN(2)/2))/(LN(2)/2)*AQ60*AT60*VLOOKUP('Données projet'!$B$10,Paramètres!$A$1:$I$89,3,0)*0.475*44/12</f>
        <v>1.4422863752976971E-3</v>
      </c>
      <c r="AX60" s="23">
        <f t="shared" si="6"/>
        <v>4.8416578695527539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18.58285714285714</v>
      </c>
      <c r="BD60" s="13">
        <f>IF('Données projet'!$A$88&gt;35,BD59+BC60-BL59,IF(A60&lt;'Données projet'!$A$88,$BA$205^A60,IF(A60='Données projet'!$A$88,'Données projet'!$B$88,BD59+BC60-BL59)))</f>
        <v>457.50285714285718</v>
      </c>
      <c r="BE60" s="14">
        <f>BD60*VLOOKUP('Données projet'!$B$11,Paramètres!$A$1:$I$89,3,0)*VLOOKUP('Données projet'!$B$11,Paramètres!$A$1:$I$89,5,0)</f>
        <v>255.74409714285716</v>
      </c>
      <c r="BF60" s="14">
        <f t="shared" si="37"/>
        <v>61.814321894325772</v>
      </c>
      <c r="BG60" s="22">
        <f t="shared" si="7"/>
        <v>553.08091315642696</v>
      </c>
      <c r="BH60" s="62">
        <f t="shared" si="8"/>
        <v>828.15863211712622</v>
      </c>
      <c r="BI60" s="62">
        <f ca="1">AVERAGE(OFFSET($BH$3,0,0,'Données projet'!$E$11+1,1))-AVERAGE(OFFSET($H$3,0,0,'Données projet'!$E$11+1,1))</f>
        <v>381.71417599784968</v>
      </c>
      <c r="BJ60" s="62">
        <f t="shared" si="38"/>
        <v>350.49230135197979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18.935284402115304</v>
      </c>
      <c r="BQ60" s="23">
        <f>EXP(-LN(2)/25)*BQ59+(1-EXP(-LN(2)/25))/(LN(2)/25)*Calculateur!BL60*Calculateur!BN60*VLOOKUP('Données projet'!$B$11,Paramètres!$A$1:$I$89,3,0)*0.475*44/12</f>
        <v>13.295409475177415</v>
      </c>
      <c r="BR60" s="23">
        <f>EXP(-LN(2)/2)*BR59+(1-EXP(-LN(2)/2))/(LN(2)/2)*BL60*BO60*VLOOKUP('Données projet'!$B$11,Paramètres!$A$1:$I$89,3,0)*0.475*44/12</f>
        <v>5.989555836312211E-3</v>
      </c>
      <c r="BS60" s="24">
        <f t="shared" si="9"/>
        <v>32.236683433129038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5.6843418860808015E-14</v>
      </c>
      <c r="BZ60" s="14">
        <f>BY60*VLOOKUP('Données projet'!$B$12,Paramètres!$A$1:$I$89,3,0)*VLOOKUP('Données projet'!$B$12,Paramètres!$A$1:$I$89,5,0)</f>
        <v>3.1036506698001178E-14</v>
      </c>
      <c r="CA60" s="14">
        <f t="shared" si="39"/>
        <v>5.3428243983771088E-13</v>
      </c>
      <c r="CB60" s="22">
        <f t="shared" si="10"/>
        <v>9.8459716521636505E-13</v>
      </c>
      <c r="CC60" s="62">
        <f t="shared" si="11"/>
        <v>275.07771896070028</v>
      </c>
      <c r="CD60" s="62">
        <f ca="1">AVERAGE(OFFSET($CC$3,0,0,'Données projet'!$E$12+1,1))-AVERAGE(OFFSET($H$3,0,0,'Données projet'!$E$12+1,1))</f>
        <v>202.72043399839748</v>
      </c>
      <c r="CE60" s="62">
        <f t="shared" si="40"/>
        <v>295.50255983395789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2.7642687530006045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2.7642687530006045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5.6843418860808015E-14</v>
      </c>
      <c r="CU60" s="18">
        <f>CT60*VLOOKUP('Données projet'!$B$13,Paramètres!$A$1:$I$89,3,0)*VLOOKUP('Données projet'!$B$13,Paramètres!$A$1:$I$89,5,0)</f>
        <v>4.9658410716801891E-14</v>
      </c>
      <c r="CV60" s="14">
        <f t="shared" si="41"/>
        <v>8.0934058173791862E-13</v>
      </c>
      <c r="CW60" s="22">
        <f t="shared" si="13"/>
        <v>1.4960899118586383E-12</v>
      </c>
      <c r="CX60" s="62">
        <f t="shared" si="14"/>
        <v>275.07771896070079</v>
      </c>
      <c r="CY60" s="62">
        <f ca="1">AVERAGE(OFFSET($CX$3,0,0,'Données projet'!$E$13+1,1))-AVERAGE(OFFSET($H$3,0,0,'Données projet'!$E$13+1,1))</f>
        <v>297.56177871222496</v>
      </c>
      <c r="CZ60" s="62">
        <f t="shared" si="42"/>
        <v>421.5717731815397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16.006496122130464</v>
      </c>
      <c r="DH60" s="23">
        <f>EXP(-LN(2)/2)*DH59+(1-EXP(-LN(2)/2))/(LN(2)/2)*DB60*DE60*VLOOKUP('Données projet'!$B$13,Paramètres!$A$1:$I$89,3,0)*0.475*44/12</f>
        <v>1.4057544595888036E-3</v>
      </c>
      <c r="DI60" s="24">
        <f t="shared" si="15"/>
        <v>16.007901876590054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11</v>
      </c>
      <c r="DO60" s="13">
        <f>IF('Données projet'!$A$166&gt;35,DO59+DN60-DW59,IF(A60&lt;'Données projet'!$A$166,$DL$205^A60,IF(A60='Données projet'!$A$166,'Données projet'!$B$166,DO59+DN60-DW59)))</f>
        <v>632.00000000000023</v>
      </c>
      <c r="DP60" s="18">
        <f>DO60*VLOOKUP('Données projet'!$B$14,Paramètres!$A$1:$I$89,3,0)*VLOOKUP('Données projet'!$B$14,Paramètres!$A$1:$I$89,5,0)</f>
        <v>463.38240000000013</v>
      </c>
      <c r="DQ60" s="14">
        <f t="shared" si="43"/>
        <v>104.51442549233988</v>
      </c>
      <c r="DR60" s="22">
        <f t="shared" si="16"/>
        <v>989.08697106582531</v>
      </c>
      <c r="DS60" s="62">
        <f t="shared" si="17"/>
        <v>1264.1646900265246</v>
      </c>
      <c r="DT60" s="62">
        <f ca="1">AVERAGE(OFFSET($DS$3,0,0,'Données projet'!$E$14+1,1))-AVERAGE(OFFSET($H$3,0,0,'Données projet'!$E$14+1,1))</f>
        <v>667.0152731006724</v>
      </c>
      <c r="DU60" s="62">
        <f t="shared" si="44"/>
        <v>567.40780872008088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11.051236186791698</v>
      </c>
      <c r="EC60" s="23">
        <f>EXP(-LN(2)/2)*EC59+(1-EXP(-LN(2)/2))/(LN(2)/2)*DW60*DZ60*VLOOKUP('Données projet'!$B$14,Paramètres!$A$1:$I$89,3,0)*0.475*44/12</f>
        <v>1.2801969346138439E-3</v>
      </c>
      <c r="ED60" s="24">
        <f t="shared" si="18"/>
        <v>11.052516383726312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236.77055999999999</v>
      </c>
      <c r="EL60" s="14">
        <f t="shared" si="45"/>
        <v>57.744153841586929</v>
      </c>
      <c r="EM60" s="22">
        <f t="shared" si="19"/>
        <v>512.94645994076382</v>
      </c>
      <c r="EN60" s="62">
        <f t="shared" si="20"/>
        <v>788.02417890146307</v>
      </c>
      <c r="EO60" s="62">
        <f ca="1">AVERAGE(OFFSET($EN$3,0,0,'Données projet'!$E$15+1,1))-AVERAGE(OFFSET($H$3,0,0,'Données projet'!$E$15+1,1))</f>
        <v>454.99849419289757</v>
      </c>
      <c r="EP60" s="62">
        <f t="shared" si="46"/>
        <v>288.86643267991928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65.02119608019072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2.7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12.89340000000001</v>
      </c>
      <c r="D61" s="12">
        <f t="shared" si="32"/>
        <v>4.4123783929993019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40.822116197016221</v>
      </c>
      <c r="H61" s="70">
        <f t="shared" si="1"/>
        <v>247.20756403447382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774.00375564427509</v>
      </c>
      <c r="S61" s="62">
        <f ca="1">AVERAGE(OFFSET($R$3,0,0,'Données projet'!$E$9+1,1))-AVERAGE(OFFSET($H$3,0,0,'Données projet'!$E$9+1,1))</f>
        <v>427.57091071251745</v>
      </c>
      <c r="T61" s="62">
        <f t="shared" si="34"/>
        <v>272.62827206514726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832.73332711079274</v>
      </c>
      <c r="AN61" s="62">
        <f ca="1">AVERAGE(OFFSET($AM$3,0,0,'Données projet'!$E$10+1,1))-AVERAGE(OFFSET($H$3,0,0,'Données projet'!$E$10+1,1))</f>
        <v>475.54515523869958</v>
      </c>
      <c r="AO61" s="62">
        <f t="shared" si="36"/>
        <v>301.02979240961452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4.7078596335195932</v>
      </c>
      <c r="AW61" s="23">
        <f>EXP(-LN(2)/2)*AW60+(1-EXP(-LN(2)/2))/(LN(2)/2)*AQ61*AT61*VLOOKUP('Données projet'!$B$10,Paramètres!$A$1:$I$89,3,0)*0.475*44/12</f>
        <v>1.0198504763859674E-3</v>
      </c>
      <c r="AX61" s="23">
        <f t="shared" si="6"/>
        <v>4.7088794839959789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18.58285714285714</v>
      </c>
      <c r="BD61" s="13">
        <f>IF('Données projet'!$A$88&gt;35,BD60+BC61-BL60,IF(A61&lt;'Données projet'!$A$88,$BA$205^A61,IF(A61='Données projet'!$A$88,'Données projet'!$B$88,BD60+BC61-BL60)))</f>
        <v>476.08571428571435</v>
      </c>
      <c r="BE61" s="14">
        <f>BD61*VLOOKUP('Données projet'!$B$11,Paramètres!$A$1:$I$89,3,0)*VLOOKUP('Données projet'!$B$11,Paramètres!$A$1:$I$89,5,0)</f>
        <v>266.13191428571434</v>
      </c>
      <c r="BF61" s="14">
        <f t="shared" si="37"/>
        <v>64.027675737818782</v>
      </c>
      <c r="BG61" s="22">
        <f t="shared" si="7"/>
        <v>575.02795262432016</v>
      </c>
      <c r="BH61" s="62">
        <f t="shared" si="8"/>
        <v>850.42236568094518</v>
      </c>
      <c r="BI61" s="62">
        <f ca="1">AVERAGE(OFFSET($BH$3,0,0,'Données projet'!$E$11+1,1))-AVERAGE(OFFSET($H$3,0,0,'Données projet'!$E$11+1,1))</f>
        <v>381.71417599784968</v>
      </c>
      <c r="BJ61" s="62">
        <f t="shared" si="38"/>
        <v>350.49230135197979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18.563975024372901</v>
      </c>
      <c r="BQ61" s="23">
        <f>EXP(-LN(2)/25)*BQ60+(1-EXP(-LN(2)/25))/(LN(2)/25)*Calculateur!BL61*Calculateur!BN61*VLOOKUP('Données projet'!$B$11,Paramètres!$A$1:$I$89,3,0)*0.475*44/12</f>
        <v>12.93184580390349</v>
      </c>
      <c r="BR61" s="23">
        <f>EXP(-LN(2)/2)*BR60+(1-EXP(-LN(2)/2))/(LN(2)/2)*BL61*BO61*VLOOKUP('Données projet'!$B$11,Paramètres!$A$1:$I$89,3,0)*0.475*44/12</f>
        <v>4.2352555481518271E-3</v>
      </c>
      <c r="BS61" s="24">
        <f t="shared" si="9"/>
        <v>31.500056083824546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5.6843418860808015E-14</v>
      </c>
      <c r="BZ61" s="14">
        <f>BY61*VLOOKUP('Données projet'!$B$12,Paramètres!$A$1:$I$89,3,0)*VLOOKUP('Données projet'!$B$12,Paramètres!$A$1:$I$89,5,0)</f>
        <v>3.1036506698001178E-14</v>
      </c>
      <c r="CA61" s="14">
        <f t="shared" si="39"/>
        <v>5.3428243983771088E-13</v>
      </c>
      <c r="CB61" s="22">
        <f t="shared" si="10"/>
        <v>9.8459716521636505E-13</v>
      </c>
      <c r="CC61" s="62">
        <f t="shared" si="11"/>
        <v>275.39441305662604</v>
      </c>
      <c r="CD61" s="62">
        <f ca="1">AVERAGE(OFFSET($CC$3,0,0,'Données projet'!$E$12+1,1))-AVERAGE(OFFSET($H$3,0,0,'Données projet'!$E$12+1,1))</f>
        <v>202.72043399839748</v>
      </c>
      <c r="CE61" s="62">
        <f t="shared" si="40"/>
        <v>295.50255983395789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2.688679678583227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2.688679678583227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5.6843418860808015E-14</v>
      </c>
      <c r="CU61" s="18">
        <f>CT61*VLOOKUP('Données projet'!$B$13,Paramètres!$A$1:$I$89,3,0)*VLOOKUP('Données projet'!$B$13,Paramètres!$A$1:$I$89,5,0)</f>
        <v>4.9658410716801891E-14</v>
      </c>
      <c r="CV61" s="14">
        <f t="shared" si="41"/>
        <v>8.0934058173791862E-13</v>
      </c>
      <c r="CW61" s="22">
        <f t="shared" si="13"/>
        <v>1.4960899118586383E-12</v>
      </c>
      <c r="CX61" s="62">
        <f t="shared" si="14"/>
        <v>275.39441305662655</v>
      </c>
      <c r="CY61" s="62">
        <f ca="1">AVERAGE(OFFSET($CX$3,0,0,'Données projet'!$E$13+1,1))-AVERAGE(OFFSET($H$3,0,0,'Données projet'!$E$13+1,1))</f>
        <v>297.56177871222496</v>
      </c>
      <c r="CZ61" s="62">
        <f t="shared" si="42"/>
        <v>421.5717731815397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15.568797643925759</v>
      </c>
      <c r="DH61" s="23">
        <f>EXP(-LN(2)/2)*DH60+(1-EXP(-LN(2)/2))/(LN(2)/2)*DB61*DE61*VLOOKUP('Données projet'!$B$13,Paramètres!$A$1:$I$89,3,0)*0.475*44/12</f>
        <v>9.9401851105847348E-4</v>
      </c>
      <c r="DI61" s="24">
        <f t="shared" si="15"/>
        <v>15.569791662436817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11</v>
      </c>
      <c r="DO61" s="13">
        <f>IF('Données projet'!$A$166&gt;35,DO60+DN61-DW60,IF(A61&lt;'Données projet'!$A$166,$DL$205^A61,IF(A61='Données projet'!$A$166,'Données projet'!$B$166,DO60+DN61-DW60)))</f>
        <v>643.00000000000023</v>
      </c>
      <c r="DP61" s="18">
        <f>DO61*VLOOKUP('Données projet'!$B$14,Paramètres!$A$1:$I$89,3,0)*VLOOKUP('Données projet'!$B$14,Paramètres!$A$1:$I$89,5,0)</f>
        <v>471.44760000000014</v>
      </c>
      <c r="DQ61" s="14">
        <f t="shared" si="43"/>
        <v>106.12014700446248</v>
      </c>
      <c r="DR61" s="22">
        <f t="shared" si="16"/>
        <v>1005.930492699439</v>
      </c>
      <c r="DS61" s="62">
        <f t="shared" si="17"/>
        <v>1281.324905756064</v>
      </c>
      <c r="DT61" s="62">
        <f ca="1">AVERAGE(OFFSET($DS$3,0,0,'Données projet'!$E$14+1,1))-AVERAGE(OFFSET($H$3,0,0,'Données projet'!$E$14+1,1))</f>
        <v>667.0152731006724</v>
      </c>
      <c r="DU61" s="62">
        <f t="shared" si="44"/>
        <v>567.40780872008088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10.749039552104627</v>
      </c>
      <c r="EC61" s="23">
        <f>EXP(-LN(2)/2)*EC60+(1-EXP(-LN(2)/2))/(LN(2)/2)*DW61*DZ61*VLOOKUP('Données projet'!$B$14,Paramètres!$A$1:$I$89,3,0)*0.475*44/12</f>
        <v>9.0523593371968024E-4</v>
      </c>
      <c r="ED61" s="24">
        <f t="shared" si="18"/>
        <v>10.749944788038347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245.86223999999999</v>
      </c>
      <c r="EL61" s="14">
        <f t="shared" si="45"/>
        <v>59.699043025687963</v>
      </c>
      <c r="EM61" s="22">
        <f t="shared" si="19"/>
        <v>532.18590126973982</v>
      </c>
      <c r="EN61" s="62">
        <f t="shared" si="20"/>
        <v>807.58031432636494</v>
      </c>
      <c r="EO61" s="62">
        <f ca="1">AVERAGE(OFFSET($EN$3,0,0,'Données projet'!$E$15+1,1))-AVERAGE(OFFSET($H$3,0,0,'Données projet'!$E$15+1,1))</f>
        <v>454.99849419289757</v>
      </c>
      <c r="EP61" s="62">
        <f t="shared" si="46"/>
        <v>288.86643267991928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65.107567197261375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2.7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13.115700000000011</v>
      </c>
      <c r="D62" s="12">
        <f t="shared" si="32"/>
        <v>4.4795316723280596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41.380710244843648</v>
      </c>
      <c r="H62" s="70">
        <f t="shared" si="1"/>
        <v>247.71169516263808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792.32417444099292</v>
      </c>
      <c r="S62" s="62">
        <f ca="1">AVERAGE(OFFSET($R$3,0,0,'Données projet'!$E$9+1,1))-AVERAGE(OFFSET($H$3,0,0,'Données projet'!$E$9+1,1))</f>
        <v>427.57091071251745</v>
      </c>
      <c r="T62" s="62">
        <f t="shared" si="34"/>
        <v>272.62827206514726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853.1800791415435</v>
      </c>
      <c r="AN62" s="62">
        <f ca="1">AVERAGE(OFFSET($AM$3,0,0,'Données projet'!$E$10+1,1))-AVERAGE(OFFSET($H$3,0,0,'Données projet'!$E$10+1,1))</f>
        <v>475.54515523869958</v>
      </c>
      <c r="AO62" s="62">
        <f t="shared" si="36"/>
        <v>301.02979240961452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4.5791229642654221</v>
      </c>
      <c r="AW62" s="23">
        <f>EXP(-LN(2)/2)*AW61+(1-EXP(-LN(2)/2))/(LN(2)/2)*AQ62*AT62*VLOOKUP('Données projet'!$B$10,Paramètres!$A$1:$I$89,3,0)*0.475*44/12</f>
        <v>7.2114318764884854E-4</v>
      </c>
      <c r="AX62" s="23">
        <f t="shared" si="6"/>
        <v>4.5798441074530709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18.58285714285714</v>
      </c>
      <c r="BD62" s="13">
        <f>IF('Données projet'!$A$88&gt;35,BD61+BC62-BL61,IF(A62&lt;'Données projet'!$A$88,$BA$205^A62,IF(A62='Données projet'!$A$88,'Données projet'!$B$88,BD61+BC62-BL61)))</f>
        <v>494.66857142857151</v>
      </c>
      <c r="BE62" s="14">
        <f>BD62*VLOOKUP('Données projet'!$B$11,Paramètres!$A$1:$I$89,3,0)*VLOOKUP('Données projet'!$B$11,Paramètres!$A$1:$I$89,5,0)</f>
        <v>276.5197314285715</v>
      </c>
      <c r="BF62" s="14">
        <f t="shared" si="37"/>
        <v>66.230993562988985</v>
      </c>
      <c r="BG62" s="22">
        <f t="shared" si="7"/>
        <v>596.9575126936345</v>
      </c>
      <c r="BH62" s="62">
        <f t="shared" si="8"/>
        <v>872.66312591164296</v>
      </c>
      <c r="BI62" s="62">
        <f ca="1">AVERAGE(OFFSET($BH$3,0,0,'Données projet'!$E$11+1,1))-AVERAGE(OFFSET($H$3,0,0,'Données projet'!$E$11+1,1))</f>
        <v>381.71417599784968</v>
      </c>
      <c r="BJ62" s="62">
        <f t="shared" si="38"/>
        <v>350.49230135197979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18.19994679705167</v>
      </c>
      <c r="BQ62" s="23">
        <f>EXP(-LN(2)/25)*BQ61+(1-EXP(-LN(2)/25))/(LN(2)/25)*Calculateur!BL62*Calculateur!BN62*VLOOKUP('Données projet'!$B$11,Paramètres!$A$1:$I$89,3,0)*0.475*44/12</f>
        <v>12.578223800339535</v>
      </c>
      <c r="BR62" s="23">
        <f>EXP(-LN(2)/2)*BR61+(1-EXP(-LN(2)/2))/(LN(2)/2)*BL62*BO62*VLOOKUP('Données projet'!$B$11,Paramètres!$A$1:$I$89,3,0)*0.475*44/12</f>
        <v>2.9947779181561055E-3</v>
      </c>
      <c r="BS62" s="24">
        <f t="shared" si="9"/>
        <v>30.78116537530936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5.6843418860808015E-14</v>
      </c>
      <c r="BZ62" s="14">
        <f>BY62*VLOOKUP('Données projet'!$B$12,Paramètres!$A$1:$I$89,3,0)*VLOOKUP('Données projet'!$B$12,Paramètres!$A$1:$I$89,5,0)</f>
        <v>3.1036506698001178E-14</v>
      </c>
      <c r="CA62" s="14">
        <f t="shared" si="39"/>
        <v>5.3428243983771088E-13</v>
      </c>
      <c r="CB62" s="22">
        <f t="shared" si="10"/>
        <v>9.8459716521636505E-13</v>
      </c>
      <c r="CC62" s="62">
        <f t="shared" si="11"/>
        <v>275.70561321800938</v>
      </c>
      <c r="CD62" s="62">
        <f ca="1">AVERAGE(OFFSET($CC$3,0,0,'Données projet'!$E$12+1,1))-AVERAGE(OFFSET($H$3,0,0,'Données projet'!$E$12+1,1))</f>
        <v>202.72043399839748</v>
      </c>
      <c r="CE62" s="62">
        <f t="shared" si="40"/>
        <v>295.50255983395789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2.6151575913808496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2.6151575913808496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5.6843418860808015E-14</v>
      </c>
      <c r="CU62" s="18">
        <f>CT62*VLOOKUP('Données projet'!$B$13,Paramètres!$A$1:$I$89,3,0)*VLOOKUP('Données projet'!$B$13,Paramètres!$A$1:$I$89,5,0)</f>
        <v>4.9658410716801891E-14</v>
      </c>
      <c r="CV62" s="14">
        <f t="shared" si="41"/>
        <v>8.0934058173791862E-13</v>
      </c>
      <c r="CW62" s="22">
        <f t="shared" si="13"/>
        <v>1.4960899118586383E-12</v>
      </c>
      <c r="CX62" s="62">
        <f t="shared" si="14"/>
        <v>275.70561321800989</v>
      </c>
      <c r="CY62" s="62">
        <f ca="1">AVERAGE(OFFSET($CX$3,0,0,'Données projet'!$E$13+1,1))-AVERAGE(OFFSET($H$3,0,0,'Données projet'!$E$13+1,1))</f>
        <v>297.56177871222496</v>
      </c>
      <c r="CZ62" s="62">
        <f t="shared" si="42"/>
        <v>421.5717731815397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15.143068053625123</v>
      </c>
      <c r="DH62" s="23">
        <f>EXP(-LN(2)/2)*DH61+(1-EXP(-LN(2)/2))/(LN(2)/2)*DB62*DE62*VLOOKUP('Données projet'!$B$13,Paramètres!$A$1:$I$89,3,0)*0.475*44/12</f>
        <v>7.028772297944018E-4</v>
      </c>
      <c r="DI62" s="24">
        <f t="shared" si="15"/>
        <v>15.143770930854918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11</v>
      </c>
      <c r="DO62" s="13">
        <f>IF('Données projet'!$A$166&gt;35,DO61+DN62-DW61,IF(A62&lt;'Données projet'!$A$166,$DL$205^A62,IF(A62='Données projet'!$A$166,'Données projet'!$B$166,DO61+DN62-DW61)))</f>
        <v>654.00000000000023</v>
      </c>
      <c r="DP62" s="18">
        <f>DO62*VLOOKUP('Données projet'!$B$14,Paramètres!$A$1:$I$89,3,0)*VLOOKUP('Données projet'!$B$14,Paramètres!$A$1:$I$89,5,0)</f>
        <v>479.5128000000002</v>
      </c>
      <c r="DQ62" s="14">
        <f t="shared" si="43"/>
        <v>107.7226740747642</v>
      </c>
      <c r="DR62" s="22">
        <f t="shared" si="16"/>
        <v>1022.7684506802146</v>
      </c>
      <c r="DS62" s="62">
        <f t="shared" si="17"/>
        <v>1298.474063898223</v>
      </c>
      <c r="DT62" s="62">
        <f ca="1">AVERAGE(OFFSET($DS$3,0,0,'Données projet'!$E$14+1,1))-AVERAGE(OFFSET($H$3,0,0,'Données projet'!$E$14+1,1))</f>
        <v>667.0152731006724</v>
      </c>
      <c r="DU62" s="62">
        <f t="shared" si="44"/>
        <v>567.40780872008088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10.455106500284902</v>
      </c>
      <c r="EC62" s="23">
        <f>EXP(-LN(2)/2)*EC61+(1-EXP(-LN(2)/2))/(LN(2)/2)*DW62*DZ62*VLOOKUP('Données projet'!$B$14,Paramètres!$A$1:$I$89,3,0)*0.475*44/12</f>
        <v>6.4009846730692197E-4</v>
      </c>
      <c r="ED62" s="24">
        <f t="shared" si="18"/>
        <v>10.455746598752208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254.95391999999998</v>
      </c>
      <c r="EL62" s="14">
        <f t="shared" si="45"/>
        <v>61.645533788540583</v>
      </c>
      <c r="EM62" s="22">
        <f t="shared" si="19"/>
        <v>551.41071534837477</v>
      </c>
      <c r="EN62" s="62">
        <f t="shared" si="20"/>
        <v>827.11632856638312</v>
      </c>
      <c r="EO62" s="62">
        <f ca="1">AVERAGE(OFFSET($EN$3,0,0,'Données projet'!$E$15+1,1))-AVERAGE(OFFSET($H$3,0,0,'Données projet'!$E$15+1,1))</f>
        <v>454.99849419289757</v>
      </c>
      <c r="EP62" s="62">
        <f t="shared" si="46"/>
        <v>288.86643267991928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65.192439968547745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2.7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13.338000000000012</v>
      </c>
      <c r="D63" s="12">
        <f t="shared" si="32"/>
        <v>4.5465525901071562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41.939048858101557</v>
      </c>
      <c r="H63" s="70">
        <f t="shared" si="1"/>
        <v>248.21559576110334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810.62595251552648</v>
      </c>
      <c r="S63" s="62">
        <f ca="1">AVERAGE(OFFSET($R$3,0,0,'Données projet'!$E$9+1,1))-AVERAGE(OFFSET($H$3,0,0,'Données projet'!$E$9+1,1))</f>
        <v>427.57091071251745</v>
      </c>
      <c r="T63" s="62">
        <f t="shared" si="34"/>
        <v>272.62827206514726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873.60678779496902</v>
      </c>
      <c r="AN63" s="62">
        <f ca="1">AVERAGE(OFFSET($AM$3,0,0,'Données projet'!$E$10+1,1))-AVERAGE(OFFSET($H$3,0,0,'Données projet'!$E$10+1,1))</f>
        <v>475.54515523869958</v>
      </c>
      <c r="AO63" s="62">
        <f t="shared" si="36"/>
        <v>301.02979240961452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4.453906606001973</v>
      </c>
      <c r="AW63" s="23">
        <f>EXP(-LN(2)/2)*AW62+(1-EXP(-LN(2)/2))/(LN(2)/2)*AQ63*AT63*VLOOKUP('Données projet'!$B$10,Paramètres!$A$1:$I$89,3,0)*0.475*44/12</f>
        <v>5.0992523819298372E-4</v>
      </c>
      <c r="AX63" s="23">
        <f t="shared" si="6"/>
        <v>4.4544165312401658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18.58285714285714</v>
      </c>
      <c r="BD63" s="13">
        <f>IF('Données projet'!$A$88&gt;35,BD62+BC63-BL62,IF(A63&lt;'Données projet'!$A$88,$BA$205^A63,IF(A63='Données projet'!$A$88,'Données projet'!$B$88,BD62+BC63-BL62)))</f>
        <v>513.25142857142862</v>
      </c>
      <c r="BE63" s="14">
        <f>BD63*VLOOKUP('Données projet'!$B$11,Paramètres!$A$1:$I$89,3,0)*VLOOKUP('Données projet'!$B$11,Paramètres!$A$1:$I$89,5,0)</f>
        <v>286.90754857142861</v>
      </c>
      <c r="BF63" s="14">
        <f t="shared" si="37"/>
        <v>68.424695552593661</v>
      </c>
      <c r="BG63" s="22">
        <f t="shared" si="7"/>
        <v>618.87032518267222</v>
      </c>
      <c r="BH63" s="62">
        <f t="shared" si="8"/>
        <v>894.88173993500345</v>
      </c>
      <c r="BI63" s="62">
        <f ca="1">AVERAGE(OFFSET($BH$3,0,0,'Données projet'!$E$11+1,1))-AVERAGE(OFFSET($H$3,0,0,'Données projet'!$E$11+1,1))</f>
        <v>381.71417599784968</v>
      </c>
      <c r="BJ63" s="62">
        <f t="shared" si="38"/>
        <v>350.49230135197979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17.843056941232913</v>
      </c>
      <c r="BQ63" s="23">
        <f>EXP(-LN(2)/25)*BQ62+(1-EXP(-LN(2)/25))/(LN(2)/25)*Calculateur!BL63*Calculateur!BN63*VLOOKUP('Données projet'!$B$11,Paramètres!$A$1:$I$89,3,0)*0.475*44/12</f>
        <v>12.234271609059208</v>
      </c>
      <c r="BR63" s="23">
        <f>EXP(-LN(2)/2)*BR62+(1-EXP(-LN(2)/2))/(LN(2)/2)*BL63*BO63*VLOOKUP('Données projet'!$B$11,Paramètres!$A$1:$I$89,3,0)*0.475*44/12</f>
        <v>2.1176277740759136E-3</v>
      </c>
      <c r="BS63" s="24">
        <f t="shared" si="9"/>
        <v>30.079446178066199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5.6843418860808015E-14</v>
      </c>
      <c r="BZ63" s="14">
        <f>BY63*VLOOKUP('Données projet'!$B$12,Paramètres!$A$1:$I$89,3,0)*VLOOKUP('Données projet'!$B$12,Paramètres!$A$1:$I$89,5,0)</f>
        <v>3.1036506698001178E-14</v>
      </c>
      <c r="CA63" s="14">
        <f t="shared" si="39"/>
        <v>5.3428243983771088E-13</v>
      </c>
      <c r="CB63" s="22">
        <f t="shared" si="10"/>
        <v>9.8459716521636505E-13</v>
      </c>
      <c r="CC63" s="62">
        <f t="shared" si="11"/>
        <v>276.01141475233214</v>
      </c>
      <c r="CD63" s="62">
        <f ca="1">AVERAGE(OFFSET($CC$3,0,0,'Données projet'!$E$12+1,1))-AVERAGE(OFFSET($H$3,0,0,'Données projet'!$E$12+1,1))</f>
        <v>202.72043399839748</v>
      </c>
      <c r="CE63" s="62">
        <f t="shared" si="40"/>
        <v>295.50255983395789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2.5436459695193796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2.5436459695193796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5.6843418860808015E-14</v>
      </c>
      <c r="CU63" s="18">
        <f>CT63*VLOOKUP('Données projet'!$B$13,Paramètres!$A$1:$I$89,3,0)*VLOOKUP('Données projet'!$B$13,Paramètres!$A$1:$I$89,5,0)</f>
        <v>4.9658410716801891E-14</v>
      </c>
      <c r="CV63" s="14">
        <f t="shared" si="41"/>
        <v>8.0934058173791862E-13</v>
      </c>
      <c r="CW63" s="22">
        <f t="shared" si="13"/>
        <v>1.4960899118586383E-12</v>
      </c>
      <c r="CX63" s="62">
        <f t="shared" si="14"/>
        <v>276.01141475233266</v>
      </c>
      <c r="CY63" s="62">
        <f ca="1">AVERAGE(OFFSET($CX$3,0,0,'Données projet'!$E$13+1,1))-AVERAGE(OFFSET($H$3,0,0,'Données projet'!$E$13+1,1))</f>
        <v>297.56177871222496</v>
      </c>
      <c r="CZ63" s="62">
        <f t="shared" si="42"/>
        <v>421.5717731815397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14.728980061359405</v>
      </c>
      <c r="DH63" s="23">
        <f>EXP(-LN(2)/2)*DH62+(1-EXP(-LN(2)/2))/(LN(2)/2)*DB63*DE63*VLOOKUP('Données projet'!$B$13,Paramètres!$A$1:$I$89,3,0)*0.475*44/12</f>
        <v>4.9700925552923674E-4</v>
      </c>
      <c r="DI63" s="24">
        <f t="shared" si="15"/>
        <v>14.729477070614934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665</v>
      </c>
      <c r="DM63" s="13">
        <f>VLOOKUP(A63,'Données projet'!$A$165:$I$185,9,0)</f>
        <v>11</v>
      </c>
      <c r="DN63" s="13">
        <f t="array" ref="DN63">INDEX(DM:DM,MIN(IF(ISNUMBER(DM63:DM259),ROW(DM63:DM259),"")))</f>
        <v>11</v>
      </c>
      <c r="DO63" s="13">
        <f>IF('Données projet'!$A$166&gt;35,DO62+DN63-DW62,IF(A63&lt;'Données projet'!$A$166,$DL$205^A63,IF(A63='Données projet'!$A$166,'Données projet'!$B$166,DO62+DN63-DW62)))</f>
        <v>665.00000000000023</v>
      </c>
      <c r="DP63" s="18">
        <f>DO63*VLOOKUP('Données projet'!$B$14,Paramètres!$A$1:$I$89,3,0)*VLOOKUP('Données projet'!$B$14,Paramètres!$A$1:$I$89,5,0)</f>
        <v>487.57800000000015</v>
      </c>
      <c r="DQ63" s="14">
        <f t="shared" si="43"/>
        <v>109.32206663347657</v>
      </c>
      <c r="DR63" s="22">
        <f t="shared" si="16"/>
        <v>1039.6009493866386</v>
      </c>
      <c r="DS63" s="62">
        <f t="shared" si="17"/>
        <v>1315.6123641389697</v>
      </c>
      <c r="DT63" s="62">
        <f ca="1">AVERAGE(OFFSET($DS$3,0,0,'Données projet'!$E$14+1,1))-AVERAGE(OFFSET($H$3,0,0,'Données projet'!$E$14+1,1))</f>
        <v>667.0152731006724</v>
      </c>
      <c r="DU63" s="62">
        <f t="shared" si="44"/>
        <v>567.40780872008088</v>
      </c>
      <c r="DV63" s="16">
        <f>IF(ISNA(VLOOKUP(A63,'Données projet'!$A$165:$I$185,3,0)),0,VLOOKUP(A63,'Données projet'!$A$165:$I$185,3,0))</f>
        <v>343</v>
      </c>
      <c r="DW63" s="16">
        <f>IF(ISNA(VLOOKUP(A63,'Données projet'!$A$165:$I$185,4,0)),0,VLOOKUP(A63,'Données projet'!$A$165:$I$185,4,0))</f>
        <v>17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10.169211063224456</v>
      </c>
      <c r="EC63" s="23">
        <f>EXP(-LN(2)/2)*EC62+(1-EXP(-LN(2)/2))/(LN(2)/2)*DW63*DZ63*VLOOKUP('Données projet'!$B$14,Paramètres!$A$1:$I$89,3,0)*0.475*44/12</f>
        <v>4.5261796685984012E-4</v>
      </c>
      <c r="ED63" s="24">
        <f t="shared" si="18"/>
        <v>10.169663681191315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264.04559999999992</v>
      </c>
      <c r="EL63" s="14">
        <f t="shared" si="45"/>
        <v>63.58395992997368</v>
      </c>
      <c r="EM63" s="22">
        <f t="shared" si="19"/>
        <v>570.62148354470401</v>
      </c>
      <c r="EN63" s="62">
        <f t="shared" si="20"/>
        <v>846.63289829703513</v>
      </c>
      <c r="EO63" s="62">
        <f ca="1">AVERAGE(OFFSET($EN$3,0,0,'Données projet'!$E$15+1,1))-AVERAGE(OFFSET($H$3,0,0,'Données projet'!$E$15+1,1))</f>
        <v>454.99849419289757</v>
      </c>
      <c r="EP63" s="62">
        <f t="shared" si="46"/>
        <v>288.86643267991928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65.275840386999405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2.7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13.560300000000012</v>
      </c>
      <c r="D64" s="12">
        <f t="shared" si="32"/>
        <v>4.6134436069860083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42.497136785411627</v>
      </c>
      <c r="H64" s="70">
        <f t="shared" si="1"/>
        <v>248.71927011550068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774.15460231272846</v>
      </c>
      <c r="S64" s="62">
        <f ca="1">AVERAGE(OFFSET($R$3,0,0,'Données projet'!$E$9+1,1))-AVERAGE(OFFSET($H$3,0,0,'Données projet'!$E$9+1,1))</f>
        <v>427.57091071251745</v>
      </c>
      <c r="T64" s="62">
        <f t="shared" si="34"/>
        <v>272.62827206514726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832.79365953981903</v>
      </c>
      <c r="AN64" s="62">
        <f ca="1">AVERAGE(OFFSET($AM$3,0,0,'Données projet'!$E$10+1,1))-AVERAGE(OFFSET($H$3,0,0,'Données projet'!$E$10+1,1))</f>
        <v>475.54515523869958</v>
      </c>
      <c r="AO64" s="62">
        <f t="shared" si="36"/>
        <v>301.02979240961452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4.3321142956400802</v>
      </c>
      <c r="AW64" s="23">
        <f>EXP(-LN(2)/2)*AW63+(1-EXP(-LN(2)/2))/(LN(2)/2)*AQ64*AT64*VLOOKUP('Données projet'!$B$10,Paramètres!$A$1:$I$89,3,0)*0.475*44/12</f>
        <v>3.6057159382442427E-4</v>
      </c>
      <c r="AX64" s="23">
        <f t="shared" si="6"/>
        <v>4.3324748672339046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18.58285714285714</v>
      </c>
      <c r="BD64" s="13">
        <f>IF('Données projet'!$A$88&gt;35,BD63+BC64-BL63,IF(A64&lt;'Données projet'!$A$88,$BA$205^A64,IF(A64='Données projet'!$A$88,'Données projet'!$B$88,BD63+BC64-BL63)))</f>
        <v>531.83428571428578</v>
      </c>
      <c r="BE64" s="14">
        <f>BD64*VLOOKUP('Données projet'!$B$11,Paramètres!$A$1:$I$89,3,0)*VLOOKUP('Données projet'!$B$11,Paramètres!$A$1:$I$89,5,0)</f>
        <v>297.29536571428577</v>
      </c>
      <c r="BF64" s="14">
        <f t="shared" si="37"/>
        <v>70.609169738501635</v>
      </c>
      <c r="BG64" s="22">
        <f t="shared" si="7"/>
        <v>640.76706591360471</v>
      </c>
      <c r="BH64" s="62">
        <f t="shared" si="8"/>
        <v>917.07897722730786</v>
      </c>
      <c r="BI64" s="62">
        <f ca="1">AVERAGE(OFFSET($BH$3,0,0,'Données projet'!$E$11+1,1))-AVERAGE(OFFSET($H$3,0,0,'Données projet'!$E$11+1,1))</f>
        <v>381.71417599784968</v>
      </c>
      <c r="BJ64" s="62">
        <f t="shared" si="38"/>
        <v>350.49230135197979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17.493165477805444</v>
      </c>
      <c r="BQ64" s="23">
        <f>EXP(-LN(2)/25)*BQ63+(1-EXP(-LN(2)/25))/(LN(2)/25)*Calculateur!BL64*Calculateur!BN64*VLOOKUP('Données projet'!$B$11,Paramètres!$A$1:$I$89,3,0)*0.475*44/12</f>
        <v>11.899724808537101</v>
      </c>
      <c r="BR64" s="23">
        <f>EXP(-LN(2)/2)*BR63+(1-EXP(-LN(2)/2))/(LN(2)/2)*BL64*BO64*VLOOKUP('Données projet'!$B$11,Paramètres!$A$1:$I$89,3,0)*0.475*44/12</f>
        <v>1.4973889590780528E-3</v>
      </c>
      <c r="BS64" s="24">
        <f t="shared" si="9"/>
        <v>29.394387675301623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5.6843418860808015E-14</v>
      </c>
      <c r="BZ64" s="14">
        <f>BY64*VLOOKUP('Données projet'!$B$12,Paramètres!$A$1:$I$89,3,0)*VLOOKUP('Données projet'!$B$12,Paramètres!$A$1:$I$89,5,0)</f>
        <v>3.1036506698001178E-14</v>
      </c>
      <c r="CA64" s="14">
        <f t="shared" si="39"/>
        <v>5.3428243983771088E-13</v>
      </c>
      <c r="CB64" s="22">
        <f t="shared" si="10"/>
        <v>9.8459716521636505E-13</v>
      </c>
      <c r="CC64" s="62">
        <f t="shared" si="11"/>
        <v>276.31191131370412</v>
      </c>
      <c r="CD64" s="62">
        <f ca="1">AVERAGE(OFFSET($CC$3,0,0,'Données projet'!$E$12+1,1))-AVERAGE(OFFSET($H$3,0,0,'Données projet'!$E$12+1,1))</f>
        <v>202.72043399839748</v>
      </c>
      <c r="CE64" s="62">
        <f t="shared" si="40"/>
        <v>295.50255983395789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2.4740898367183441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2.4740898367183441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5.6843418860808015E-14</v>
      </c>
      <c r="CU64" s="18">
        <f>CT64*VLOOKUP('Données projet'!$B$13,Paramètres!$A$1:$I$89,3,0)*VLOOKUP('Données projet'!$B$13,Paramètres!$A$1:$I$89,5,0)</f>
        <v>4.9658410716801891E-14</v>
      </c>
      <c r="CV64" s="14">
        <f t="shared" si="41"/>
        <v>8.0934058173791862E-13</v>
      </c>
      <c r="CW64" s="22">
        <f t="shared" si="13"/>
        <v>1.4960899118586383E-12</v>
      </c>
      <c r="CX64" s="62">
        <f t="shared" si="14"/>
        <v>276.31191131370463</v>
      </c>
      <c r="CY64" s="62">
        <f ca="1">AVERAGE(OFFSET($CX$3,0,0,'Données projet'!$E$13+1,1))-AVERAGE(OFFSET($H$3,0,0,'Données projet'!$E$13+1,1))</f>
        <v>297.56177871222496</v>
      </c>
      <c r="CZ64" s="62">
        <f t="shared" si="42"/>
        <v>421.5717731815397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14.326215327018133</v>
      </c>
      <c r="DH64" s="23">
        <f>EXP(-LN(2)/2)*DH63+(1-EXP(-LN(2)/2))/(LN(2)/2)*DB64*DE64*VLOOKUP('Données projet'!$B$13,Paramètres!$A$1:$I$89,3,0)*0.475*44/12</f>
        <v>3.514386148972009E-4</v>
      </c>
      <c r="DI64" s="24">
        <f t="shared" si="15"/>
        <v>14.32656676563303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9.4</v>
      </c>
      <c r="DO64" s="13">
        <f>IF('Données projet'!$A$166&gt;35,DO63+DN64-DW63,IF(A64&lt;'Données projet'!$A$166,$DL$205^A64,IF(A64='Données projet'!$A$166,'Données projet'!$B$166,DO63+DN64-DW63)))</f>
        <v>657.4000000000002</v>
      </c>
      <c r="DP64" s="18">
        <f>DO64*VLOOKUP('Données projet'!$B$14,Paramètres!$A$1:$I$89,3,0)*VLOOKUP('Données projet'!$B$14,Paramètres!$A$1:$I$89,5,0)</f>
        <v>482.0056800000001</v>
      </c>
      <c r="DQ64" s="14">
        <f t="shared" si="43"/>
        <v>108.21736373305278</v>
      </c>
      <c r="DR64" s="22">
        <f t="shared" si="16"/>
        <v>1027.9718011684006</v>
      </c>
      <c r="DS64" s="62">
        <f t="shared" si="17"/>
        <v>1304.2837124821037</v>
      </c>
      <c r="DT64" s="62">
        <f ca="1">AVERAGE(OFFSET($DS$3,0,0,'Données projet'!$E$14+1,1))-AVERAGE(OFFSET($H$3,0,0,'Données projet'!$E$14+1,1))</f>
        <v>667.0152731006724</v>
      </c>
      <c r="DU64" s="62">
        <f t="shared" si="44"/>
        <v>567.40780872008088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9.8911334519250147</v>
      </c>
      <c r="EC64" s="23">
        <f>EXP(-LN(2)/2)*EC63+(1-EXP(-LN(2)/2))/(LN(2)/2)*DW64*DZ64*VLOOKUP('Données projet'!$B$14,Paramètres!$A$1:$I$89,3,0)*0.475*44/12</f>
        <v>3.2004923365346098E-4</v>
      </c>
      <c r="ED64" s="24">
        <f t="shared" si="18"/>
        <v>9.8914535011586686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245.47535999999997</v>
      </c>
      <c r="EL64" s="14">
        <f t="shared" si="45"/>
        <v>59.616029794883758</v>
      </c>
      <c r="EM64" s="22">
        <f t="shared" si="19"/>
        <v>531.36750389275585</v>
      </c>
      <c r="EN64" s="62">
        <f t="shared" si="20"/>
        <v>807.679415206459</v>
      </c>
      <c r="EO64" s="62">
        <f ca="1">AVERAGE(OFFSET($EN$3,0,0,'Données projet'!$E$15+1,1))-AVERAGE(OFFSET($H$3,0,0,'Données projet'!$E$15+1,1))</f>
        <v>454.99849419289757</v>
      </c>
      <c r="EP64" s="62">
        <f t="shared" si="46"/>
        <v>288.86643267991928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65.357793994646315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2.7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13.782600000000013</v>
      </c>
      <c r="D65" s="12">
        <f t="shared" si="32"/>
        <v>4.6802070983115795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43.054978610776772</v>
      </c>
      <c r="H65" s="70">
        <f t="shared" si="1"/>
        <v>249.22272236289271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791.31052052728978</v>
      </c>
      <c r="S65" s="62">
        <f ca="1">AVERAGE(OFFSET($R$3,0,0,'Données projet'!$E$9+1,1))-AVERAGE(OFFSET($H$3,0,0,'Données projet'!$E$9+1,1))</f>
        <v>427.57091071251745</v>
      </c>
      <c r="T65" s="62">
        <f t="shared" si="34"/>
        <v>272.62827206514726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851.94028721781933</v>
      </c>
      <c r="AN65" s="62">
        <f ca="1">AVERAGE(OFFSET($AM$3,0,0,'Données projet'!$E$10+1,1))-AVERAGE(OFFSET($H$3,0,0,'Données projet'!$E$10+1,1))</f>
        <v>475.54515523869958</v>
      </c>
      <c r="AO65" s="62">
        <f t="shared" si="36"/>
        <v>301.02979240961452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4.2136524024098128</v>
      </c>
      <c r="AW65" s="23">
        <f>EXP(-LN(2)/2)*AW64+(1-EXP(-LN(2)/2))/(LN(2)/2)*AQ65*AT65*VLOOKUP('Données projet'!$B$10,Paramètres!$A$1:$I$89,3,0)*0.475*44/12</f>
        <v>2.5496261909649186E-4</v>
      </c>
      <c r="AX65" s="23">
        <f t="shared" si="6"/>
        <v>4.2139073650289092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18.58285714285714</v>
      </c>
      <c r="BD65" s="13">
        <f>IF('Données projet'!$A$88&gt;35,BD64+BC65-BL64,IF(A65&lt;'Données projet'!$A$88,$BA$205^A65,IF(A65='Données projet'!$A$88,'Données projet'!$B$88,BD64+BC65-BL64)))</f>
        <v>550.41714285714295</v>
      </c>
      <c r="BE65" s="14">
        <f>BD65*VLOOKUP('Données projet'!$B$11,Paramètres!$A$1:$I$89,3,0)*VLOOKUP('Données projet'!$B$11,Paramètres!$A$1:$I$89,5,0)</f>
        <v>307.68318285714292</v>
      </c>
      <c r="BF65" s="14">
        <f t="shared" si="37"/>
        <v>72.784775498421382</v>
      </c>
      <c r="BG65" s="22">
        <f t="shared" si="7"/>
        <v>662.64836080260773</v>
      </c>
      <c r="BH65" s="62">
        <f t="shared" si="8"/>
        <v>939.25555573415272</v>
      </c>
      <c r="BI65" s="62">
        <f ca="1">AVERAGE(OFFSET($BH$3,0,0,'Données projet'!$E$11+1,1))-AVERAGE(OFFSET($H$3,0,0,'Données projet'!$E$11+1,1))</f>
        <v>381.71417599784968</v>
      </c>
      <c r="BJ65" s="62">
        <f t="shared" si="38"/>
        <v>350.49230135197979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17.150135172563068</v>
      </c>
      <c r="BQ65" s="23">
        <f>EXP(-LN(2)/25)*BQ64+(1-EXP(-LN(2)/25))/(LN(2)/25)*Calculateur!BL65*Calculateur!BN65*VLOOKUP('Données projet'!$B$11,Paramètres!$A$1:$I$89,3,0)*0.475*44/12</f>
        <v>11.574326207868324</v>
      </c>
      <c r="BR65" s="23">
        <f>EXP(-LN(2)/2)*BR64+(1-EXP(-LN(2)/2))/(LN(2)/2)*BL65*BO65*VLOOKUP('Données projet'!$B$11,Paramètres!$A$1:$I$89,3,0)*0.475*44/12</f>
        <v>1.0588138870379568E-3</v>
      </c>
      <c r="BS65" s="24">
        <f t="shared" si="9"/>
        <v>28.725520194318431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5.6843418860808015E-14</v>
      </c>
      <c r="BZ65" s="14">
        <f>BY65*VLOOKUP('Données projet'!$B$12,Paramètres!$A$1:$I$89,3,0)*VLOOKUP('Données projet'!$B$12,Paramètres!$A$1:$I$89,5,0)</f>
        <v>3.1036506698001178E-14</v>
      </c>
      <c r="CA65" s="14">
        <f t="shared" si="39"/>
        <v>5.3428243983771088E-13</v>
      </c>
      <c r="CB65" s="22">
        <f t="shared" si="10"/>
        <v>9.8459716521636505E-13</v>
      </c>
      <c r="CC65" s="62">
        <f t="shared" si="11"/>
        <v>276.60719493154602</v>
      </c>
      <c r="CD65" s="62">
        <f ca="1">AVERAGE(OFFSET($CC$3,0,0,'Données projet'!$E$12+1,1))-AVERAGE(OFFSET($H$3,0,0,'Données projet'!$E$12+1,1))</f>
        <v>202.72043399839748</v>
      </c>
      <c r="CE65" s="62">
        <f t="shared" si="40"/>
        <v>295.50255983395789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2.4064357200265509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2.4064357200265509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5.6843418860808015E-14</v>
      </c>
      <c r="CU65" s="18">
        <f>CT65*VLOOKUP('Données projet'!$B$13,Paramètres!$A$1:$I$89,3,0)*VLOOKUP('Données projet'!$B$13,Paramètres!$A$1:$I$89,5,0)</f>
        <v>4.9658410716801891E-14</v>
      </c>
      <c r="CV65" s="14">
        <f t="shared" si="41"/>
        <v>8.0934058173791862E-13</v>
      </c>
      <c r="CW65" s="22">
        <f t="shared" si="13"/>
        <v>1.4960899118586383E-12</v>
      </c>
      <c r="CX65" s="62">
        <f t="shared" si="14"/>
        <v>276.60719493154653</v>
      </c>
      <c r="CY65" s="62">
        <f ca="1">AVERAGE(OFFSET($CX$3,0,0,'Données projet'!$E$13+1,1))-AVERAGE(OFFSET($H$3,0,0,'Données projet'!$E$13+1,1))</f>
        <v>297.56177871222496</v>
      </c>
      <c r="CZ65" s="62">
        <f t="shared" si="42"/>
        <v>421.5717731815397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13.934464215517901</v>
      </c>
      <c r="DH65" s="23">
        <f>EXP(-LN(2)/2)*DH64+(1-EXP(-LN(2)/2))/(LN(2)/2)*DB65*DE65*VLOOKUP('Données projet'!$B$13,Paramètres!$A$1:$I$89,3,0)*0.475*44/12</f>
        <v>2.4850462776461837E-4</v>
      </c>
      <c r="DI65" s="24">
        <f t="shared" si="15"/>
        <v>13.934712720145665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9.4</v>
      </c>
      <c r="DO65" s="13">
        <f>IF('Données projet'!$A$166&gt;35,DO64+DN65-DW64,IF(A65&lt;'Données projet'!$A$166,$DL$205^A65,IF(A65='Données projet'!$A$166,'Données projet'!$B$166,DO64+DN65-DW64)))</f>
        <v>666.80000000000018</v>
      </c>
      <c r="DP65" s="18">
        <f>DO65*VLOOKUP('Données projet'!$B$14,Paramètres!$A$1:$I$89,3,0)*VLOOKUP('Données projet'!$B$14,Paramètres!$A$1:$I$89,5,0)</f>
        <v>488.89776000000012</v>
      </c>
      <c r="DQ65" s="14">
        <f t="shared" si="43"/>
        <v>109.58349098981343</v>
      </c>
      <c r="DR65" s="22">
        <f t="shared" si="16"/>
        <v>1042.3548454739253</v>
      </c>
      <c r="DS65" s="62">
        <f t="shared" si="17"/>
        <v>1318.9620404054704</v>
      </c>
      <c r="DT65" s="62">
        <f ca="1">AVERAGE(OFFSET($DS$3,0,0,'Données projet'!$E$14+1,1))-AVERAGE(OFFSET($H$3,0,0,'Données projet'!$E$14+1,1))</f>
        <v>667.0152731006724</v>
      </c>
      <c r="DU65" s="62">
        <f t="shared" si="44"/>
        <v>567.40780872008088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9.6206598875300227</v>
      </c>
      <c r="EC65" s="23">
        <f>EXP(-LN(2)/2)*EC64+(1-EXP(-LN(2)/2))/(LN(2)/2)*DW65*DZ65*VLOOKUP('Données projet'!$B$14,Paramètres!$A$1:$I$89,3,0)*0.475*44/12</f>
        <v>2.2630898342992006E-4</v>
      </c>
      <c r="ED65" s="24">
        <f t="shared" si="18"/>
        <v>9.6208861965134531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253.98671999999999</v>
      </c>
      <c r="EL65" s="14">
        <f t="shared" si="45"/>
        <v>61.438849277739124</v>
      </c>
      <c r="EM65" s="22">
        <f t="shared" si="19"/>
        <v>549.3661998253956</v>
      </c>
      <c r="EN65" s="62">
        <f t="shared" si="20"/>
        <v>825.97339475694071</v>
      </c>
      <c r="EO65" s="62">
        <f ca="1">AVERAGE(OFFSET($EN$3,0,0,'Données projet'!$E$15+1,1))-AVERAGE(OFFSET($H$3,0,0,'Données projet'!$E$15+1,1))</f>
        <v>454.99849419289757</v>
      </c>
      <c r="EP65" s="62">
        <f t="shared" si="46"/>
        <v>288.86643267991928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65.438325890421368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2.7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14.004900000000013</v>
      </c>
      <c r="D66" s="12">
        <f t="shared" si="32"/>
        <v>4.7468453584127861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43.612578761849264</v>
      </c>
      <c r="H66" s="70">
        <f t="shared" si="1"/>
        <v>249.72595649923565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808.44966165618825</v>
      </c>
      <c r="S66" s="62">
        <f ca="1">AVERAGE(OFFSET($R$3,0,0,'Données projet'!$E$9+1,1))-AVERAGE(OFFSET($H$3,0,0,'Données projet'!$E$9+1,1))</f>
        <v>427.57091071251745</v>
      </c>
      <c r="T66" s="62">
        <f t="shared" si="34"/>
        <v>272.62827206514726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871.06890331142665</v>
      </c>
      <c r="AN66" s="62">
        <f ca="1">AVERAGE(OFFSET($AM$3,0,0,'Données projet'!$E$10+1,1))-AVERAGE(OFFSET($H$3,0,0,'Données projet'!$E$10+1,1))</f>
        <v>475.54515523869958</v>
      </c>
      <c r="AO66" s="62">
        <f t="shared" si="36"/>
        <v>301.02979240961452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4.0984298558795667</v>
      </c>
      <c r="AW66" s="23">
        <f>EXP(-LN(2)/2)*AW65+(1-EXP(-LN(2)/2))/(LN(2)/2)*AQ66*AT66*VLOOKUP('Données projet'!$B$10,Paramètres!$A$1:$I$89,3,0)*0.475*44/12</f>
        <v>1.8028579691221214E-4</v>
      </c>
      <c r="AX66" s="23">
        <f t="shared" si="6"/>
        <v>4.0986101416764793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569</v>
      </c>
      <c r="BB66" s="13">
        <f>VLOOKUP(A66,'Données projet'!$A$87:$I$107,9,0)</f>
        <v>18.58285714285714</v>
      </c>
      <c r="BC66" s="13">
        <f t="array" ref="BC66">INDEX(BB:BB,MIN(IF(ISNUMBER(BB66:BB262),ROW(BB66:BB262),"")))</f>
        <v>18.58285714285714</v>
      </c>
      <c r="BD66" s="13">
        <f>IF('Données projet'!$A$88&gt;35,BD65+BC66-BL65,IF(A66&lt;'Données projet'!$A$88,$BA$205^A66,IF(A66='Données projet'!$A$88,'Données projet'!$B$88,BD65+BC66-BL65)))</f>
        <v>569.00000000000011</v>
      </c>
      <c r="BE66" s="14">
        <f>BD66*VLOOKUP('Données projet'!$B$11,Paramètres!$A$1:$I$89,3,0)*VLOOKUP('Données projet'!$B$11,Paramètres!$A$1:$I$89,5,0)</f>
        <v>318.07100000000008</v>
      </c>
      <c r="BF66" s="14">
        <f t="shared" si="37"/>
        <v>74.951846567144685</v>
      </c>
      <c r="BG66" s="22">
        <f t="shared" si="7"/>
        <v>684.51479110444382</v>
      </c>
      <c r="BH66" s="62">
        <f t="shared" si="8"/>
        <v>961.41214714321643</v>
      </c>
      <c r="BI66" s="62">
        <f ca="1">AVERAGE(OFFSET($BH$3,0,0,'Données projet'!$E$11+1,1))-AVERAGE(OFFSET($H$3,0,0,'Données projet'!$E$11+1,1))</f>
        <v>381.71417599784968</v>
      </c>
      <c r="BJ66" s="62">
        <f t="shared" si="38"/>
        <v>350.49230135197979</v>
      </c>
      <c r="BK66" s="16">
        <f>IF(ISNA(VLOOKUP(A66,'Données projet'!$A$87:$I$107,3,0)),0,VLOOKUP(A66,'Données projet'!$A$87:$I$107,3,0))</f>
        <v>8</v>
      </c>
      <c r="BL66" s="16">
        <f>IF(ISNA(VLOOKUP(A66,'Données projet'!$A$87:$I$107,4,0)),0,VLOOKUP(A66,'Données projet'!$A$87:$I$107,4,0))</f>
        <v>99.49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16.813831482378667</v>
      </c>
      <c r="BQ66" s="23">
        <f>EXP(-LN(2)/25)*BQ65+(1-EXP(-LN(2)/25))/(LN(2)/25)*Calculateur!BL66*Calculateur!BN66*VLOOKUP('Données projet'!$B$11,Paramètres!$A$1:$I$89,3,0)*0.475*44/12</f>
        <v>11.257825649046802</v>
      </c>
      <c r="BR66" s="23">
        <f>EXP(-LN(2)/2)*BR65+(1-EXP(-LN(2)/2))/(LN(2)/2)*BL66*BO66*VLOOKUP('Données projet'!$B$11,Paramètres!$A$1:$I$89,3,0)*0.475*44/12</f>
        <v>7.4869447953902638E-4</v>
      </c>
      <c r="BS66" s="24">
        <f t="shared" si="9"/>
        <v>28.072405825905008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5.6843418860808015E-14</v>
      </c>
      <c r="BZ66" s="14">
        <f>BY66*VLOOKUP('Données projet'!$B$12,Paramètres!$A$1:$I$89,3,0)*VLOOKUP('Données projet'!$B$12,Paramètres!$A$1:$I$89,5,0)</f>
        <v>3.1036506698001178E-14</v>
      </c>
      <c r="CA66" s="14">
        <f t="shared" si="39"/>
        <v>5.3428243983771088E-13</v>
      </c>
      <c r="CB66" s="22">
        <f t="shared" si="10"/>
        <v>9.8459716521636505E-13</v>
      </c>
      <c r="CC66" s="62">
        <f t="shared" si="11"/>
        <v>276.89735603877358</v>
      </c>
      <c r="CD66" s="62">
        <f ca="1">AVERAGE(OFFSET($CC$3,0,0,'Données projet'!$E$12+1,1))-AVERAGE(OFFSET($H$3,0,0,'Données projet'!$E$12+1,1))</f>
        <v>202.72043399839748</v>
      </c>
      <c r="CE66" s="62">
        <f t="shared" si="40"/>
        <v>295.50255983395789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2.3406316087134704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2.3406316087134704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5.6843418860808015E-14</v>
      </c>
      <c r="CU66" s="18">
        <f>CT66*VLOOKUP('Données projet'!$B$13,Paramètres!$A$1:$I$89,3,0)*VLOOKUP('Données projet'!$B$13,Paramètres!$A$1:$I$89,5,0)</f>
        <v>4.9658410716801891E-14</v>
      </c>
      <c r="CV66" s="14">
        <f t="shared" si="41"/>
        <v>8.0934058173791862E-13</v>
      </c>
      <c r="CW66" s="22">
        <f t="shared" si="13"/>
        <v>1.4960899118586383E-12</v>
      </c>
      <c r="CX66" s="62">
        <f t="shared" si="14"/>
        <v>276.89735603877409</v>
      </c>
      <c r="CY66" s="62">
        <f ca="1">AVERAGE(OFFSET($CX$3,0,0,'Données projet'!$E$13+1,1))-AVERAGE(OFFSET($H$3,0,0,'Données projet'!$E$13+1,1))</f>
        <v>297.56177871222496</v>
      </c>
      <c r="CZ66" s="62">
        <f t="shared" si="42"/>
        <v>421.5717731815397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13.553425558762939</v>
      </c>
      <c r="DH66" s="23">
        <f>EXP(-LN(2)/2)*DH65+(1-EXP(-LN(2)/2))/(LN(2)/2)*DB66*DE66*VLOOKUP('Données projet'!$B$13,Paramètres!$A$1:$I$89,3,0)*0.475*44/12</f>
        <v>1.7571930744860045E-4</v>
      </c>
      <c r="DI66" s="24">
        <f t="shared" si="15"/>
        <v>13.553601278070387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9.4</v>
      </c>
      <c r="DO66" s="13">
        <f>IF('Données projet'!$A$166&gt;35,DO65+DN66-DW65,IF(A66&lt;'Données projet'!$A$166,$DL$205^A66,IF(A66='Données projet'!$A$166,'Données projet'!$B$166,DO65+DN66-DW65)))</f>
        <v>676.20000000000016</v>
      </c>
      <c r="DP66" s="18">
        <f>DO66*VLOOKUP('Données projet'!$B$14,Paramètres!$A$1:$I$89,3,0)*VLOOKUP('Données projet'!$B$14,Paramètres!$A$1:$I$89,5,0)</f>
        <v>495.78984000000014</v>
      </c>
      <c r="DQ66" s="14">
        <f t="shared" si="43"/>
        <v>110.94737831197203</v>
      </c>
      <c r="DR66" s="22">
        <f t="shared" si="16"/>
        <v>1056.7339885600179</v>
      </c>
      <c r="DS66" s="62">
        <f t="shared" si="17"/>
        <v>1333.6313445987905</v>
      </c>
      <c r="DT66" s="62">
        <f ca="1">AVERAGE(OFFSET($DS$3,0,0,'Données projet'!$E$14+1,1))-AVERAGE(OFFSET($H$3,0,0,'Données projet'!$E$14+1,1))</f>
        <v>667.0152731006724</v>
      </c>
      <c r="DU66" s="62">
        <f t="shared" si="44"/>
        <v>567.40780872008088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9.3575824369769993</v>
      </c>
      <c r="EC66" s="23">
        <f>EXP(-LN(2)/2)*EC65+(1-EXP(-LN(2)/2))/(LN(2)/2)*DW66*DZ66*VLOOKUP('Données projet'!$B$14,Paramètres!$A$1:$I$89,3,0)*0.475*44/12</f>
        <v>1.6002461682673049E-4</v>
      </c>
      <c r="ED66" s="24">
        <f t="shared" si="18"/>
        <v>9.3577424615938263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262.49807999999996</v>
      </c>
      <c r="EL66" s="14">
        <f t="shared" si="45"/>
        <v>63.254570961138086</v>
      </c>
      <c r="EM66" s="22">
        <f t="shared" si="19"/>
        <v>567.35253375731543</v>
      </c>
      <c r="EN66" s="62">
        <f t="shared" si="20"/>
        <v>844.24988979608804</v>
      </c>
      <c r="EO66" s="62">
        <f ca="1">AVERAGE(OFFSET($EN$3,0,0,'Données projet'!$E$15+1,1))-AVERAGE(OFFSET($H$3,0,0,'Données projet'!$E$15+1,1))</f>
        <v>454.99849419289757</v>
      </c>
      <c r="EP66" s="62">
        <f t="shared" si="46"/>
        <v>288.86643267991928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65.517460737847074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2.7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14.227200000000014</v>
      </c>
      <c r="D67" s="12">
        <f t="shared" si="32"/>
        <v>4.8133606046051645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44.169941517659126</v>
      </c>
      <c r="H67" s="70">
        <f t="shared" si="1"/>
        <v>250.22897638635405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825.57253579841154</v>
      </c>
      <c r="S67" s="62">
        <f ca="1">AVERAGE(OFFSET($R$3,0,0,'Données projet'!$E$9+1,1))-AVERAGE(OFFSET($H$3,0,0,'Données projet'!$E$9+1,1))</f>
        <v>427.57091071251745</v>
      </c>
      <c r="T67" s="62">
        <f t="shared" si="34"/>
        <v>272.62827206514726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890.18006253849603</v>
      </c>
      <c r="AN67" s="62">
        <f ca="1">AVERAGE(OFFSET($AM$3,0,0,'Données projet'!$E$10+1,1))-AVERAGE(OFFSET($H$3,0,0,'Données projet'!$E$10+1,1))</f>
        <v>475.54515523869958</v>
      </c>
      <c r="AO67" s="62">
        <f t="shared" si="36"/>
        <v>301.02979240961452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3.9863580759434809</v>
      </c>
      <c r="AW67" s="23">
        <f>EXP(-LN(2)/2)*AW66+(1-EXP(-LN(2)/2))/(LN(2)/2)*AQ67*AT67*VLOOKUP('Données projet'!$B$10,Paramètres!$A$1:$I$89,3,0)*0.475*44/12</f>
        <v>1.2748130954824593E-4</v>
      </c>
      <c r="AX67" s="23">
        <f t="shared" si="6"/>
        <v>3.9864855572530291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16.745000000000005</v>
      </c>
      <c r="BD67" s="13">
        <f>IF('Données projet'!$A$88&gt;35,BD66+BC67-BL66,IF(A67&lt;'Données projet'!$A$88,$BA$205^A67,IF(A67='Données projet'!$A$88,'Données projet'!$B$88,BD66+BC67-BL66)))</f>
        <v>486.25500000000011</v>
      </c>
      <c r="BE67" s="14">
        <f>BD67*VLOOKUP('Données projet'!$B$11,Paramètres!$A$1:$I$89,3,0)*VLOOKUP('Données projet'!$B$11,Paramètres!$A$1:$I$89,5,0)</f>
        <v>271.81654500000008</v>
      </c>
      <c r="BF67" s="14">
        <f t="shared" si="37"/>
        <v>65.234635404592368</v>
      </c>
      <c r="BG67" s="22">
        <f t="shared" si="7"/>
        <v>587.03080587133184</v>
      </c>
      <c r="BH67" s="62">
        <f t="shared" si="8"/>
        <v>864.21328937082467</v>
      </c>
      <c r="BI67" s="62">
        <f ca="1">AVERAGE(OFFSET($BH$3,0,0,'Données projet'!$E$11+1,1))-AVERAGE(OFFSET($H$3,0,0,'Données projet'!$E$11+1,1))</f>
        <v>381.71417599784968</v>
      </c>
      <c r="BJ67" s="62">
        <f t="shared" si="38"/>
        <v>350.49230135197979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16.484122502433788</v>
      </c>
      <c r="BQ67" s="23">
        <f>EXP(-LN(2)/25)*BQ66+(1-EXP(-LN(2)/25))/(LN(2)/25)*Calculateur!BL67*Calculateur!BN67*VLOOKUP('Données projet'!$B$11,Paramètres!$A$1:$I$89,3,0)*0.475*44/12</f>
        <v>10.949979814650296</v>
      </c>
      <c r="BR67" s="23">
        <f>EXP(-LN(2)/2)*BR66+(1-EXP(-LN(2)/2))/(LN(2)/2)*BL67*BO67*VLOOKUP('Données projet'!$B$11,Paramètres!$A$1:$I$89,3,0)*0.475*44/12</f>
        <v>5.2940694351897839E-4</v>
      </c>
      <c r="BS67" s="24">
        <f t="shared" si="9"/>
        <v>27.4346317240276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5.6843418860808015E-14</v>
      </c>
      <c r="BZ67" s="14">
        <f>BY67*VLOOKUP('Données projet'!$B$12,Paramètres!$A$1:$I$89,3,0)*VLOOKUP('Données projet'!$B$12,Paramètres!$A$1:$I$89,5,0)</f>
        <v>3.1036506698001178E-14</v>
      </c>
      <c r="CA67" s="14">
        <f t="shared" si="39"/>
        <v>5.3428243983771088E-13</v>
      </c>
      <c r="CB67" s="22">
        <f t="shared" si="10"/>
        <v>9.8459716521636505E-13</v>
      </c>
      <c r="CC67" s="62">
        <f t="shared" si="11"/>
        <v>277.18248349949386</v>
      </c>
      <c r="CD67" s="62">
        <f ca="1">AVERAGE(OFFSET($CC$3,0,0,'Données projet'!$E$12+1,1))-AVERAGE(OFFSET($H$3,0,0,'Données projet'!$E$12+1,1))</f>
        <v>202.72043399839748</v>
      </c>
      <c r="CE67" s="62">
        <f t="shared" si="40"/>
        <v>295.50255983395789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2.276626914284734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2.276626914284734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5.6843418860808015E-14</v>
      </c>
      <c r="CU67" s="18">
        <f>CT67*VLOOKUP('Données projet'!$B$13,Paramètres!$A$1:$I$89,3,0)*VLOOKUP('Données projet'!$B$13,Paramètres!$A$1:$I$89,5,0)</f>
        <v>4.9658410716801891E-14</v>
      </c>
      <c r="CV67" s="14">
        <f t="shared" si="41"/>
        <v>8.0934058173791862E-13</v>
      </c>
      <c r="CW67" s="22">
        <f t="shared" si="13"/>
        <v>1.4960899118586383E-12</v>
      </c>
      <c r="CX67" s="62">
        <f t="shared" si="14"/>
        <v>277.18248349949437</v>
      </c>
      <c r="CY67" s="62">
        <f ca="1">AVERAGE(OFFSET($CX$3,0,0,'Données projet'!$E$13+1,1))-AVERAGE(OFFSET($H$3,0,0,'Données projet'!$E$13+1,1))</f>
        <v>297.56177871222496</v>
      </c>
      <c r="CZ67" s="62">
        <f t="shared" si="42"/>
        <v>421.5717731815397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13.182806424114894</v>
      </c>
      <c r="DH67" s="23">
        <f>EXP(-LN(2)/2)*DH66+(1-EXP(-LN(2)/2))/(LN(2)/2)*DB67*DE67*VLOOKUP('Données projet'!$B$13,Paramètres!$A$1:$I$89,3,0)*0.475*44/12</f>
        <v>1.2425231388230918E-4</v>
      </c>
      <c r="DI67" s="24">
        <f t="shared" si="15"/>
        <v>13.182930676428777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9.4</v>
      </c>
      <c r="DO67" s="13">
        <f>IF('Données projet'!$A$166&gt;35,DO66+DN67-DW66,IF(A67&lt;'Données projet'!$A$166,$DL$205^A67,IF(A67='Données projet'!$A$166,'Données projet'!$B$166,DO66+DN67-DW66)))</f>
        <v>685.60000000000014</v>
      </c>
      <c r="DP67" s="18">
        <f>DO67*VLOOKUP('Données projet'!$B$14,Paramètres!$A$1:$I$89,3,0)*VLOOKUP('Données projet'!$B$14,Paramètres!$A$1:$I$89,5,0)</f>
        <v>502.68192000000005</v>
      </c>
      <c r="DQ67" s="14">
        <f t="shared" si="43"/>
        <v>112.30906043591882</v>
      </c>
      <c r="DR67" s="22">
        <f t="shared" si="16"/>
        <v>1071.1092909258921</v>
      </c>
      <c r="DS67" s="62">
        <f t="shared" si="17"/>
        <v>1348.291774425385</v>
      </c>
      <c r="DT67" s="62">
        <f ca="1">AVERAGE(OFFSET($DS$3,0,0,'Données projet'!$E$14+1,1))-AVERAGE(OFFSET($H$3,0,0,'Données projet'!$E$14+1,1))</f>
        <v>667.0152731006724</v>
      </c>
      <c r="DU67" s="62">
        <f t="shared" si="44"/>
        <v>567.40780872008088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9.10169885314399</v>
      </c>
      <c r="EC67" s="23">
        <f>EXP(-LN(2)/2)*EC66+(1-EXP(-LN(2)/2))/(LN(2)/2)*DW67*DZ67*VLOOKUP('Données projet'!$B$14,Paramètres!$A$1:$I$89,3,0)*0.475*44/12</f>
        <v>1.1315449171496003E-4</v>
      </c>
      <c r="ED67" s="24">
        <f t="shared" si="18"/>
        <v>9.1018120076357043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271.00943999999998</v>
      </c>
      <c r="EL67" s="14">
        <f t="shared" si="45"/>
        <v>65.063451383023647</v>
      </c>
      <c r="EM67" s="22">
        <f t="shared" si="19"/>
        <v>585.32695249209939</v>
      </c>
      <c r="EN67" s="62">
        <f t="shared" si="20"/>
        <v>862.50943599159223</v>
      </c>
      <c r="EO67" s="62">
        <f ca="1">AVERAGE(OFFSET($EN$3,0,0,'Données projet'!$E$15+1,1))-AVERAGE(OFFSET($H$3,0,0,'Données projet'!$E$15+1,1))</f>
        <v>454.99849419289757</v>
      </c>
      <c r="EP67" s="62">
        <f t="shared" si="46"/>
        <v>288.86643267991928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65.595222772588968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2.7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14.449500000000015</v>
      </c>
      <c r="D68" s="12">
        <f t="shared" si="32"/>
        <v>4.879754980938122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44.727071015845539</v>
      </c>
      <c r="H68" s="70">
        <f t="shared" ref="H68:H131" si="56">(B68+E68+F68)*44/12+(C68+D68)*0.475*44/12</f>
        <v>250.73178575846728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842.67962354990004</v>
      </c>
      <c r="S68" s="62">
        <f ca="1">AVERAGE(OFFSET($R$3,0,0,'Données projet'!$E$9+1,1))-AVERAGE(OFFSET($H$3,0,0,'Données projet'!$E$9+1,1))</f>
        <v>427.57091071251745</v>
      </c>
      <c r="T68" s="62">
        <f t="shared" si="34"/>
        <v>272.62827206514726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909.27428715204564</v>
      </c>
      <c r="AN68" s="62">
        <f ca="1">AVERAGE(OFFSET($AM$3,0,0,'Données projet'!$E$10+1,1))-AVERAGE(OFFSET($H$3,0,0,'Données projet'!$E$10+1,1))</f>
        <v>475.54515523869958</v>
      </c>
      <c r="AO68" s="62">
        <f t="shared" si="36"/>
        <v>301.02979240961452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3.8773509047233463</v>
      </c>
      <c r="AW68" s="23">
        <f>EXP(-LN(2)/2)*AW67+(1-EXP(-LN(2)/2))/(LN(2)/2)*AQ68*AT68*VLOOKUP('Données projet'!$B$10,Paramètres!$A$1:$I$89,3,0)*0.475*44/12</f>
        <v>9.0142898456106068E-5</v>
      </c>
      <c r="AX68" s="23">
        <f t="shared" ref="AX68:AX131" si="60">SUM(AU68:AW68)</f>
        <v>3.8774410476218026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16.745000000000005</v>
      </c>
      <c r="BD68" s="13">
        <f>IF('Données projet'!$A$88&gt;35,BD67+BC68-BL67,IF(A68&lt;'Données projet'!$A$88,$BA$205^A68,IF(A68='Données projet'!$A$88,'Données projet'!$B$88,BD67+BC68-BL67)))</f>
        <v>503.00000000000011</v>
      </c>
      <c r="BE68" s="14">
        <f>BD68*VLOOKUP('Données projet'!$B$11,Paramètres!$A$1:$I$89,3,0)*VLOOKUP('Données projet'!$B$11,Paramètres!$A$1:$I$89,5,0)</f>
        <v>281.17700000000008</v>
      </c>
      <c r="BF68" s="14">
        <f t="shared" si="37"/>
        <v>67.215682058608678</v>
      </c>
      <c r="BG68" s="22">
        <f t="shared" ref="BG68:BG131" si="61">(BE68+BF68)*0.475*44/12</f>
        <v>606.78392125207699</v>
      </c>
      <c r="BH68" s="62">
        <f t="shared" ref="BH68:BH131" si="62">BG68+(AY68+AZ68)*44/12</f>
        <v>884.24658588829618</v>
      </c>
      <c r="BI68" s="62">
        <f ca="1">AVERAGE(OFFSET($BH$3,0,0,'Données projet'!$E$11+1,1))-AVERAGE(OFFSET($H$3,0,0,'Données projet'!$E$11+1,1))</f>
        <v>381.71417599784968</v>
      </c>
      <c r="BJ68" s="62">
        <f t="shared" si="38"/>
        <v>350.49230135197979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16.160878914483007</v>
      </c>
      <c r="BQ68" s="23">
        <f>EXP(-LN(2)/25)*BQ67+(1-EXP(-LN(2)/25))/(LN(2)/25)*Calculateur!BL68*Calculateur!BN68*VLOOKUP('Données projet'!$B$11,Paramètres!$A$1:$I$89,3,0)*0.475*44/12</f>
        <v>10.650552040784271</v>
      </c>
      <c r="BR68" s="23">
        <f>EXP(-LN(2)/2)*BR67+(1-EXP(-LN(2)/2))/(LN(2)/2)*BL68*BO68*VLOOKUP('Données projet'!$B$11,Paramètres!$A$1:$I$89,3,0)*0.475*44/12</f>
        <v>3.7434723976951319E-4</v>
      </c>
      <c r="BS68" s="24">
        <f t="shared" ref="BS68:BS131" si="63">SUM(BP68:BR68)</f>
        <v>26.811805302507047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5.6843418860808015E-14</v>
      </c>
      <c r="BZ68" s="14">
        <f>BY68*VLOOKUP('Données projet'!$B$12,Paramètres!$A$1:$I$89,3,0)*VLOOKUP('Données projet'!$B$12,Paramètres!$A$1:$I$89,5,0)</f>
        <v>3.1036506698001178E-14</v>
      </c>
      <c r="CA68" s="14">
        <f t="shared" si="39"/>
        <v>5.3428243983771088E-13</v>
      </c>
      <c r="CB68" s="22">
        <f t="shared" ref="CB68:CB131" si="64">(BZ68+CA68)*0.475*44/12</f>
        <v>9.8459716521636505E-13</v>
      </c>
      <c r="CC68" s="62">
        <f t="shared" ref="CC68:CC131" si="65">CB68+(BT68+BU68)*44/12</f>
        <v>277.46266463622015</v>
      </c>
      <c r="CD68" s="62">
        <f ca="1">AVERAGE(OFFSET($CC$3,0,0,'Données projet'!$E$12+1,1))-AVERAGE(OFFSET($H$3,0,0,'Données projet'!$E$12+1,1))</f>
        <v>202.72043399839748</v>
      </c>
      <c r="CE68" s="62">
        <f t="shared" si="40"/>
        <v>295.50255983395789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2.2143724315910118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2.2143724315910118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5.6843418860808015E-14</v>
      </c>
      <c r="CU68" s="18">
        <f>CT68*VLOOKUP('Données projet'!$B$13,Paramètres!$A$1:$I$89,3,0)*VLOOKUP('Données projet'!$B$13,Paramètres!$A$1:$I$89,5,0)</f>
        <v>4.9658410716801891E-14</v>
      </c>
      <c r="CV68" s="14">
        <f t="shared" si="41"/>
        <v>8.0934058173791862E-13</v>
      </c>
      <c r="CW68" s="22">
        <f t="shared" ref="CW68:CW131" si="67">(CU68+CV68)*0.475*44/12</f>
        <v>1.4960899118586383E-12</v>
      </c>
      <c r="CX68" s="62">
        <f t="shared" ref="CX68:CX131" si="68">CW68+(CO68+CP68)*44/12</f>
        <v>277.46266463622067</v>
      </c>
      <c r="CY68" s="62">
        <f ca="1">AVERAGE(OFFSET($CX$3,0,0,'Données projet'!$E$13+1,1))-AVERAGE(OFFSET($H$3,0,0,'Données projet'!$E$13+1,1))</f>
        <v>297.56177871222496</v>
      </c>
      <c r="CZ68" s="62">
        <f t="shared" si="42"/>
        <v>421.5717731815397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12.822321889193812</v>
      </c>
      <c r="DH68" s="23">
        <f>EXP(-LN(2)/2)*DH67+(1-EXP(-LN(2)/2))/(LN(2)/2)*DB68*DE68*VLOOKUP('Données projet'!$B$13,Paramètres!$A$1:$I$89,3,0)*0.475*44/12</f>
        <v>8.7859653724300224E-5</v>
      </c>
      <c r="DI68" s="24">
        <f t="shared" ref="DI68:DI131" si="69">SUM(DF68:DH68)</f>
        <v>12.822409748847537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695</v>
      </c>
      <c r="DM68" s="13">
        <f>VLOOKUP(A68,'Données projet'!$A$165:$I$185,9,0)</f>
        <v>9.4</v>
      </c>
      <c r="DN68" s="13">
        <f t="array" ref="DN68">INDEX(DM:DM,MIN(IF(ISNUMBER(DM68:DM264),ROW(DM68:DM264),"")))</f>
        <v>9.4</v>
      </c>
      <c r="DO68" s="13">
        <f>IF('Données projet'!$A$166&gt;35,DO67+DN68-DW67,IF(A68&lt;'Données projet'!$A$166,$DL$205^A68,IF(A68='Données projet'!$A$166,'Données projet'!$B$166,DO67+DN68-DW67)))</f>
        <v>695.00000000000011</v>
      </c>
      <c r="DP68" s="18">
        <f>DO68*VLOOKUP('Données projet'!$B$14,Paramètres!$A$1:$I$89,3,0)*VLOOKUP('Données projet'!$B$14,Paramètres!$A$1:$I$89,5,0)</f>
        <v>509.57400000000007</v>
      </c>
      <c r="DQ68" s="14">
        <f t="shared" si="43"/>
        <v>113.66857109080283</v>
      </c>
      <c r="DR68" s="22">
        <f t="shared" ref="DR68:DR131" si="70">(DP68+DQ68)*0.475*44/12</f>
        <v>1085.4808113164818</v>
      </c>
      <c r="DS68" s="62">
        <f t="shared" ref="DS68:DS131" si="71">DR68+(DJ68+DK68)*44/12</f>
        <v>1362.943475952701</v>
      </c>
      <c r="DT68" s="62">
        <f ca="1">AVERAGE(OFFSET($DS$3,0,0,'Données projet'!$E$14+1,1))-AVERAGE(OFFSET($H$3,0,0,'Données projet'!$E$14+1,1))</f>
        <v>667.0152731006724</v>
      </c>
      <c r="DU68" s="62">
        <f t="shared" si="44"/>
        <v>567.40780872008088</v>
      </c>
      <c r="DV68" s="16">
        <f>IF(ISNA(VLOOKUP(A68,'Données projet'!$A$165:$I$185,3,0)),0,VLOOKUP(A68,'Données projet'!$A$165:$I$185,3,0))</f>
        <v>356</v>
      </c>
      <c r="DW68" s="16">
        <f>IF(ISNA(VLOOKUP(A68,'Données projet'!$A$165:$I$185,4,0)),0,VLOOKUP(A68,'Données projet'!$A$165:$I$185,4,0))</f>
        <v>16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8.8528124193672273</v>
      </c>
      <c r="EC68" s="23">
        <f>EXP(-LN(2)/2)*EC67+(1-EXP(-LN(2)/2))/(LN(2)/2)*DW68*DZ68*VLOOKUP('Données projet'!$B$14,Paramètres!$A$1:$I$89,3,0)*0.475*44/12</f>
        <v>8.0012308413365246E-5</v>
      </c>
      <c r="ED68" s="24">
        <f t="shared" ref="ED68:ED131" si="72">SUM(EA68:EC68)</f>
        <v>8.8528924316756399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279.52080000000001</v>
      </c>
      <c r="EL68" s="14">
        <f t="shared" si="45"/>
        <v>66.865730052421583</v>
      </c>
      <c r="EM68" s="22">
        <f t="shared" ref="EM68:EM131" si="73">(EK68+EL68)*0.475*44/12</f>
        <v>603.28987317463418</v>
      </c>
      <c r="EN68" s="62">
        <f t="shared" ref="EN68:EN131" si="74">EM68+(EE68+EF68)*44/12</f>
        <v>880.75253781085337</v>
      </c>
      <c r="EO68" s="62">
        <f ca="1">AVERAGE(OFFSET($EN$3,0,0,'Données projet'!$E$15+1,1))-AVERAGE(OFFSET($H$3,0,0,'Données projet'!$E$15+1,1))</f>
        <v>454.99849419289757</v>
      </c>
      <c r="EP68" s="62">
        <f t="shared" si="46"/>
        <v>288.86643267991928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65.671635809877955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2.7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14.671800000000015</v>
      </c>
      <c r="D69" s="12">
        <f t="shared" ref="D69:D132" si="86">IFERROR(EXP(-1.0587+0.8836*LN(C69)+0.284),0)</f>
        <v>4.9460305617050757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45.283971259430885</v>
      </c>
      <c r="H69" s="70">
        <f t="shared" si="56"/>
        <v>251.23438822830306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805.07911494902464</v>
      </c>
      <c r="S69" s="62">
        <f ca="1">AVERAGE(OFFSET($R$3,0,0,'Données projet'!$E$9+1,1))-AVERAGE(OFFSET($H$3,0,0,'Données projet'!$E$9+1,1))</f>
        <v>427.57091071251745</v>
      </c>
      <c r="T69" s="62">
        <f t="shared" ref="T69:T132" si="88">$T$3</f>
        <v>272.62827206514726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867.20110110431563</v>
      </c>
      <c r="AN69" s="62">
        <f ca="1">AVERAGE(OFFSET($AM$3,0,0,'Données projet'!$E$10+1,1))-AVERAGE(OFFSET($H$3,0,0,'Données projet'!$E$10+1,1))</f>
        <v>475.54515523869958</v>
      </c>
      <c r="AO69" s="62">
        <f t="shared" ref="AO69:AO132" si="90">$AO$3</f>
        <v>301.02979240961452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3.7713245403326643</v>
      </c>
      <c r="AW69" s="23">
        <f>EXP(-LN(2)/2)*AW68+(1-EXP(-LN(2)/2))/(LN(2)/2)*AQ69*AT69*VLOOKUP('Données projet'!$B$10,Paramètres!$A$1:$I$89,3,0)*0.475*44/12</f>
        <v>6.3740654774122965E-5</v>
      </c>
      <c r="AX69" s="23">
        <f t="shared" si="60"/>
        <v>3.7713882809874386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16.745000000000005</v>
      </c>
      <c r="BD69" s="13">
        <f>IF('Données projet'!$A$88&gt;35,BD68+BC69-BL68,IF(A69&lt;'Données projet'!$A$88,$BA$205^A69,IF(A69='Données projet'!$A$88,'Données projet'!$B$88,BD68+BC69-BL68)))</f>
        <v>519.74500000000012</v>
      </c>
      <c r="BE69" s="14">
        <f>BD69*VLOOKUP('Données projet'!$B$11,Paramètres!$A$1:$I$89,3,0)*VLOOKUP('Données projet'!$B$11,Paramètres!$A$1:$I$89,5,0)</f>
        <v>290.53745500000008</v>
      </c>
      <c r="BF69" s="14">
        <f t="shared" ref="BF69:BF132" si="91">EXP(-1.0587+0.8836*LN(BE69)+0.284)</f>
        <v>69.189065543116882</v>
      </c>
      <c r="BG69" s="22">
        <f t="shared" si="61"/>
        <v>626.52368994592871</v>
      </c>
      <c r="BH69" s="62">
        <f t="shared" si="62"/>
        <v>904.26167520254307</v>
      </c>
      <c r="BI69" s="62">
        <f ca="1">AVERAGE(OFFSET($BH$3,0,0,'Données projet'!$E$11+1,1))-AVERAGE(OFFSET($H$3,0,0,'Données projet'!$E$11+1,1))</f>
        <v>381.71417599784968</v>
      </c>
      <c r="BJ69" s="62">
        <f t="shared" ref="BJ69:BJ132" si="92">$BJ$3</f>
        <v>350.49230135197979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15.843973936132819</v>
      </c>
      <c r="BQ69" s="23">
        <f>EXP(-LN(2)/25)*BQ68+(1-EXP(-LN(2)/25))/(LN(2)/25)*Calculateur!BL69*Calculateur!BN69*VLOOKUP('Données projet'!$B$11,Paramètres!$A$1:$I$89,3,0)*0.475*44/12</f>
        <v>10.359312135140836</v>
      </c>
      <c r="BR69" s="23">
        <f>EXP(-LN(2)/2)*BR68+(1-EXP(-LN(2)/2))/(LN(2)/2)*BL69*BO69*VLOOKUP('Données projet'!$B$11,Paramètres!$A$1:$I$89,3,0)*0.475*44/12</f>
        <v>2.647034717594892E-4</v>
      </c>
      <c r="BS69" s="24">
        <f t="shared" si="63"/>
        <v>26.203550774745416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5.6843418860808015E-14</v>
      </c>
      <c r="BZ69" s="14">
        <f>BY69*VLOOKUP('Données projet'!$B$12,Paramètres!$A$1:$I$89,3,0)*VLOOKUP('Données projet'!$B$12,Paramètres!$A$1:$I$89,5,0)</f>
        <v>3.1036506698001178E-14</v>
      </c>
      <c r="CA69" s="14">
        <f t="shared" ref="CA69:CA132" si="93">EXP(-1.0587+0.8836*LN(BZ69)+0.284)</f>
        <v>5.3428243983771088E-13</v>
      </c>
      <c r="CB69" s="22">
        <f t="shared" si="64"/>
        <v>9.8459716521636505E-13</v>
      </c>
      <c r="CC69" s="62">
        <f t="shared" si="65"/>
        <v>277.73798525661533</v>
      </c>
      <c r="CD69" s="62">
        <f ca="1">AVERAGE(OFFSET($CC$3,0,0,'Données projet'!$E$12+1,1))-AVERAGE(OFFSET($H$3,0,0,'Données projet'!$E$12+1,1))</f>
        <v>202.72043399839748</v>
      </c>
      <c r="CE69" s="62">
        <f t="shared" ref="CE69:CE132" si="94">$CE$3</f>
        <v>295.50255983395789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2.1538203010003705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2.1538203010003705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5.6843418860808015E-14</v>
      </c>
      <c r="CU69" s="18">
        <f>CT69*VLOOKUP('Données projet'!$B$13,Paramètres!$A$1:$I$89,3,0)*VLOOKUP('Données projet'!$B$13,Paramètres!$A$1:$I$89,5,0)</f>
        <v>4.9658410716801891E-14</v>
      </c>
      <c r="CV69" s="14">
        <f t="shared" ref="CV69:CV132" si="95">EXP(-1.0587+0.8836*LN(CU69)+0.284)</f>
        <v>8.0934058173791862E-13</v>
      </c>
      <c r="CW69" s="22">
        <f t="shared" si="67"/>
        <v>1.4960899118586383E-12</v>
      </c>
      <c r="CX69" s="62">
        <f t="shared" si="68"/>
        <v>277.73798525661584</v>
      </c>
      <c r="CY69" s="62">
        <f ca="1">AVERAGE(OFFSET($CX$3,0,0,'Données projet'!$E$13+1,1))-AVERAGE(OFFSET($H$3,0,0,'Données projet'!$E$13+1,1))</f>
        <v>297.56177871222496</v>
      </c>
      <c r="CZ69" s="62">
        <f t="shared" ref="CZ69:CZ132" si="96">$CZ$3</f>
        <v>421.5717731815397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12.471694822837206</v>
      </c>
      <c r="DH69" s="23">
        <f>EXP(-LN(2)/2)*DH68+(1-EXP(-LN(2)/2))/(LN(2)/2)*DB69*DE69*VLOOKUP('Données projet'!$B$13,Paramètres!$A$1:$I$89,3,0)*0.475*44/12</f>
        <v>6.2126156941154592E-5</v>
      </c>
      <c r="DI69" s="24">
        <f t="shared" si="69"/>
        <v>12.471756948994146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8.4</v>
      </c>
      <c r="DO69" s="13">
        <f>IF('Données projet'!$A$166&gt;35,DO68+DN69-DW68,IF(A69&lt;'Données projet'!$A$166,$DL$205^A69,IF(A69='Données projet'!$A$166,'Données projet'!$B$166,DO68+DN69-DW68)))</f>
        <v>687.40000000000009</v>
      </c>
      <c r="DP69" s="18">
        <f>DO69*VLOOKUP('Données projet'!$B$14,Paramètres!$A$1:$I$89,3,0)*VLOOKUP('Données projet'!$B$14,Paramètres!$A$1:$I$89,5,0)</f>
        <v>504.00168000000008</v>
      </c>
      <c r="DQ69" s="14">
        <f t="shared" ref="DQ69:DQ132" si="97">EXP(-1.0587+0.8836*LN(DP69)+0.284)</f>
        <v>112.56955933766953</v>
      </c>
      <c r="DR69" s="22">
        <f t="shared" si="70"/>
        <v>1073.8615751797745</v>
      </c>
      <c r="DS69" s="62">
        <f t="shared" si="71"/>
        <v>1351.5995604363889</v>
      </c>
      <c r="DT69" s="62">
        <f ca="1">AVERAGE(OFFSET($DS$3,0,0,'Données projet'!$E$14+1,1))-AVERAGE(OFFSET($H$3,0,0,'Données projet'!$E$14+1,1))</f>
        <v>667.0152731006724</v>
      </c>
      <c r="DU69" s="62">
        <f t="shared" ref="DU69:DU132" si="98">$DU$3</f>
        <v>567.40780872008088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8.610731798210459</v>
      </c>
      <c r="EC69" s="23">
        <f>EXP(-LN(2)/2)*EC68+(1-EXP(-LN(2)/2))/(LN(2)/2)*DW69*DZ69*VLOOKUP('Données projet'!$B$14,Paramètres!$A$1:$I$89,3,0)*0.475*44/12</f>
        <v>5.6577245857480015E-5</v>
      </c>
      <c r="ED69" s="24">
        <f t="shared" si="72"/>
        <v>8.6107883754563161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260.37024000000002</v>
      </c>
      <c r="EL69" s="14">
        <f t="shared" ref="EL69:EL132" si="99">EXP(-1.0587+0.8836*LN(EK69)+0.284)</f>
        <v>62.801291625234725</v>
      </c>
      <c r="EM69" s="22">
        <f t="shared" si="73"/>
        <v>562.85708424728386</v>
      </c>
      <c r="EN69" s="62">
        <f t="shared" si="74"/>
        <v>840.59506950389823</v>
      </c>
      <c r="EO69" s="62">
        <f ca="1">AVERAGE(OFFSET($EN$3,0,0,'Données projet'!$E$15+1,1))-AVERAGE(OFFSET($H$3,0,0,'Données projet'!$E$15+1,1))</f>
        <v>454.99849419289757</v>
      </c>
      <c r="EP69" s="62">
        <f t="shared" ref="EP69:EP132" si="100">$EP$3</f>
        <v>288.86643267991928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65.746723251803914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2.7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14.894100000000016</v>
      </c>
      <c r="D70" s="12">
        <f t="shared" si="86"/>
        <v>5.0121893547348044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45.840646123172469</v>
      </c>
      <c r="H70" s="70">
        <f t="shared" si="56"/>
        <v>251.73678729282983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821.04231117277709</v>
      </c>
      <c r="S70" s="62">
        <f ca="1">AVERAGE(OFFSET($R$3,0,0,'Données projet'!$E$9+1,1))-AVERAGE(OFFSET($H$3,0,0,'Données projet'!$E$9+1,1))</f>
        <v>427.57091071251745</v>
      </c>
      <c r="T70" s="62">
        <f t="shared" si="88"/>
        <v>272.62827206514726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885.01732822771805</v>
      </c>
      <c r="AN70" s="62">
        <f ca="1">AVERAGE(OFFSET($AM$3,0,0,'Données projet'!$E$10+1,1))-AVERAGE(OFFSET($H$3,0,0,'Données projet'!$E$10+1,1))</f>
        <v>475.54515523869958</v>
      </c>
      <c r="AO70" s="62">
        <f t="shared" si="90"/>
        <v>301.02979240961452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3.6681974724519293</v>
      </c>
      <c r="AW70" s="23">
        <f>EXP(-LN(2)/2)*AW69+(1-EXP(-LN(2)/2))/(LN(2)/2)*AQ70*AT70*VLOOKUP('Données projet'!$B$10,Paramètres!$A$1:$I$89,3,0)*0.475*44/12</f>
        <v>4.5071449228053034E-5</v>
      </c>
      <c r="AX70" s="23">
        <f t="shared" si="60"/>
        <v>3.6682425439011572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16.745000000000005</v>
      </c>
      <c r="BD70" s="13">
        <f>IF('Données projet'!$A$88&gt;35,BD69+BC70-BL69,IF(A70&lt;'Données projet'!$A$88,$BA$205^A70,IF(A70='Données projet'!$A$88,'Données projet'!$B$88,BD69+BC70-BL69)))</f>
        <v>536.49000000000012</v>
      </c>
      <c r="BE70" s="14">
        <f>BD70*VLOOKUP('Données projet'!$B$11,Paramètres!$A$1:$I$89,3,0)*VLOOKUP('Données projet'!$B$11,Paramètres!$A$1:$I$89,5,0)</f>
        <v>299.89791000000008</v>
      </c>
      <c r="BF70" s="14">
        <f t="shared" si="91"/>
        <v>71.155061066438293</v>
      </c>
      <c r="BG70" s="22">
        <f t="shared" si="61"/>
        <v>646.25059127404677</v>
      </c>
      <c r="BH70" s="62">
        <f t="shared" si="62"/>
        <v>924.25912095381727</v>
      </c>
      <c r="BI70" s="62">
        <f ca="1">AVERAGE(OFFSET($BH$3,0,0,'Données projet'!$E$11+1,1))-AVERAGE(OFFSET($H$3,0,0,'Données projet'!$E$11+1,1))</f>
        <v>381.71417599784968</v>
      </c>
      <c r="BJ70" s="62">
        <f t="shared" si="92"/>
        <v>350.49230135197979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15.533283271115128</v>
      </c>
      <c r="BQ70" s="23">
        <f>EXP(-LN(2)/25)*BQ69+(1-EXP(-LN(2)/25))/(LN(2)/25)*Calculateur!BL70*Calculateur!BN70*VLOOKUP('Données projet'!$B$11,Paramètres!$A$1:$I$89,3,0)*0.475*44/12</f>
        <v>10.076036200032862</v>
      </c>
      <c r="BR70" s="23">
        <f>EXP(-LN(2)/2)*BR69+(1-EXP(-LN(2)/2))/(LN(2)/2)*BL70*BO70*VLOOKUP('Données projet'!$B$11,Paramètres!$A$1:$I$89,3,0)*0.475*44/12</f>
        <v>1.8717361988475659E-4</v>
      </c>
      <c r="BS70" s="24">
        <f t="shared" si="63"/>
        <v>25.609506644767876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5.6843418860808015E-14</v>
      </c>
      <c r="BZ70" s="14">
        <f>BY70*VLOOKUP('Données projet'!$B$12,Paramètres!$A$1:$I$89,3,0)*VLOOKUP('Données projet'!$B$12,Paramètres!$A$1:$I$89,5,0)</f>
        <v>3.1036506698001178E-14</v>
      </c>
      <c r="CA70" s="14">
        <f t="shared" si="93"/>
        <v>5.3428243983771088E-13</v>
      </c>
      <c r="CB70" s="22">
        <f t="shared" si="64"/>
        <v>9.8459716521636505E-13</v>
      </c>
      <c r="CC70" s="62">
        <f t="shared" si="65"/>
        <v>278.00852967977141</v>
      </c>
      <c r="CD70" s="62">
        <f ca="1">AVERAGE(OFFSET($CC$3,0,0,'Données projet'!$E$12+1,1))-AVERAGE(OFFSET($H$3,0,0,'Données projet'!$E$12+1,1))</f>
        <v>202.72043399839748</v>
      </c>
      <c r="CE70" s="62">
        <f t="shared" si="94"/>
        <v>295.50255983395789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2.0949239716050285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2.0949239716050285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5.6843418860808015E-14</v>
      </c>
      <c r="CU70" s="18">
        <f>CT70*VLOOKUP('Données projet'!$B$13,Paramètres!$A$1:$I$89,3,0)*VLOOKUP('Données projet'!$B$13,Paramètres!$A$1:$I$89,5,0)</f>
        <v>4.9658410716801891E-14</v>
      </c>
      <c r="CV70" s="14">
        <f t="shared" si="95"/>
        <v>8.0934058173791862E-13</v>
      </c>
      <c r="CW70" s="22">
        <f t="shared" si="67"/>
        <v>1.4960899118586383E-12</v>
      </c>
      <c r="CX70" s="62">
        <f t="shared" si="68"/>
        <v>278.00852967977193</v>
      </c>
      <c r="CY70" s="62">
        <f ca="1">AVERAGE(OFFSET($CX$3,0,0,'Données projet'!$E$13+1,1))-AVERAGE(OFFSET($H$3,0,0,'Données projet'!$E$13+1,1))</f>
        <v>297.56177871222496</v>
      </c>
      <c r="CZ70" s="62">
        <f t="shared" si="96"/>
        <v>421.5717731815397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12.130655672048796</v>
      </c>
      <c r="DH70" s="23">
        <f>EXP(-LN(2)/2)*DH69+(1-EXP(-LN(2)/2))/(LN(2)/2)*DB70*DE70*VLOOKUP('Données projet'!$B$13,Paramètres!$A$1:$I$89,3,0)*0.475*44/12</f>
        <v>4.3929826862150112E-5</v>
      </c>
      <c r="DI70" s="24">
        <f t="shared" si="69"/>
        <v>12.130699601875659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8.4</v>
      </c>
      <c r="DO70" s="13">
        <f>IF('Données projet'!$A$166&gt;35,DO69+DN70-DW69,IF(A70&lt;'Données projet'!$A$166,$DL$205^A70,IF(A70='Données projet'!$A$166,'Données projet'!$B$166,DO69+DN70-DW69)))</f>
        <v>695.80000000000007</v>
      </c>
      <c r="DP70" s="18">
        <f>DO70*VLOOKUP('Données projet'!$B$14,Paramètres!$A$1:$I$89,3,0)*VLOOKUP('Données projet'!$B$14,Paramètres!$A$1:$I$89,5,0)</f>
        <v>510.16056000000003</v>
      </c>
      <c r="DQ70" s="14">
        <f t="shared" si="97"/>
        <v>113.78417491664814</v>
      </c>
      <c r="DR70" s="22">
        <f t="shared" si="70"/>
        <v>1086.7037466464953</v>
      </c>
      <c r="DS70" s="62">
        <f t="shared" si="71"/>
        <v>1364.7122763262657</v>
      </c>
      <c r="DT70" s="62">
        <f ca="1">AVERAGE(OFFSET($DS$3,0,0,'Données projet'!$E$14+1,1))-AVERAGE(OFFSET($H$3,0,0,'Données projet'!$E$14+1,1))</f>
        <v>667.0152731006724</v>
      </c>
      <c r="DU70" s="62">
        <f t="shared" si="98"/>
        <v>567.40780872008088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8.375270884369689</v>
      </c>
      <c r="EC70" s="23">
        <f>EXP(-LN(2)/2)*EC69+(1-EXP(-LN(2)/2))/(LN(2)/2)*DW70*DZ70*VLOOKUP('Données projet'!$B$14,Paramètres!$A$1:$I$89,3,0)*0.475*44/12</f>
        <v>4.0006154206682623E-5</v>
      </c>
      <c r="ED70" s="24">
        <f t="shared" si="72"/>
        <v>8.3753108905238953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268.30127999999996</v>
      </c>
      <c r="EL70" s="14">
        <f t="shared" si="99"/>
        <v>64.488625713042012</v>
      </c>
      <c r="EM70" s="22">
        <f t="shared" si="73"/>
        <v>579.60908578354815</v>
      </c>
      <c r="EN70" s="62">
        <f t="shared" si="74"/>
        <v>857.61761546331854</v>
      </c>
      <c r="EO70" s="62">
        <f ca="1">AVERAGE(OFFSET($EN$3,0,0,'Données projet'!$E$15+1,1))-AVERAGE(OFFSET($H$3,0,0,'Données projet'!$E$15+1,1))</f>
        <v>454.99849419289757</v>
      </c>
      <c r="EP70" s="62">
        <f t="shared" si="100"/>
        <v>288.86643267991928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65.820508094482847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2.7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15.116400000000016</v>
      </c>
      <c r="D71" s="12">
        <f t="shared" si="86"/>
        <v>5.0782333044806975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46.397099359524191</v>
      </c>
      <c r="H71" s="70">
        <f t="shared" si="56"/>
        <v>252.23898633863726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836.99129587241634</v>
      </c>
      <c r="S71" s="62">
        <f ca="1">AVERAGE(OFFSET($R$3,0,0,'Données projet'!$E$9+1,1))-AVERAGE(OFFSET($H$3,0,0,'Données projet'!$E$9+1,1))</f>
        <v>427.57091071251745</v>
      </c>
      <c r="T71" s="62">
        <f t="shared" si="88"/>
        <v>272.62827206514726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902.81833562335851</v>
      </c>
      <c r="AN71" s="62">
        <f ca="1">AVERAGE(OFFSET($AM$3,0,0,'Données projet'!$E$10+1,1))-AVERAGE(OFFSET($H$3,0,0,'Données projet'!$E$10+1,1))</f>
        <v>475.54515523869958</v>
      </c>
      <c r="AO71" s="62">
        <f t="shared" si="90"/>
        <v>301.02979240961452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3.56789041966561</v>
      </c>
      <c r="AW71" s="23">
        <f>EXP(-LN(2)/2)*AW70+(1-EXP(-LN(2)/2))/(LN(2)/2)*AQ71*AT71*VLOOKUP('Données projet'!$B$10,Paramètres!$A$1:$I$89,3,0)*0.475*44/12</f>
        <v>3.1870327387061483E-5</v>
      </c>
      <c r="AX71" s="23">
        <f t="shared" si="60"/>
        <v>3.567922289992997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16.745000000000005</v>
      </c>
      <c r="BD71" s="13">
        <f>IF('Données projet'!$A$88&gt;35,BD70+BC71-BL70,IF(A71&lt;'Données projet'!$A$88,$BA$205^A71,IF(A71='Données projet'!$A$88,'Données projet'!$B$88,BD70+BC71-BL70)))</f>
        <v>553.23500000000013</v>
      </c>
      <c r="BE71" s="14">
        <f>BD71*VLOOKUP('Données projet'!$B$11,Paramètres!$A$1:$I$89,3,0)*VLOOKUP('Données projet'!$B$11,Paramètres!$A$1:$I$89,5,0)</f>
        <v>309.25836500000008</v>
      </c>
      <c r="BF71" s="14">
        <f t="shared" si="91"/>
        <v>73.113925681396637</v>
      </c>
      <c r="BG71" s="22">
        <f t="shared" si="61"/>
        <v>665.96507293676598</v>
      </c>
      <c r="BH71" s="62">
        <f t="shared" si="62"/>
        <v>944.23945369879743</v>
      </c>
      <c r="BI71" s="62">
        <f ca="1">AVERAGE(OFFSET($BH$3,0,0,'Données projet'!$E$11+1,1))-AVERAGE(OFFSET($H$3,0,0,'Données projet'!$E$11+1,1))</f>
        <v>381.71417599784968</v>
      </c>
      <c r="BJ71" s="62">
        <f t="shared" si="92"/>
        <v>350.49230135197979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15.22868506053584</v>
      </c>
      <c r="BQ71" s="23">
        <f>EXP(-LN(2)/25)*BQ70+(1-EXP(-LN(2)/25))/(LN(2)/25)*Calculateur!BL71*Calculateur!BN71*VLOOKUP('Données projet'!$B$11,Paramètres!$A$1:$I$89,3,0)*0.475*44/12</f>
        <v>9.8005064602672487</v>
      </c>
      <c r="BR71" s="23">
        <f>EXP(-LN(2)/2)*BR70+(1-EXP(-LN(2)/2))/(LN(2)/2)*BL71*BO71*VLOOKUP('Données projet'!$B$11,Paramètres!$A$1:$I$89,3,0)*0.475*44/12</f>
        <v>1.323517358797446E-4</v>
      </c>
      <c r="BS71" s="24">
        <f t="shared" si="63"/>
        <v>25.029323872538967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5.6843418860808015E-14</v>
      </c>
      <c r="BZ71" s="14">
        <f>BY71*VLOOKUP('Données projet'!$B$12,Paramètres!$A$1:$I$89,3,0)*VLOOKUP('Données projet'!$B$12,Paramètres!$A$1:$I$89,5,0)</f>
        <v>3.1036506698001178E-14</v>
      </c>
      <c r="CA71" s="14">
        <f t="shared" si="93"/>
        <v>5.3428243983771088E-13</v>
      </c>
      <c r="CB71" s="22">
        <f t="shared" si="64"/>
        <v>9.8459716521636505E-13</v>
      </c>
      <c r="CC71" s="62">
        <f t="shared" si="65"/>
        <v>278.27438076203242</v>
      </c>
      <c r="CD71" s="62">
        <f ca="1">AVERAGE(OFFSET($CC$3,0,0,'Données projet'!$E$12+1,1))-AVERAGE(OFFSET($H$3,0,0,'Données projet'!$E$12+1,1))</f>
        <v>202.72043399839748</v>
      </c>
      <c r="CE71" s="62">
        <f t="shared" si="94"/>
        <v>295.50255983395789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2.0376381654342253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2.0376381654342253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5.6843418860808015E-14</v>
      </c>
      <c r="CU71" s="18">
        <f>CT71*VLOOKUP('Données projet'!$B$13,Paramètres!$A$1:$I$89,3,0)*VLOOKUP('Données projet'!$B$13,Paramètres!$A$1:$I$89,5,0)</f>
        <v>4.9658410716801891E-14</v>
      </c>
      <c r="CV71" s="14">
        <f t="shared" si="95"/>
        <v>8.0934058173791862E-13</v>
      </c>
      <c r="CW71" s="22">
        <f t="shared" si="67"/>
        <v>1.4960899118586383E-12</v>
      </c>
      <c r="CX71" s="62">
        <f t="shared" si="68"/>
        <v>278.27438076203293</v>
      </c>
      <c r="CY71" s="62">
        <f ca="1">AVERAGE(OFFSET($CX$3,0,0,'Données projet'!$E$13+1,1))-AVERAGE(OFFSET($H$3,0,0,'Données projet'!$E$13+1,1))</f>
        <v>297.56177871222496</v>
      </c>
      <c r="CZ71" s="62">
        <f t="shared" si="96"/>
        <v>421.5717731815397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11.798942254773165</v>
      </c>
      <c r="DH71" s="23">
        <f>EXP(-LN(2)/2)*DH70+(1-EXP(-LN(2)/2))/(LN(2)/2)*DB71*DE71*VLOOKUP('Données projet'!$B$13,Paramètres!$A$1:$I$89,3,0)*0.475*44/12</f>
        <v>3.1063078470577296E-5</v>
      </c>
      <c r="DI71" s="24">
        <f t="shared" si="69"/>
        <v>11.798973317851635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8.4</v>
      </c>
      <c r="DO71" s="13">
        <f>IF('Données projet'!$A$166&gt;35,DO70+DN71-DW70,IF(A71&lt;'Données projet'!$A$166,$DL$205^A71,IF(A71='Données projet'!$A$166,'Données projet'!$B$166,DO70+DN71-DW70)))</f>
        <v>704.2</v>
      </c>
      <c r="DP71" s="18">
        <f>DO71*VLOOKUP('Données projet'!$B$14,Paramètres!$A$1:$I$89,3,0)*VLOOKUP('Données projet'!$B$14,Paramètres!$A$1:$I$89,5,0)</f>
        <v>516.31943999999999</v>
      </c>
      <c r="DQ71" s="14">
        <f t="shared" si="97"/>
        <v>114.9970848345509</v>
      </c>
      <c r="DR71" s="22">
        <f t="shared" si="70"/>
        <v>1099.5429474201762</v>
      </c>
      <c r="DS71" s="62">
        <f t="shared" si="71"/>
        <v>1377.8173281822078</v>
      </c>
      <c r="DT71" s="62">
        <f ca="1">AVERAGE(OFFSET($DS$3,0,0,'Données projet'!$E$14+1,1))-AVERAGE(OFFSET($H$3,0,0,'Données projet'!$E$14+1,1))</f>
        <v>667.0152731006724</v>
      </c>
      <c r="DU71" s="62">
        <f t="shared" si="98"/>
        <v>567.40780872008088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8.1462486616002465</v>
      </c>
      <c r="EC71" s="23">
        <f>EXP(-LN(2)/2)*EC70+(1-EXP(-LN(2)/2))/(LN(2)/2)*DW71*DZ71*VLOOKUP('Données projet'!$B$14,Paramètres!$A$1:$I$89,3,0)*0.475*44/12</f>
        <v>2.8288622928740008E-5</v>
      </c>
      <c r="ED71" s="24">
        <f t="shared" si="72"/>
        <v>8.1462769502231751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276.23231999999996</v>
      </c>
      <c r="EL71" s="14">
        <f t="shared" si="99"/>
        <v>66.170163093943458</v>
      </c>
      <c r="EM71" s="22">
        <f t="shared" si="73"/>
        <v>596.35099138861813</v>
      </c>
      <c r="EN71" s="62">
        <f t="shared" si="74"/>
        <v>874.62537215064958</v>
      </c>
      <c r="EO71" s="62">
        <f ca="1">AVERAGE(OFFSET($EN$3,0,0,'Données projet'!$E$15+1,1))-AVERAGE(OFFSET($H$3,0,0,'Données projet'!$E$15+1,1))</f>
        <v>454.99849419289757</v>
      </c>
      <c r="EP71" s="62">
        <f t="shared" si="100"/>
        <v>288.86643267991928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65.893012935099492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2.7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15.338700000000017</v>
      </c>
      <c r="D72" s="12">
        <f t="shared" si="86"/>
        <v>5.144164294923165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46.953334604237725</v>
      </c>
      <c r="H72" s="70">
        <f t="shared" si="56"/>
        <v>252.74098864699124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852.92645513360276</v>
      </c>
      <c r="S72" s="62">
        <f ca="1">AVERAGE(OFFSET($R$3,0,0,'Données projet'!$E$9+1,1))-AVERAGE(OFFSET($H$3,0,0,'Données projet'!$E$9+1,1))</f>
        <v>427.57091071251745</v>
      </c>
      <c r="T72" s="62">
        <f t="shared" si="88"/>
        <v>272.62827206514726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920.60454164839905</v>
      </c>
      <c r="AN72" s="62">
        <f ca="1">AVERAGE(OFFSET($AM$3,0,0,'Données projet'!$E$10+1,1))-AVERAGE(OFFSET($H$3,0,0,'Données projet'!$E$10+1,1))</f>
        <v>475.54515523869958</v>
      </c>
      <c r="AO72" s="62">
        <f t="shared" si="90"/>
        <v>301.02979240961452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3.4703262685126512</v>
      </c>
      <c r="AW72" s="23">
        <f>EXP(-LN(2)/2)*AW71+(1-EXP(-LN(2)/2))/(LN(2)/2)*AQ72*AT72*VLOOKUP('Données projet'!$B$10,Paramètres!$A$1:$I$89,3,0)*0.475*44/12</f>
        <v>2.2535724614026517E-5</v>
      </c>
      <c r="AX72" s="23">
        <f t="shared" si="60"/>
        <v>3.4703488042372652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569.98</v>
      </c>
      <c r="BB72" s="13">
        <f>VLOOKUP(A72,'Données projet'!$A$87:$I$107,9,0)</f>
        <v>16.745000000000005</v>
      </c>
      <c r="BC72" s="13">
        <f t="array" ref="BC72">INDEX(BB:BB,MIN(IF(ISNUMBER(BB72:BB268),ROW(BB72:BB268),"")))</f>
        <v>16.745000000000005</v>
      </c>
      <c r="BD72" s="13">
        <f>IF('Données projet'!$A$88&gt;35,BD71+BC72-BL71,IF(A72&lt;'Données projet'!$A$88,$BA$205^A72,IF(A72='Données projet'!$A$88,'Données projet'!$B$88,BD71+BC72-BL71)))</f>
        <v>569.98000000000013</v>
      </c>
      <c r="BE72" s="14">
        <f>BD72*VLOOKUP('Données projet'!$B$11,Paramètres!$A$1:$I$89,3,0)*VLOOKUP('Données projet'!$B$11,Paramètres!$A$1:$I$89,5,0)</f>
        <v>318.61882000000008</v>
      </c>
      <c r="BF72" s="14">
        <f t="shared" si="91"/>
        <v>75.065899995891868</v>
      </c>
      <c r="BG72" s="22">
        <f t="shared" si="61"/>
        <v>685.66755399284511</v>
      </c>
      <c r="BH72" s="62">
        <f t="shared" si="62"/>
        <v>964.20317391521439</v>
      </c>
      <c r="BI72" s="62">
        <f ca="1">AVERAGE(OFFSET($BH$3,0,0,'Données projet'!$E$11+1,1))-AVERAGE(OFFSET($H$3,0,0,'Données projet'!$E$11+1,1))</f>
        <v>381.71417599784968</v>
      </c>
      <c r="BJ72" s="62">
        <f t="shared" si="92"/>
        <v>350.49230135197979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14.930059835079447</v>
      </c>
      <c r="BQ72" s="23">
        <f>EXP(-LN(2)/25)*BQ71+(1-EXP(-LN(2)/25))/(LN(2)/25)*Calculateur!BL72*Calculateur!BN72*VLOOKUP('Données projet'!$B$11,Paramètres!$A$1:$I$89,3,0)*0.475*44/12</f>
        <v>9.5325110957250061</v>
      </c>
      <c r="BR72" s="23">
        <f>EXP(-LN(2)/2)*BR71+(1-EXP(-LN(2)/2))/(LN(2)/2)*BL72*BO72*VLOOKUP('Données projet'!$B$11,Paramètres!$A$1:$I$89,3,0)*0.475*44/12</f>
        <v>9.3586809942378297E-5</v>
      </c>
      <c r="BS72" s="24">
        <f t="shared" si="63"/>
        <v>24.462664517614396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5.6843418860808015E-14</v>
      </c>
      <c r="BZ72" s="14">
        <f>BY72*VLOOKUP('Données projet'!$B$12,Paramètres!$A$1:$I$89,3,0)*VLOOKUP('Données projet'!$B$12,Paramètres!$A$1:$I$89,5,0)</f>
        <v>3.1036506698001178E-14</v>
      </c>
      <c r="CA72" s="14">
        <f t="shared" si="93"/>
        <v>5.3428243983771088E-13</v>
      </c>
      <c r="CB72" s="22">
        <f t="shared" si="64"/>
        <v>9.8459716521636505E-13</v>
      </c>
      <c r="CC72" s="62">
        <f t="shared" si="65"/>
        <v>278.53561992237024</v>
      </c>
      <c r="CD72" s="62">
        <f ca="1">AVERAGE(OFFSET($CC$3,0,0,'Données projet'!$E$12+1,1))-AVERAGE(OFFSET($H$3,0,0,'Données projet'!$E$12+1,1))</f>
        <v>202.72043399839748</v>
      </c>
      <c r="CE72" s="62">
        <f t="shared" si="94"/>
        <v>295.50255983395789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1.9819188426456924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1.9819188426456924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5.6843418860808015E-14</v>
      </c>
      <c r="CU72" s="18">
        <f>CT72*VLOOKUP('Données projet'!$B$13,Paramètres!$A$1:$I$89,3,0)*VLOOKUP('Données projet'!$B$13,Paramètres!$A$1:$I$89,5,0)</f>
        <v>4.9658410716801891E-14</v>
      </c>
      <c r="CV72" s="14">
        <f t="shared" si="95"/>
        <v>8.0934058173791862E-13</v>
      </c>
      <c r="CW72" s="22">
        <f t="shared" si="67"/>
        <v>1.4960899118586383E-12</v>
      </c>
      <c r="CX72" s="62">
        <f t="shared" si="68"/>
        <v>278.53561992237076</v>
      </c>
      <c r="CY72" s="62">
        <f ca="1">AVERAGE(OFFSET($CX$3,0,0,'Données projet'!$E$13+1,1))-AVERAGE(OFFSET($H$3,0,0,'Données projet'!$E$13+1,1))</f>
        <v>297.56177871222496</v>
      </c>
      <c r="CZ72" s="62">
        <f t="shared" si="96"/>
        <v>421.5717731815397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11.476299558336986</v>
      </c>
      <c r="DH72" s="23">
        <f>EXP(-LN(2)/2)*DH71+(1-EXP(-LN(2)/2))/(LN(2)/2)*DB72*DE72*VLOOKUP('Données projet'!$B$13,Paramètres!$A$1:$I$89,3,0)*0.475*44/12</f>
        <v>2.1964913431075056E-5</v>
      </c>
      <c r="DI72" s="24">
        <f t="shared" si="69"/>
        <v>11.476321523250418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8.4</v>
      </c>
      <c r="DO72" s="13">
        <f>IF('Données projet'!$A$166&gt;35,DO71+DN72-DW71,IF(A72&lt;'Données projet'!$A$166,$DL$205^A72,IF(A72='Données projet'!$A$166,'Données projet'!$B$166,DO71+DN72-DW71)))</f>
        <v>712.6</v>
      </c>
      <c r="DP72" s="18">
        <f>DO72*VLOOKUP('Données projet'!$B$14,Paramètres!$A$1:$I$89,3,0)*VLOOKUP('Données projet'!$B$14,Paramètres!$A$1:$I$89,5,0)</f>
        <v>522.47831999999994</v>
      </c>
      <c r="DQ72" s="14">
        <f t="shared" si="97"/>
        <v>116.20831179081411</v>
      </c>
      <c r="DR72" s="22">
        <f t="shared" si="70"/>
        <v>1112.3792170356678</v>
      </c>
      <c r="DS72" s="62">
        <f t="shared" si="71"/>
        <v>1390.9148369580371</v>
      </c>
      <c r="DT72" s="62">
        <f ca="1">AVERAGE(OFFSET($DS$3,0,0,'Données projet'!$E$14+1,1))-AVERAGE(OFFSET($H$3,0,0,'Données projet'!$E$14+1,1))</f>
        <v>667.0152731006724</v>
      </c>
      <c r="DU72" s="62">
        <f t="shared" si="98"/>
        <v>567.40780872008088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7.9234890635561888</v>
      </c>
      <c r="EC72" s="23">
        <f>EXP(-LN(2)/2)*EC71+(1-EXP(-LN(2)/2))/(LN(2)/2)*DW72*DZ72*VLOOKUP('Données projet'!$B$14,Paramètres!$A$1:$I$89,3,0)*0.475*44/12</f>
        <v>2.0003077103341312E-5</v>
      </c>
      <c r="ED72" s="24">
        <f t="shared" si="72"/>
        <v>7.9235090666332919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284.16335999999995</v>
      </c>
      <c r="EL72" s="14">
        <f t="shared" si="99"/>
        <v>67.846089314219739</v>
      </c>
      <c r="EM72" s="22">
        <f t="shared" si="73"/>
        <v>613.08312422226595</v>
      </c>
      <c r="EN72" s="62">
        <f t="shared" si="74"/>
        <v>891.61874414463523</v>
      </c>
      <c r="EO72" s="62">
        <f ca="1">AVERAGE(OFFSET($EN$3,0,0,'Données projet'!$E$15+1,1))-AVERAGE(OFFSET($H$3,0,0,'Données projet'!$E$15+1,1))</f>
        <v>454.99849419289757</v>
      </c>
      <c r="EP72" s="62">
        <f t="shared" si="100"/>
        <v>288.86643267991928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65.964259978827982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2.7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15.561000000000018</v>
      </c>
      <c r="D73" s="12">
        <f t="shared" si="86"/>
        <v>5.2099841522989747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47.509355381629646</v>
      </c>
      <c r="H73" s="70">
        <f t="shared" si="56"/>
        <v>253.24279739858744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868.84815565533904</v>
      </c>
      <c r="S73" s="62">
        <f ca="1">AVERAGE(OFFSET($R$3,0,0,'Données projet'!$E$9+1,1))-AVERAGE(OFFSET($H$3,0,0,'Données projet'!$E$9+1,1))</f>
        <v>427.57091071251745</v>
      </c>
      <c r="T73" s="62">
        <f t="shared" si="88"/>
        <v>272.62827206514726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938.37634336944393</v>
      </c>
      <c r="AN73" s="62">
        <f ca="1">AVERAGE(OFFSET($AM$3,0,0,'Données projet'!$E$10+1,1))-AVERAGE(OFFSET($H$3,0,0,'Données projet'!$E$10+1,1))</f>
        <v>475.54515523869958</v>
      </c>
      <c r="AO73" s="62">
        <f t="shared" si="90"/>
        <v>301.02979240961452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3.375430014203646</v>
      </c>
      <c r="AW73" s="23">
        <f>EXP(-LN(2)/2)*AW72+(1-EXP(-LN(2)/2))/(LN(2)/2)*AQ73*AT73*VLOOKUP('Données projet'!$B$10,Paramètres!$A$1:$I$89,3,0)*0.475*44/12</f>
        <v>1.5935163693530741E-5</v>
      </c>
      <c r="AX73" s="23">
        <f t="shared" si="60"/>
        <v>3.3754459493673394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586.05999999999995</v>
      </c>
      <c r="BB73" s="13">
        <f>VLOOKUP(A73,'Données projet'!$A$87:$I$107,9,0)</f>
        <v>16.079999999999927</v>
      </c>
      <c r="BC73" s="13">
        <f t="array" ref="BC73">INDEX(BB:BB,MIN(IF(ISNUMBER(BB73:BB269),ROW(BB73:BB269),"")))</f>
        <v>16.079999999999927</v>
      </c>
      <c r="BD73" s="13">
        <f>IF('Données projet'!$A$88&gt;35,BD72+BC73-BL72,IF(A73&lt;'Données projet'!$A$88,$BA$205^A73,IF(A73='Données projet'!$A$88,'Données projet'!$B$88,BD72+BC73-BL72)))</f>
        <v>586.06000000000006</v>
      </c>
      <c r="BE73" s="14">
        <f>BD73*VLOOKUP('Données projet'!$B$11,Paramètres!$A$1:$I$89,3,0)*VLOOKUP('Données projet'!$B$11,Paramètres!$A$1:$I$89,5,0)</f>
        <v>327.60754000000003</v>
      </c>
      <c r="BF73" s="14">
        <f t="shared" si="91"/>
        <v>76.934079315946775</v>
      </c>
      <c r="BG73" s="22">
        <f t="shared" si="61"/>
        <v>704.57665364194065</v>
      </c>
      <c r="BH73" s="62">
        <f t="shared" si="62"/>
        <v>983.36898080925903</v>
      </c>
      <c r="BI73" s="62">
        <f ca="1">AVERAGE(OFFSET($BH$3,0,0,'Données projet'!$E$11+1,1))-AVERAGE(OFFSET($H$3,0,0,'Données projet'!$E$11+1,1))</f>
        <v>381.71417599784968</v>
      </c>
      <c r="BJ73" s="62">
        <f t="shared" si="92"/>
        <v>350.49230135197979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586.05999999999995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14.637290468150853</v>
      </c>
      <c r="BQ73" s="23">
        <f>EXP(-LN(2)/25)*BQ72+(1-EXP(-LN(2)/25))/(LN(2)/25)*Calculateur!BL73*Calculateur!BN73*VLOOKUP('Données projet'!$B$11,Paramètres!$A$1:$I$89,3,0)*0.475*44/12</f>
        <v>9.2718440785194343</v>
      </c>
      <c r="BR73" s="23">
        <f>EXP(-LN(2)/2)*BR72+(1-EXP(-LN(2)/2))/(LN(2)/2)*BL73*BO73*VLOOKUP('Données projet'!$B$11,Paramètres!$A$1:$I$89,3,0)*0.475*44/12</f>
        <v>6.6175867939872299E-5</v>
      </c>
      <c r="BS73" s="24">
        <f t="shared" si="63"/>
        <v>23.909200722538227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3.1036506698001178E-14</v>
      </c>
      <c r="CA73" s="14">
        <f t="shared" si="93"/>
        <v>5.3428243983771088E-13</v>
      </c>
      <c r="CB73" s="22">
        <f t="shared" si="64"/>
        <v>9.8459716521636505E-13</v>
      </c>
      <c r="CC73" s="62">
        <f t="shared" si="65"/>
        <v>278.7923271673194</v>
      </c>
      <c r="CD73" s="62">
        <f ca="1">AVERAGE(OFFSET($CC$3,0,0,'Données projet'!$E$12+1,1))-AVERAGE(OFFSET($H$3,0,0,'Données projet'!$E$12+1,1))</f>
        <v>202.72043399839748</v>
      </c>
      <c r="CE73" s="62">
        <f t="shared" si="94"/>
        <v>295.50255983395789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1.9277231676689637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1.9277231676689637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4.9658410716801891E-14</v>
      </c>
      <c r="CV73" s="14">
        <f t="shared" si="95"/>
        <v>8.0934058173791862E-13</v>
      </c>
      <c r="CW73" s="22">
        <f t="shared" si="67"/>
        <v>1.4960899118586383E-12</v>
      </c>
      <c r="CX73" s="62">
        <f t="shared" si="68"/>
        <v>278.79232716731991</v>
      </c>
      <c r="CY73" s="62">
        <f ca="1">AVERAGE(OFFSET($CX$3,0,0,'Données projet'!$E$13+1,1))-AVERAGE(OFFSET($H$3,0,0,'Données projet'!$E$13+1,1))</f>
        <v>297.56177871222496</v>
      </c>
      <c r="CZ73" s="62">
        <f t="shared" si="96"/>
        <v>421.5717731815397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11.162479543401897</v>
      </c>
      <c r="DH73" s="23">
        <f>EXP(-LN(2)/2)*DH72+(1-EXP(-LN(2)/2))/(LN(2)/2)*DB73*DE73*VLOOKUP('Données projet'!$B$13,Paramètres!$A$1:$I$89,3,0)*0.475*44/12</f>
        <v>1.5531539235288648E-5</v>
      </c>
      <c r="DI73" s="24">
        <f t="shared" si="69"/>
        <v>11.162495074941132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721</v>
      </c>
      <c r="DM73" s="13">
        <f>VLOOKUP(A73,'Données projet'!$A$165:$I$185,9,0)</f>
        <v>8.4</v>
      </c>
      <c r="DN73" s="13">
        <f t="array" ref="DN73">INDEX(DM:DM,MIN(IF(ISNUMBER(DM73:DM269),ROW(DM73:DM269),"")))</f>
        <v>8.4</v>
      </c>
      <c r="DO73" s="13">
        <f>IF('Données projet'!$A$166&gt;35,DO72+DN73-DW72,IF(A73&lt;'Données projet'!$A$166,$DL$205^A73,IF(A73='Données projet'!$A$166,'Données projet'!$B$166,DO72+DN73-DW72)))</f>
        <v>721</v>
      </c>
      <c r="DP73" s="18">
        <f>DO73*VLOOKUP('Données projet'!$B$14,Paramètres!$A$1:$I$89,3,0)*VLOOKUP('Données projet'!$B$14,Paramètres!$A$1:$I$89,5,0)</f>
        <v>528.63720000000001</v>
      </c>
      <c r="DQ73" s="14">
        <f t="shared" si="97"/>
        <v>117.41787791892403</v>
      </c>
      <c r="DR73" s="22">
        <f t="shared" si="70"/>
        <v>1125.2125940421261</v>
      </c>
      <c r="DS73" s="62">
        <f t="shared" si="71"/>
        <v>1404.0049212094445</v>
      </c>
      <c r="DT73" s="62">
        <f ca="1">AVERAGE(OFFSET($DS$3,0,0,'Données projet'!$E$14+1,1))-AVERAGE(OFFSET($H$3,0,0,'Données projet'!$E$14+1,1))</f>
        <v>667.0152731006724</v>
      </c>
      <c r="DU73" s="62">
        <f t="shared" si="98"/>
        <v>567.40780872008088</v>
      </c>
      <c r="DV73" s="16">
        <f>IF(ISNA(VLOOKUP(A73,'Données projet'!$A$165:$I$185,3,0)),0,VLOOKUP(A73,'Données projet'!$A$165:$I$185,3,0))</f>
        <v>366</v>
      </c>
      <c r="DW73" s="16">
        <f>IF(ISNA(VLOOKUP(A73,'Données projet'!$A$165:$I$185,4,0)),0,VLOOKUP(A73,'Données projet'!$A$165:$I$185,4,0))</f>
        <v>15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7.706820838435064</v>
      </c>
      <c r="EC73" s="23">
        <f>EXP(-LN(2)/2)*EC72+(1-EXP(-LN(2)/2))/(LN(2)/2)*DW73*DZ73*VLOOKUP('Données projet'!$B$14,Paramètres!$A$1:$I$89,3,0)*0.475*44/12</f>
        <v>1.4144311464370004E-5</v>
      </c>
      <c r="ED73" s="24">
        <f t="shared" si="72"/>
        <v>7.7068349827465283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292.09439999999995</v>
      </c>
      <c r="EL73" s="14">
        <f t="shared" si="99"/>
        <v>69.516578973599849</v>
      </c>
      <c r="EM73" s="22">
        <f t="shared" si="73"/>
        <v>629.80578837901965</v>
      </c>
      <c r="EN73" s="62">
        <f t="shared" si="74"/>
        <v>908.59811554633802</v>
      </c>
      <c r="EO73" s="62">
        <f ca="1">AVERAGE(OFFSET($EN$3,0,0,'Données projet'!$E$15+1,1))-AVERAGE(OFFSET($H$3,0,0,'Données projet'!$E$15+1,1))</f>
        <v>454.99849419289757</v>
      </c>
      <c r="EP73" s="62">
        <f t="shared" si="100"/>
        <v>288.86643267991928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66.034271045632309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2.7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15.783300000000018</v>
      </c>
      <c r="D74" s="12">
        <f t="shared" si="86"/>
        <v>5.2756946476702202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48.065165109539066</v>
      </c>
      <c r="H74" s="70">
        <f t="shared" si="56"/>
        <v>253.74441567802569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830.11235658436021</v>
      </c>
      <c r="S74" s="62">
        <f ca="1">AVERAGE(OFFSET($R$3,0,0,'Données projet'!$E$9+1,1))-AVERAGE(OFFSET($H$3,0,0,'Données projet'!$E$9+1,1))</f>
        <v>427.57091071251745</v>
      </c>
      <c r="T74" s="62">
        <f t="shared" si="88"/>
        <v>272.62827206514726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895.03609450166596</v>
      </c>
      <c r="AN74" s="62">
        <f ca="1">AVERAGE(OFFSET($AM$3,0,0,'Données projet'!$E$10+1,1))-AVERAGE(OFFSET($H$3,0,0,'Données projet'!$E$10+1,1))</f>
        <v>475.54515523869958</v>
      </c>
      <c r="AO74" s="62">
        <f t="shared" si="90"/>
        <v>301.02979240961452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3.2831287029590976</v>
      </c>
      <c r="AW74" s="23">
        <f>EXP(-LN(2)/2)*AW73+(1-EXP(-LN(2)/2))/(LN(2)/2)*AQ74*AT74*VLOOKUP('Données projet'!$B$10,Paramètres!$A$1:$I$89,3,0)*0.475*44/12</f>
        <v>1.1267862307013259E-5</v>
      </c>
      <c r="AX74" s="23">
        <f t="shared" si="60"/>
        <v>3.2831399708214049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6.3550942286383367E-14</v>
      </c>
      <c r="BF74" s="14">
        <f t="shared" si="91"/>
        <v>1.0064464192543978E-12</v>
      </c>
      <c r="BG74" s="22">
        <f t="shared" si="61"/>
        <v>1.8635787380168604E-12</v>
      </c>
      <c r="BH74" s="62">
        <f t="shared" si="62"/>
        <v>279.04458111548109</v>
      </c>
      <c r="BI74" s="62">
        <f ca="1">AVERAGE(OFFSET($BH$3,0,0,'Données projet'!$E$11+1,1))-AVERAGE(OFFSET($H$3,0,0,'Données projet'!$E$11+1,1))</f>
        <v>381.71417599784968</v>
      </c>
      <c r="BJ74" s="62">
        <f t="shared" si="92"/>
        <v>350.49230135197979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14.350262129936047</v>
      </c>
      <c r="BQ74" s="23">
        <f>EXP(-LN(2)/25)*BQ73+(1-EXP(-LN(2)/25))/(LN(2)/25)*Calculateur!BL74*Calculateur!BN74*VLOOKUP('Données projet'!$B$11,Paramètres!$A$1:$I$89,3,0)*0.475*44/12</f>
        <v>9.0183050146072308</v>
      </c>
      <c r="BR74" s="23">
        <f>EXP(-LN(2)/2)*BR73+(1-EXP(-LN(2)/2))/(LN(2)/2)*BL74*BO74*VLOOKUP('Données projet'!$B$11,Paramètres!$A$1:$I$89,3,0)*0.475*44/12</f>
        <v>4.6793404971189149E-5</v>
      </c>
      <c r="BS74" s="24">
        <f t="shared" si="63"/>
        <v>23.368613937948247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3.1036506698001178E-14</v>
      </c>
      <c r="CA74" s="14">
        <f t="shared" si="93"/>
        <v>5.3428243983771088E-13</v>
      </c>
      <c r="CB74" s="22">
        <f t="shared" si="64"/>
        <v>9.8459716521636505E-13</v>
      </c>
      <c r="CC74" s="62">
        <f t="shared" si="65"/>
        <v>279.04458111548018</v>
      </c>
      <c r="CD74" s="62">
        <f ca="1">AVERAGE(OFFSET($CC$3,0,0,'Données projet'!$E$12+1,1))-AVERAGE(OFFSET($H$3,0,0,'Données projet'!$E$12+1,1))</f>
        <v>202.72043399839748</v>
      </c>
      <c r="CE74" s="62">
        <f t="shared" si="94"/>
        <v>295.50255983395789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1.8750094762745004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1.8750094762745004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4.9658410716801891E-14</v>
      </c>
      <c r="CV74" s="14">
        <f t="shared" si="95"/>
        <v>8.0934058173791862E-13</v>
      </c>
      <c r="CW74" s="22">
        <f t="shared" si="67"/>
        <v>1.4960899118586383E-12</v>
      </c>
      <c r="CX74" s="62">
        <f t="shared" si="68"/>
        <v>279.0445811154807</v>
      </c>
      <c r="CY74" s="62">
        <f ca="1">AVERAGE(OFFSET($CX$3,0,0,'Données projet'!$E$13+1,1))-AVERAGE(OFFSET($H$3,0,0,'Données projet'!$E$13+1,1))</f>
        <v>297.56177871222496</v>
      </c>
      <c r="CZ74" s="62">
        <f t="shared" si="96"/>
        <v>421.5717731815397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10.857240953278286</v>
      </c>
      <c r="DH74" s="23">
        <f>EXP(-LN(2)/2)*DH73+(1-EXP(-LN(2)/2))/(LN(2)/2)*DB74*DE74*VLOOKUP('Données projet'!$B$13,Paramètres!$A$1:$I$89,3,0)*0.475*44/12</f>
        <v>1.0982456715537528E-5</v>
      </c>
      <c r="DI74" s="24">
        <f t="shared" si="69"/>
        <v>10.857251935735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7.8</v>
      </c>
      <c r="DO74" s="13">
        <f>IF('Données projet'!$A$166&gt;35,DO73+DN74-DW73,IF(A74&lt;'Données projet'!$A$166,$DL$205^A74,IF(A74='Données projet'!$A$166,'Données projet'!$B$166,DO73+DN74-DW73)))</f>
        <v>713.8</v>
      </c>
      <c r="DP74" s="18">
        <f>DO74*VLOOKUP('Données projet'!$B$14,Paramètres!$A$1:$I$89,3,0)*VLOOKUP('Données projet'!$B$14,Paramètres!$A$1:$I$89,5,0)</f>
        <v>523.35815999999988</v>
      </c>
      <c r="DQ74" s="14">
        <f t="shared" si="97"/>
        <v>116.38120812600383</v>
      </c>
      <c r="DR74" s="22">
        <f t="shared" si="70"/>
        <v>1114.2127328194563</v>
      </c>
      <c r="DS74" s="62">
        <f t="shared" si="71"/>
        <v>1393.2573139349356</v>
      </c>
      <c r="DT74" s="62">
        <f ca="1">AVERAGE(OFFSET($DS$3,0,0,'Données projet'!$E$14+1,1))-AVERAGE(OFFSET($H$3,0,0,'Données projet'!$E$14+1,1))</f>
        <v>667.0152731006724</v>
      </c>
      <c r="DU74" s="62">
        <f t="shared" si="98"/>
        <v>567.40780872008088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7.4960774173239635</v>
      </c>
      <c r="EC74" s="23">
        <f>EXP(-LN(2)/2)*EC73+(1-EXP(-LN(2)/2))/(LN(2)/2)*DW74*DZ74*VLOOKUP('Données projet'!$B$14,Paramètres!$A$1:$I$89,3,0)*0.475*44/12</f>
        <v>1.0001538551670656E-5</v>
      </c>
      <c r="ED74" s="24">
        <f t="shared" si="72"/>
        <v>7.4960874188625155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272.36351999999999</v>
      </c>
      <c r="EL74" s="14">
        <f t="shared" si="99"/>
        <v>65.350613162347059</v>
      </c>
      <c r="EM74" s="22">
        <f t="shared" si="73"/>
        <v>588.18544859108772</v>
      </c>
      <c r="EN74" s="62">
        <f t="shared" si="74"/>
        <v>867.23002970656694</v>
      </c>
      <c r="EO74" s="62">
        <f ca="1">AVERAGE(OFFSET($EN$3,0,0,'Données projet'!$E$15+1,1))-AVERAGE(OFFSET($H$3,0,0,'Données projet'!$E$15+1,1))</f>
        <v>454.99849419289757</v>
      </c>
      <c r="EP74" s="62">
        <f t="shared" si="100"/>
        <v>288.86643267991928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66.103067576948874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2.7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16.005600000000019</v>
      </c>
      <c r="D75" s="12">
        <f t="shared" si="86"/>
        <v>5.3412974993444209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48.620767103998048</v>
      </c>
      <c r="H75" s="70">
        <f t="shared" si="56"/>
        <v>254.24584647802493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844.89172457788061</v>
      </c>
      <c r="S75" s="62">
        <f ca="1">AVERAGE(OFFSET($R$3,0,0,'Données projet'!$E$9+1,1))-AVERAGE(OFFSET($H$3,0,0,'Données projet'!$E$9+1,1))</f>
        <v>427.57091071251745</v>
      </c>
      <c r="T75" s="62">
        <f t="shared" si="88"/>
        <v>272.62827206514726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911.53153734715647</v>
      </c>
      <c r="AN75" s="62">
        <f ca="1">AVERAGE(OFFSET($AM$3,0,0,'Données projet'!$E$10+1,1))-AVERAGE(OFFSET($H$3,0,0,'Données projet'!$E$10+1,1))</f>
        <v>475.54515523869958</v>
      </c>
      <c r="AO75" s="62">
        <f t="shared" si="90"/>
        <v>301.02979240961452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3.1933513759244465</v>
      </c>
      <c r="AW75" s="23">
        <f>EXP(-LN(2)/2)*AW74+(1-EXP(-LN(2)/2))/(LN(2)/2)*AQ75*AT75*VLOOKUP('Données projet'!$B$10,Paramètres!$A$1:$I$89,3,0)*0.475*44/12</f>
        <v>7.9675818467653707E-6</v>
      </c>
      <c r="AX75" s="23">
        <f t="shared" si="60"/>
        <v>3.1933593435062932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6.3550942286383367E-14</v>
      </c>
      <c r="BF75" s="14">
        <f t="shared" si="91"/>
        <v>1.0064464192543978E-12</v>
      </c>
      <c r="BG75" s="22">
        <f t="shared" si="61"/>
        <v>1.8635787380168604E-12</v>
      </c>
      <c r="BH75" s="62">
        <f t="shared" si="62"/>
        <v>279.29245902159658</v>
      </c>
      <c r="BI75" s="62">
        <f ca="1">AVERAGE(OFFSET($BH$3,0,0,'Données projet'!$E$11+1,1))-AVERAGE(OFFSET($H$3,0,0,'Données projet'!$E$11+1,1))</f>
        <v>381.71417599784968</v>
      </c>
      <c r="BJ75" s="62">
        <f t="shared" si="92"/>
        <v>350.49230135197979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14.068862242363632</v>
      </c>
      <c r="BQ75" s="23">
        <f>EXP(-LN(2)/25)*BQ74+(1-EXP(-LN(2)/25))/(LN(2)/25)*Calculateur!BL75*Calculateur!BN75*VLOOKUP('Données projet'!$B$11,Paramètres!$A$1:$I$89,3,0)*0.475*44/12</f>
        <v>8.7716989897307478</v>
      </c>
      <c r="BR75" s="23">
        <f>EXP(-LN(2)/2)*BR74+(1-EXP(-LN(2)/2))/(LN(2)/2)*BL75*BO75*VLOOKUP('Données projet'!$B$11,Paramètres!$A$1:$I$89,3,0)*0.475*44/12</f>
        <v>3.308793396993615E-5</v>
      </c>
      <c r="BS75" s="24">
        <f t="shared" si="63"/>
        <v>22.840594320028352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3.1036506698001178E-14</v>
      </c>
      <c r="CA75" s="14">
        <f t="shared" si="93"/>
        <v>5.3428243983771088E-13</v>
      </c>
      <c r="CB75" s="22">
        <f t="shared" si="64"/>
        <v>9.8459716521636505E-13</v>
      </c>
      <c r="CC75" s="62">
        <f t="shared" si="65"/>
        <v>279.29245902159568</v>
      </c>
      <c r="CD75" s="62">
        <f ca="1">AVERAGE(OFFSET($CC$3,0,0,'Données projet'!$E$12+1,1))-AVERAGE(OFFSET($H$3,0,0,'Données projet'!$E$12+1,1))</f>
        <v>202.72043399839748</v>
      </c>
      <c r="CE75" s="62">
        <f t="shared" si="94"/>
        <v>295.50255983395789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1.8237372435433112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1.8237372435433112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4.9658410716801891E-14</v>
      </c>
      <c r="CV75" s="14">
        <f t="shared" si="95"/>
        <v>8.0934058173791862E-13</v>
      </c>
      <c r="CW75" s="22">
        <f t="shared" si="67"/>
        <v>1.4960899118586383E-12</v>
      </c>
      <c r="CX75" s="62">
        <f t="shared" si="68"/>
        <v>279.29245902159619</v>
      </c>
      <c r="CY75" s="62">
        <f ca="1">AVERAGE(OFFSET($CX$3,0,0,'Données projet'!$E$13+1,1))-AVERAGE(OFFSET($H$3,0,0,'Données projet'!$E$13+1,1))</f>
        <v>297.56177871222496</v>
      </c>
      <c r="CZ75" s="62">
        <f t="shared" si="96"/>
        <v>421.5717731815397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10.560349128453403</v>
      </c>
      <c r="DH75" s="23">
        <f>EXP(-LN(2)/2)*DH74+(1-EXP(-LN(2)/2))/(LN(2)/2)*DB75*DE75*VLOOKUP('Données projet'!$B$13,Paramètres!$A$1:$I$89,3,0)*0.475*44/12</f>
        <v>7.765769617644324E-6</v>
      </c>
      <c r="DI75" s="24">
        <f t="shared" si="69"/>
        <v>10.560356894223021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7.8</v>
      </c>
      <c r="DO75" s="13">
        <f>IF('Données projet'!$A$166&gt;35,DO74+DN75-DW74,IF(A75&lt;'Données projet'!$A$166,$DL$205^A75,IF(A75='Données projet'!$A$166,'Données projet'!$B$166,DO74+DN75-DW74)))</f>
        <v>721.59999999999991</v>
      </c>
      <c r="DP75" s="18">
        <f>DO75*VLOOKUP('Données projet'!$B$14,Paramètres!$A$1:$I$89,3,0)*VLOOKUP('Données projet'!$B$14,Paramètres!$A$1:$I$89,5,0)</f>
        <v>529.07711999999992</v>
      </c>
      <c r="DQ75" s="14">
        <f t="shared" si="97"/>
        <v>117.50421252106051</v>
      </c>
      <c r="DR75" s="22">
        <f t="shared" si="70"/>
        <v>1126.1291541408468</v>
      </c>
      <c r="DS75" s="62">
        <f t="shared" si="71"/>
        <v>1405.4216131624416</v>
      </c>
      <c r="DT75" s="62">
        <f ca="1">AVERAGE(OFFSET($DS$3,0,0,'Données projet'!$E$14+1,1))-AVERAGE(OFFSET($H$3,0,0,'Données projet'!$E$14+1,1))</f>
        <v>667.0152731006724</v>
      </c>
      <c r="DU75" s="62">
        <f t="shared" si="98"/>
        <v>567.40780872008088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7.291096786145661</v>
      </c>
      <c r="EC75" s="23">
        <f>EXP(-LN(2)/2)*EC74+(1-EXP(-LN(2)/2))/(LN(2)/2)*DW75*DZ75*VLOOKUP('Données projet'!$B$14,Paramètres!$A$1:$I$89,3,0)*0.475*44/12</f>
        <v>7.0721557321850019E-6</v>
      </c>
      <c r="ED75" s="24">
        <f t="shared" si="72"/>
        <v>7.2911038583013932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279.71424000000002</v>
      </c>
      <c r="EL75" s="14">
        <f t="shared" si="99"/>
        <v>66.906615990158315</v>
      </c>
      <c r="EM75" s="22">
        <f t="shared" si="73"/>
        <v>603.69799084952581</v>
      </c>
      <c r="EN75" s="62">
        <f t="shared" si="74"/>
        <v>882.99044987112052</v>
      </c>
      <c r="EO75" s="62">
        <f ca="1">AVERAGE(OFFSET($EN$3,0,0,'Données projet'!$E$15+1,1))-AVERAGE(OFFSET($H$3,0,0,'Données projet'!$E$15+1,1))</f>
        <v>454.99849419289757</v>
      </c>
      <c r="EP75" s="62">
        <f t="shared" si="100"/>
        <v>288.86643267991928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66.1706706422531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2.7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16.22790000000002</v>
      </c>
      <c r="D76" s="12">
        <f t="shared" si="86"/>
        <v>5.4067943751563767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49.176164583635156</v>
      </c>
      <c r="H76" s="70">
        <f t="shared" si="56"/>
        <v>254.74709270339741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859.65898803266577</v>
      </c>
      <c r="S76" s="62">
        <f ca="1">AVERAGE(OFFSET($R$3,0,0,'Données projet'!$E$9+1,1))-AVERAGE(OFFSET($H$3,0,0,'Données projet'!$E$9+1,1))</f>
        <v>427.57091071251745</v>
      </c>
      <c r="T76" s="62">
        <f t="shared" si="88"/>
        <v>272.62827206514726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928.01404897977613</v>
      </c>
      <c r="AN76" s="62">
        <f ca="1">AVERAGE(OFFSET($AM$3,0,0,'Données projet'!$E$10+1,1))-AVERAGE(OFFSET($H$3,0,0,'Données projet'!$E$10+1,1))</f>
        <v>475.54515523869958</v>
      </c>
      <c r="AO76" s="62">
        <f t="shared" si="90"/>
        <v>301.02979240961452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3.1060290146187421</v>
      </c>
      <c r="AW76" s="23">
        <f>EXP(-LN(2)/2)*AW75+(1-EXP(-LN(2)/2))/(LN(2)/2)*AQ76*AT76*VLOOKUP('Données projet'!$B$10,Paramètres!$A$1:$I$89,3,0)*0.475*44/12</f>
        <v>5.6339311535066293E-6</v>
      </c>
      <c r="AX76" s="23">
        <f t="shared" si="60"/>
        <v>3.1060346485498957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6.3550942286383367E-14</v>
      </c>
      <c r="BF76" s="14">
        <f t="shared" si="91"/>
        <v>1.0064464192543978E-12</v>
      </c>
      <c r="BG76" s="22">
        <f t="shared" si="61"/>
        <v>1.8635787380168604E-12</v>
      </c>
      <c r="BH76" s="62">
        <f t="shared" si="62"/>
        <v>279.53603680021297</v>
      </c>
      <c r="BI76" s="62">
        <f ca="1">AVERAGE(OFFSET($BH$3,0,0,'Données projet'!$E$11+1,1))-AVERAGE(OFFSET($H$3,0,0,'Données projet'!$E$11+1,1))</f>
        <v>381.71417599784968</v>
      </c>
      <c r="BJ76" s="62">
        <f t="shared" si="92"/>
        <v>350.49230135197979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13.792980434949531</v>
      </c>
      <c r="BQ76" s="23">
        <f>EXP(-LN(2)/25)*BQ75+(1-EXP(-LN(2)/25))/(LN(2)/25)*Calculateur!BL76*Calculateur!BN76*VLOOKUP('Données projet'!$B$11,Paramètres!$A$1:$I$89,3,0)*0.475*44/12</f>
        <v>8.5318364195729579</v>
      </c>
      <c r="BR76" s="23">
        <f>EXP(-LN(2)/2)*BR75+(1-EXP(-LN(2)/2))/(LN(2)/2)*BL76*BO76*VLOOKUP('Données projet'!$B$11,Paramètres!$A$1:$I$89,3,0)*0.475*44/12</f>
        <v>2.3396702485594574E-5</v>
      </c>
      <c r="BS76" s="24">
        <f t="shared" si="63"/>
        <v>22.324840251224973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3.1036506698001178E-14</v>
      </c>
      <c r="CA76" s="14">
        <f t="shared" si="93"/>
        <v>5.3428243983771088E-13</v>
      </c>
      <c r="CB76" s="22">
        <f t="shared" si="64"/>
        <v>9.8459716521636505E-13</v>
      </c>
      <c r="CC76" s="62">
        <f t="shared" si="65"/>
        <v>279.53603680021206</v>
      </c>
      <c r="CD76" s="62">
        <f ca="1">AVERAGE(OFFSET($CC$3,0,0,'Données projet'!$E$12+1,1))-AVERAGE(OFFSET($H$3,0,0,'Données projet'!$E$12+1,1))</f>
        <v>202.72043399839748</v>
      </c>
      <c r="CE76" s="62">
        <f t="shared" si="94"/>
        <v>295.50255983395789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1.773867052712446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1.773867052712446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4.9658410716801891E-14</v>
      </c>
      <c r="CV76" s="14">
        <f t="shared" si="95"/>
        <v>8.0934058173791862E-13</v>
      </c>
      <c r="CW76" s="22">
        <f t="shared" si="67"/>
        <v>1.4960899118586383E-12</v>
      </c>
      <c r="CX76" s="62">
        <f t="shared" si="68"/>
        <v>279.53603680021257</v>
      </c>
      <c r="CY76" s="62">
        <f ca="1">AVERAGE(OFFSET($CX$3,0,0,'Données projet'!$E$13+1,1))-AVERAGE(OFFSET($H$3,0,0,'Données projet'!$E$13+1,1))</f>
        <v>297.56177871222496</v>
      </c>
      <c r="CZ76" s="62">
        <f t="shared" si="96"/>
        <v>421.5717731815397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10.271575826191221</v>
      </c>
      <c r="DH76" s="23">
        <f>EXP(-LN(2)/2)*DH75+(1-EXP(-LN(2)/2))/(LN(2)/2)*DB76*DE76*VLOOKUP('Données projet'!$B$13,Paramètres!$A$1:$I$89,3,0)*0.475*44/12</f>
        <v>5.491228357768764E-6</v>
      </c>
      <c r="DI76" s="24">
        <f t="shared" si="69"/>
        <v>10.271581317419578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7.8</v>
      </c>
      <c r="DO76" s="13">
        <f>IF('Données projet'!$A$166&gt;35,DO75+DN76-DW75,IF(A76&lt;'Données projet'!$A$166,$DL$205^A76,IF(A76='Données projet'!$A$166,'Données projet'!$B$166,DO75+DN76-DW75)))</f>
        <v>729.39999999999986</v>
      </c>
      <c r="DP76" s="18">
        <f>DO76*VLOOKUP('Données projet'!$B$14,Paramètres!$A$1:$I$89,3,0)*VLOOKUP('Données projet'!$B$14,Paramètres!$A$1:$I$89,5,0)</f>
        <v>534.79607999999996</v>
      </c>
      <c r="DQ76" s="14">
        <f t="shared" si="97"/>
        <v>118.62580480695247</v>
      </c>
      <c r="DR76" s="22">
        <f t="shared" si="70"/>
        <v>1138.0431160387755</v>
      </c>
      <c r="DS76" s="62">
        <f t="shared" si="71"/>
        <v>1417.5791528389866</v>
      </c>
      <c r="DT76" s="62">
        <f ca="1">AVERAGE(OFFSET($DS$3,0,0,'Données projet'!$E$14+1,1))-AVERAGE(OFFSET($H$3,0,0,'Données projet'!$E$14+1,1))</f>
        <v>667.0152731006724</v>
      </c>
      <c r="DU76" s="62">
        <f t="shared" si="98"/>
        <v>567.40780872008088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7.0917213611063916</v>
      </c>
      <c r="EC76" s="23">
        <f>EXP(-LN(2)/2)*EC75+(1-EXP(-LN(2)/2))/(LN(2)/2)*DW76*DZ76*VLOOKUP('Données projet'!$B$14,Paramètres!$A$1:$I$89,3,0)*0.475*44/12</f>
        <v>5.0007692758353279E-6</v>
      </c>
      <c r="ED76" s="24">
        <f t="shared" si="72"/>
        <v>7.0917263618756676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287.06496000000004</v>
      </c>
      <c r="EL76" s="14">
        <f t="shared" si="99"/>
        <v>68.457865822206315</v>
      </c>
      <c r="EM76" s="22">
        <f t="shared" si="73"/>
        <v>619.20225497367608</v>
      </c>
      <c r="EN76" s="62">
        <f t="shared" si="74"/>
        <v>898.73829177388711</v>
      </c>
      <c r="EO76" s="62">
        <f ca="1">AVERAGE(OFFSET($EN$3,0,0,'Données projet'!$E$15+1,1))-AVERAGE(OFFSET($H$3,0,0,'Données projet'!$E$15+1,1))</f>
        <v>454.99849419289757</v>
      </c>
      <c r="EP76" s="62">
        <f t="shared" si="100"/>
        <v>288.86643267991928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66.237100945512111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2.7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16.45020000000002</v>
      </c>
      <c r="D77" s="12">
        <f t="shared" si="86"/>
        <v>5.4721868946214087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49.731360673830835</v>
      </c>
      <c r="H77" s="70">
        <f t="shared" si="56"/>
        <v>255.24815717479902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874.41444436861525</v>
      </c>
      <c r="S77" s="62">
        <f ca="1">AVERAGE(OFFSET($R$3,0,0,'Données projet'!$E$9+1,1))-AVERAGE(OFFSET($H$3,0,0,'Données projet'!$E$9+1,1))</f>
        <v>427.57091071251745</v>
      </c>
      <c r="T77" s="62">
        <f t="shared" si="88"/>
        <v>272.62827206514726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944.48395042164429</v>
      </c>
      <c r="AN77" s="62">
        <f ca="1">AVERAGE(OFFSET($AM$3,0,0,'Données projet'!$E$10+1,1))-AVERAGE(OFFSET($H$3,0,0,'Données projet'!$E$10+1,1))</f>
        <v>475.54515523869958</v>
      </c>
      <c r="AO77" s="62">
        <f t="shared" si="90"/>
        <v>301.02979240961452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3.0210944878750259</v>
      </c>
      <c r="AW77" s="23">
        <f>EXP(-LN(2)/2)*AW76+(1-EXP(-LN(2)/2))/(LN(2)/2)*AQ77*AT77*VLOOKUP('Données projet'!$B$10,Paramètres!$A$1:$I$89,3,0)*0.475*44/12</f>
        <v>3.9837909233826853E-6</v>
      </c>
      <c r="AX77" s="23">
        <f t="shared" si="60"/>
        <v>3.0210984716659492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6.3550942286383367E-14</v>
      </c>
      <c r="BF77" s="14">
        <f t="shared" si="91"/>
        <v>1.0064464192543978E-12</v>
      </c>
      <c r="BG77" s="22">
        <f t="shared" si="61"/>
        <v>1.8635787380168604E-12</v>
      </c>
      <c r="BH77" s="62">
        <f t="shared" si="62"/>
        <v>279.77538904892867</v>
      </c>
      <c r="BI77" s="62">
        <f ca="1">AVERAGE(OFFSET($BH$3,0,0,'Données projet'!$E$11+1,1))-AVERAGE(OFFSET($H$3,0,0,'Données projet'!$E$11+1,1))</f>
        <v>381.71417599784968</v>
      </c>
      <c r="BJ77" s="62">
        <f t="shared" si="92"/>
        <v>350.49230135197979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13.522508501507533</v>
      </c>
      <c r="BQ77" s="23">
        <f>EXP(-LN(2)/25)*BQ76+(1-EXP(-LN(2)/25))/(LN(2)/25)*Calculateur!BL77*Calculateur!BN77*VLOOKUP('Données projet'!$B$11,Paramètres!$A$1:$I$89,3,0)*0.475*44/12</f>
        <v>8.2985329040099582</v>
      </c>
      <c r="BR77" s="23">
        <f>EXP(-LN(2)/2)*BR76+(1-EXP(-LN(2)/2))/(LN(2)/2)*BL77*BO77*VLOOKUP('Données projet'!$B$11,Paramètres!$A$1:$I$89,3,0)*0.475*44/12</f>
        <v>1.6543966984968075E-5</v>
      </c>
      <c r="BS77" s="24">
        <f t="shared" si="63"/>
        <v>21.821057949484477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3.1036506698001178E-14</v>
      </c>
      <c r="CA77" s="14">
        <f t="shared" si="93"/>
        <v>5.3428243983771088E-13</v>
      </c>
      <c r="CB77" s="22">
        <f t="shared" si="64"/>
        <v>9.8459716521636505E-13</v>
      </c>
      <c r="CC77" s="62">
        <f t="shared" si="65"/>
        <v>279.77538904892776</v>
      </c>
      <c r="CD77" s="62">
        <f ca="1">AVERAGE(OFFSET($CC$3,0,0,'Données projet'!$E$12+1,1))-AVERAGE(OFFSET($H$3,0,0,'Données projet'!$E$12+1,1))</f>
        <v>202.72043399839748</v>
      </c>
      <c r="CE77" s="62">
        <f t="shared" si="94"/>
        <v>295.50255983395789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1.7253605648724102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1.7253605648724102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4.9658410716801891E-14</v>
      </c>
      <c r="CV77" s="14">
        <f t="shared" si="95"/>
        <v>8.0934058173791862E-13</v>
      </c>
      <c r="CW77" s="22">
        <f t="shared" si="67"/>
        <v>1.4960899118586383E-12</v>
      </c>
      <c r="CX77" s="62">
        <f t="shared" si="68"/>
        <v>279.77538904892828</v>
      </c>
      <c r="CY77" s="62">
        <f ca="1">AVERAGE(OFFSET($CX$3,0,0,'Données projet'!$E$13+1,1))-AVERAGE(OFFSET($H$3,0,0,'Données projet'!$E$13+1,1))</f>
        <v>297.56177871222496</v>
      </c>
      <c r="CZ77" s="62">
        <f t="shared" si="96"/>
        <v>421.5717731815397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9.990699045065325</v>
      </c>
      <c r="DH77" s="23">
        <f>EXP(-LN(2)/2)*DH76+(1-EXP(-LN(2)/2))/(LN(2)/2)*DB77*DE77*VLOOKUP('Données projet'!$B$13,Paramètres!$A$1:$I$89,3,0)*0.475*44/12</f>
        <v>3.882884808822162E-6</v>
      </c>
      <c r="DI77" s="24">
        <f t="shared" si="69"/>
        <v>9.9907029279501334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7.8</v>
      </c>
      <c r="DO77" s="13">
        <f>IF('Données projet'!$A$166&gt;35,DO76+DN77-DW76,IF(A77&lt;'Données projet'!$A$166,$DL$205^A77,IF(A77='Données projet'!$A$166,'Données projet'!$B$166,DO76+DN77-DW76)))</f>
        <v>737.19999999999982</v>
      </c>
      <c r="DP77" s="18">
        <f>DO77*VLOOKUP('Données projet'!$B$14,Paramètres!$A$1:$I$89,3,0)*VLOOKUP('Données projet'!$B$14,Paramètres!$A$1:$I$89,5,0)</f>
        <v>540.51503999999977</v>
      </c>
      <c r="DQ77" s="14">
        <f t="shared" si="97"/>
        <v>119.74600183225954</v>
      </c>
      <c r="DR77" s="22">
        <f t="shared" si="70"/>
        <v>1149.9546478578516</v>
      </c>
      <c r="DS77" s="62">
        <f t="shared" si="71"/>
        <v>1429.7300369067784</v>
      </c>
      <c r="DT77" s="62">
        <f ca="1">AVERAGE(OFFSET($DS$3,0,0,'Données projet'!$E$14+1,1))-AVERAGE(OFFSET($H$3,0,0,'Données projet'!$E$14+1,1))</f>
        <v>667.0152731006724</v>
      </c>
      <c r="DU77" s="62">
        <f t="shared" si="98"/>
        <v>567.40780872008088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6.8977978675495191</v>
      </c>
      <c r="EC77" s="23">
        <f>EXP(-LN(2)/2)*EC76+(1-EXP(-LN(2)/2))/(LN(2)/2)*DW77*DZ77*VLOOKUP('Données projet'!$B$14,Paramètres!$A$1:$I$89,3,0)*0.475*44/12</f>
        <v>3.536077866092501E-6</v>
      </c>
      <c r="ED77" s="24">
        <f t="shared" si="72"/>
        <v>6.8978014036273851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294.41568000000001</v>
      </c>
      <c r="EL77" s="14">
        <f t="shared" si="99"/>
        <v>70.004498360393455</v>
      </c>
      <c r="EM77" s="22">
        <f t="shared" si="73"/>
        <v>634.69847731101868</v>
      </c>
      <c r="EN77" s="62">
        <f t="shared" si="74"/>
        <v>914.47386635994553</v>
      </c>
      <c r="EO77" s="62">
        <f ca="1">AVERAGE(OFFSET($EN$3,0,0,'Données projet'!$E$15+1,1))-AVERAGE(OFFSET($H$3,0,0,'Données projet'!$E$15+1,1))</f>
        <v>454.99849419289757</v>
      </c>
      <c r="EP77" s="62">
        <f t="shared" si="100"/>
        <v>288.86643267991928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66.302378831525488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2.7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16.672500000000021</v>
      </c>
      <c r="D78" s="12">
        <f t="shared" si="86"/>
        <v>5.5374766309689099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50.286358410641803</v>
      </c>
      <c r="H78" s="70">
        <f t="shared" si="56"/>
        <v>255.74904263227091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889.15837795089919</v>
      </c>
      <c r="S78" s="62">
        <f ca="1">AVERAGE(OFFSET($R$3,0,0,'Données projet'!$E$9+1,1))-AVERAGE(OFFSET($H$3,0,0,'Données projet'!$E$9+1,1))</f>
        <v>427.57091071251745</v>
      </c>
      <c r="T78" s="62">
        <f t="shared" si="88"/>
        <v>272.62827206514726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960.9415483944199</v>
      </c>
      <c r="AN78" s="62">
        <f ca="1">AVERAGE(OFFSET($AM$3,0,0,'Données projet'!$E$10+1,1))-AVERAGE(OFFSET($H$3,0,0,'Données projet'!$E$10+1,1))</f>
        <v>475.54515523869958</v>
      </c>
      <c r="AO78" s="62">
        <f t="shared" si="90"/>
        <v>301.02979240961452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2.938482500231629</v>
      </c>
      <c r="AW78" s="23">
        <f>EXP(-LN(2)/2)*AW77+(1-EXP(-LN(2)/2))/(LN(2)/2)*AQ78*AT78*VLOOKUP('Données projet'!$B$10,Paramètres!$A$1:$I$89,3,0)*0.475*44/12</f>
        <v>2.8169655767533146E-6</v>
      </c>
      <c r="AX78" s="23">
        <f t="shared" si="60"/>
        <v>2.9384853171972058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6.3550942286383367E-14</v>
      </c>
      <c r="BF78" s="14">
        <f t="shared" si="91"/>
        <v>1.0064464192543978E-12</v>
      </c>
      <c r="BG78" s="22">
        <f t="shared" si="61"/>
        <v>1.8635787380168604E-12</v>
      </c>
      <c r="BH78" s="62">
        <f t="shared" si="62"/>
        <v>280.01058907124059</v>
      </c>
      <c r="BI78" s="62">
        <f ca="1">AVERAGE(OFFSET($BH$3,0,0,'Données projet'!$E$11+1,1))-AVERAGE(OFFSET($H$3,0,0,'Données projet'!$E$11+1,1))</f>
        <v>381.71417599784968</v>
      </c>
      <c r="BJ78" s="62">
        <f t="shared" si="92"/>
        <v>350.49230135197979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13.257340357708742</v>
      </c>
      <c r="BQ78" s="23">
        <f>EXP(-LN(2)/25)*BQ77+(1-EXP(-LN(2)/25))/(LN(2)/25)*Calculateur!BL78*Calculateur!BN78*VLOOKUP('Données projet'!$B$11,Paramètres!$A$1:$I$89,3,0)*0.475*44/12</f>
        <v>8.0716090853489266</v>
      </c>
      <c r="BR78" s="23">
        <f>EXP(-LN(2)/2)*BR77+(1-EXP(-LN(2)/2))/(LN(2)/2)*BL78*BO78*VLOOKUP('Données projet'!$B$11,Paramètres!$A$1:$I$89,3,0)*0.475*44/12</f>
        <v>1.1698351242797287E-5</v>
      </c>
      <c r="BS78" s="24">
        <f t="shared" si="63"/>
        <v>21.328961141408911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3.1036506698001178E-14</v>
      </c>
      <c r="CA78" s="14">
        <f t="shared" si="93"/>
        <v>5.3428243983771088E-13</v>
      </c>
      <c r="CB78" s="22">
        <f t="shared" si="64"/>
        <v>9.8459716521636505E-13</v>
      </c>
      <c r="CC78" s="62">
        <f t="shared" si="65"/>
        <v>280.01058907123968</v>
      </c>
      <c r="CD78" s="62">
        <f ca="1">AVERAGE(OFFSET($CC$3,0,0,'Données projet'!$E$12+1,1))-AVERAGE(OFFSET($H$3,0,0,'Données projet'!$E$12+1,1))</f>
        <v>202.72043399839748</v>
      </c>
      <c r="CE78" s="62">
        <f t="shared" si="94"/>
        <v>295.50255983395789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1.6781804894932053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1.6781804894932053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4.9658410716801891E-14</v>
      </c>
      <c r="CV78" s="14">
        <f t="shared" si="95"/>
        <v>8.0934058173791862E-13</v>
      </c>
      <c r="CW78" s="22">
        <f t="shared" si="67"/>
        <v>1.4960899118586383E-12</v>
      </c>
      <c r="CX78" s="62">
        <f t="shared" si="68"/>
        <v>280.01058907124019</v>
      </c>
      <c r="CY78" s="62">
        <f ca="1">AVERAGE(OFFSET($CX$3,0,0,'Données projet'!$E$13+1,1))-AVERAGE(OFFSET($H$3,0,0,'Données projet'!$E$13+1,1))</f>
        <v>297.56177871222496</v>
      </c>
      <c r="CZ78" s="62">
        <f t="shared" si="96"/>
        <v>421.5717731815397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9.7175028542899842</v>
      </c>
      <c r="DH78" s="23">
        <f>EXP(-LN(2)/2)*DH77+(1-EXP(-LN(2)/2))/(LN(2)/2)*DB78*DE78*VLOOKUP('Données projet'!$B$13,Paramètres!$A$1:$I$89,3,0)*0.475*44/12</f>
        <v>2.745614178884382E-6</v>
      </c>
      <c r="DI78" s="24">
        <f t="shared" si="69"/>
        <v>9.7175055999041628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745</v>
      </c>
      <c r="DM78" s="13">
        <f>VLOOKUP(A78,'Données projet'!$A$165:$I$185,9,0)</f>
        <v>7.8</v>
      </c>
      <c r="DN78" s="13">
        <f t="array" ref="DN78">INDEX(DM:DM,MIN(IF(ISNUMBER(DM78:DM274),ROW(DM78:DM274),"")))</f>
        <v>7.8</v>
      </c>
      <c r="DO78" s="13">
        <f>IF('Données projet'!$A$166&gt;35,DO77+DN78-DW77,IF(A78&lt;'Données projet'!$A$166,$DL$205^A78,IF(A78='Données projet'!$A$166,'Données projet'!$B$166,DO77+DN78-DW77)))</f>
        <v>744.99999999999977</v>
      </c>
      <c r="DP78" s="18">
        <f>DO78*VLOOKUP('Données projet'!$B$14,Paramètres!$A$1:$I$89,3,0)*VLOOKUP('Données projet'!$B$14,Paramètres!$A$1:$I$89,5,0)</f>
        <v>546.23399999999981</v>
      </c>
      <c r="DQ78" s="14">
        <f t="shared" si="97"/>
        <v>120.86482006848799</v>
      </c>
      <c r="DR78" s="22">
        <f t="shared" si="70"/>
        <v>1161.8637782859496</v>
      </c>
      <c r="DS78" s="62">
        <f t="shared" si="71"/>
        <v>1441.8743673571882</v>
      </c>
      <c r="DT78" s="62">
        <f ca="1">AVERAGE(OFFSET($DS$3,0,0,'Données projet'!$E$14+1,1))-AVERAGE(OFFSET($H$3,0,0,'Données projet'!$E$14+1,1))</f>
        <v>667.0152731006724</v>
      </c>
      <c r="DU78" s="62">
        <f t="shared" si="98"/>
        <v>567.40780872008088</v>
      </c>
      <c r="DV78" s="16">
        <f>IF(ISNA(VLOOKUP(A78,'Données projet'!$A$165:$I$185,3,0)),0,VLOOKUP(A78,'Données projet'!$A$165:$I$185,3,0))</f>
        <v>375</v>
      </c>
      <c r="DW78" s="16">
        <f>IF(ISNA(VLOOKUP(A78,'Données projet'!$A$165:$I$185,4,0)),0,VLOOKUP(A78,'Données projet'!$A$165:$I$185,4,0))</f>
        <v>14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6.7091772221219523</v>
      </c>
      <c r="EC78" s="23">
        <f>EXP(-LN(2)/2)*EC77+(1-EXP(-LN(2)/2))/(LN(2)/2)*DW78*DZ78*VLOOKUP('Données projet'!$B$14,Paramètres!$A$1:$I$89,3,0)*0.475*44/12</f>
        <v>2.5003846379176639E-6</v>
      </c>
      <c r="ED78" s="24">
        <f t="shared" si="72"/>
        <v>6.7091797225065903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301.76640000000003</v>
      </c>
      <c r="EL78" s="14">
        <f t="shared" si="99"/>
        <v>71.546642144235364</v>
      </c>
      <c r="EM78" s="22">
        <f t="shared" si="73"/>
        <v>650.18688173454336</v>
      </c>
      <c r="EN78" s="62">
        <f t="shared" si="74"/>
        <v>930.19747080578213</v>
      </c>
      <c r="EO78" s="62">
        <f ca="1">AVERAGE(OFFSET($EN$3,0,0,'Données projet'!$E$15+1,1))-AVERAGE(OFFSET($H$3,0,0,'Données projet'!$E$15+1,1))</f>
        <v>454.99849419289757</v>
      </c>
      <c r="EP78" s="62">
        <f t="shared" si="100"/>
        <v>288.86643267991928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66.366524292156015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2.7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16.894800000000021</v>
      </c>
      <c r="D79" s="12">
        <f t="shared" si="86"/>
        <v>5.6026651130643508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50.841160744510198</v>
      </c>
      <c r="H79" s="70">
        <f t="shared" si="56"/>
        <v>256.24975173858712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849.66374434820364</v>
      </c>
      <c r="S79" s="62">
        <f ca="1">AVERAGE(OFFSET($R$3,0,0,'Données projet'!$E$9+1,1))-AVERAGE(OFFSET($H$3,0,0,'Données projet'!$E$9+1,1))</f>
        <v>427.57091071251745</v>
      </c>
      <c r="T79" s="62">
        <f t="shared" si="88"/>
        <v>272.62827206514726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916.75501737881655</v>
      </c>
      <c r="AN79" s="62">
        <f ca="1">AVERAGE(OFFSET($AM$3,0,0,'Données projet'!$E$10+1,1))-AVERAGE(OFFSET($H$3,0,0,'Données projet'!$E$10+1,1))</f>
        <v>475.54515523869958</v>
      </c>
      <c r="AO79" s="62">
        <f t="shared" si="90"/>
        <v>301.02979240961452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2.8581295417347166</v>
      </c>
      <c r="AW79" s="23">
        <f>EXP(-LN(2)/2)*AW78+(1-EXP(-LN(2)/2))/(LN(2)/2)*AQ79*AT79*VLOOKUP('Données projet'!$B$10,Paramètres!$A$1:$I$89,3,0)*0.475*44/12</f>
        <v>1.9918954616913427E-6</v>
      </c>
      <c r="AX79" s="23">
        <f t="shared" si="60"/>
        <v>2.8581315336301785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6.3550942286383367E-14</v>
      </c>
      <c r="BF79" s="14">
        <f t="shared" si="91"/>
        <v>1.0064464192543978E-12</v>
      </c>
      <c r="BG79" s="22">
        <f t="shared" si="61"/>
        <v>1.8635787380168604E-12</v>
      </c>
      <c r="BH79" s="62">
        <f t="shared" si="62"/>
        <v>280.24170889899392</v>
      </c>
      <c r="BI79" s="62">
        <f ca="1">AVERAGE(OFFSET($BH$3,0,0,'Données projet'!$E$11+1,1))-AVERAGE(OFFSET($H$3,0,0,'Données projet'!$E$11+1,1))</f>
        <v>381.71417599784968</v>
      </c>
      <c r="BJ79" s="62">
        <f t="shared" si="92"/>
        <v>350.49230135197979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12.997371999473248</v>
      </c>
      <c r="BQ79" s="23">
        <f>EXP(-LN(2)/25)*BQ78+(1-EXP(-LN(2)/25))/(LN(2)/25)*Calculateur!BL79*Calculateur!BN79*VLOOKUP('Données projet'!$B$11,Paramètres!$A$1:$I$89,3,0)*0.475*44/12</f>
        <v>7.8508905104425866</v>
      </c>
      <c r="BR79" s="23">
        <f>EXP(-LN(2)/2)*BR78+(1-EXP(-LN(2)/2))/(LN(2)/2)*BL79*BO79*VLOOKUP('Données projet'!$B$11,Paramètres!$A$1:$I$89,3,0)*0.475*44/12</f>
        <v>8.2719834924840374E-6</v>
      </c>
      <c r="BS79" s="24">
        <f t="shared" si="63"/>
        <v>20.848270781899327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3.1036506698001178E-14</v>
      </c>
      <c r="CA79" s="14">
        <f t="shared" si="93"/>
        <v>5.3428243983771088E-13</v>
      </c>
      <c r="CB79" s="22">
        <f t="shared" si="64"/>
        <v>9.8459716521636505E-13</v>
      </c>
      <c r="CC79" s="62">
        <f t="shared" si="65"/>
        <v>280.24170889899301</v>
      </c>
      <c r="CD79" s="62">
        <f ca="1">AVERAGE(OFFSET($CC$3,0,0,'Données projet'!$E$12+1,1))-AVERAGE(OFFSET($H$3,0,0,'Données projet'!$E$12+1,1))</f>
        <v>202.72043399839748</v>
      </c>
      <c r="CE79" s="62">
        <f t="shared" si="94"/>
        <v>295.50255983395789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1.6322905557563372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1.6322905557563372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4.9658410716801891E-14</v>
      </c>
      <c r="CV79" s="14">
        <f t="shared" si="95"/>
        <v>8.0934058173791862E-13</v>
      </c>
      <c r="CW79" s="22">
        <f t="shared" si="67"/>
        <v>1.4960899118586383E-12</v>
      </c>
      <c r="CX79" s="62">
        <f t="shared" si="68"/>
        <v>280.24170889899352</v>
      </c>
      <c r="CY79" s="62">
        <f ca="1">AVERAGE(OFFSET($CX$3,0,0,'Données projet'!$E$13+1,1))-AVERAGE(OFFSET($H$3,0,0,'Données projet'!$E$13+1,1))</f>
        <v>297.56177871222496</v>
      </c>
      <c r="CZ79" s="62">
        <f t="shared" si="96"/>
        <v>421.5717731815397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9.4517772277181589</v>
      </c>
      <c r="DH79" s="23">
        <f>EXP(-LN(2)/2)*DH78+(1-EXP(-LN(2)/2))/(LN(2)/2)*DB79*DE79*VLOOKUP('Données projet'!$B$13,Paramètres!$A$1:$I$89,3,0)*0.475*44/12</f>
        <v>1.941442404411081E-6</v>
      </c>
      <c r="DI79" s="24">
        <f t="shared" si="69"/>
        <v>9.451779169160563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</v>
      </c>
      <c r="DO79" s="13">
        <f>IF('Données projet'!$A$166&gt;35,DO78+DN79-DW78,IF(A79&lt;'Données projet'!$A$166,$DL$205^A79,IF(A79='Données projet'!$A$166,'Données projet'!$B$166,DO78+DN79-DW78)))</f>
        <v>737.99999999999977</v>
      </c>
      <c r="DP79" s="18">
        <f>DO79*VLOOKUP('Données projet'!$B$14,Paramètres!$A$1:$I$89,3,0)*VLOOKUP('Données projet'!$B$14,Paramètres!$A$1:$I$89,5,0)</f>
        <v>541.10159999999985</v>
      </c>
      <c r="DQ79" s="14">
        <f t="shared" si="97"/>
        <v>119.86081560039077</v>
      </c>
      <c r="DR79" s="22">
        <f t="shared" si="70"/>
        <v>1151.1762071706803</v>
      </c>
      <c r="DS79" s="62">
        <f t="shared" si="71"/>
        <v>1431.4179160696724</v>
      </c>
      <c r="DT79" s="62">
        <f ca="1">AVERAGE(OFFSET($DS$3,0,0,'Données projet'!$E$14+1,1))-AVERAGE(OFFSET($H$3,0,0,'Données projet'!$E$14+1,1))</f>
        <v>667.0152731006724</v>
      </c>
      <c r="DU79" s="62">
        <f t="shared" si="98"/>
        <v>567.40780872008088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6.5257144181627318</v>
      </c>
      <c r="EC79" s="23">
        <f>EXP(-LN(2)/2)*EC78+(1-EXP(-LN(2)/2))/(LN(2)/2)*DW79*DZ79*VLOOKUP('Données projet'!$B$14,Paramètres!$A$1:$I$89,3,0)*0.475*44/12</f>
        <v>1.7680389330462505E-6</v>
      </c>
      <c r="ED79" s="24">
        <f t="shared" si="72"/>
        <v>6.5257161862016648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281.64864000000006</v>
      </c>
      <c r="EL79" s="14">
        <f t="shared" si="99"/>
        <v>67.315294774697747</v>
      </c>
      <c r="EM79" s="22">
        <f t="shared" si="73"/>
        <v>607.77885306593191</v>
      </c>
      <c r="EN79" s="62">
        <f t="shared" si="74"/>
        <v>888.0205619649239</v>
      </c>
      <c r="EO79" s="62">
        <f ca="1">AVERAGE(OFFSET($EN$3,0,0,'Données projet'!$E$15+1,1))-AVERAGE(OFFSET($H$3,0,0,'Données projet'!$E$15+1,1))</f>
        <v>454.99849419289757</v>
      </c>
      <c r="EP79" s="62">
        <f t="shared" si="100"/>
        <v>288.86643267991928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66.429556972452374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2.7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17.117100000000022</v>
      </c>
      <c r="D80" s="12">
        <f t="shared" si="86"/>
        <v>5.6677538272272621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51.395770543771953</v>
      </c>
      <c r="H80" s="70">
        <f t="shared" si="56"/>
        <v>256.75028708242087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863.64841526127248</v>
      </c>
      <c r="S80" s="62">
        <f ca="1">AVERAGE(OFFSET($R$3,0,0,'Données projet'!$E$9+1,1))-AVERAGE(OFFSET($H$3,0,0,'Données projet'!$E$9+1,1))</f>
        <v>427.57091071251745</v>
      </c>
      <c r="T80" s="62">
        <f t="shared" si="88"/>
        <v>272.62827206514726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932.36447798973165</v>
      </c>
      <c r="AN80" s="62">
        <f ca="1">AVERAGE(OFFSET($AM$3,0,0,'Données projet'!$E$10+1,1))-AVERAGE(OFFSET($H$3,0,0,'Données projet'!$E$10+1,1))</f>
        <v>475.54515523869958</v>
      </c>
      <c r="AO80" s="62">
        <f t="shared" si="90"/>
        <v>301.02979240961452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2.7799738391134805</v>
      </c>
      <c r="AW80" s="23">
        <f>EXP(-LN(2)/2)*AW79+(1-EXP(-LN(2)/2))/(LN(2)/2)*AQ80*AT80*VLOOKUP('Données projet'!$B$10,Paramètres!$A$1:$I$89,3,0)*0.475*44/12</f>
        <v>1.4084827883766573E-6</v>
      </c>
      <c r="AX80" s="23">
        <f t="shared" si="60"/>
        <v>2.7799752475962687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6.3550942286383367E-14</v>
      </c>
      <c r="BF80" s="14">
        <f t="shared" si="91"/>
        <v>1.0064464192543978E-12</v>
      </c>
      <c r="BG80" s="22">
        <f t="shared" si="61"/>
        <v>1.8635787380168604E-12</v>
      </c>
      <c r="BH80" s="62">
        <f t="shared" si="62"/>
        <v>280.46881931444221</v>
      </c>
      <c r="BI80" s="62">
        <f ca="1">AVERAGE(OFFSET($BH$3,0,0,'Données projet'!$E$11+1,1))-AVERAGE(OFFSET($H$3,0,0,'Données projet'!$E$11+1,1))</f>
        <v>381.71417599784968</v>
      </c>
      <c r="BJ80" s="62">
        <f t="shared" si="92"/>
        <v>350.49230135197979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12.74250146217771</v>
      </c>
      <c r="BQ80" s="23">
        <f>EXP(-LN(2)/25)*BQ79+(1-EXP(-LN(2)/25))/(LN(2)/25)*Calculateur!BL80*Calculateur!BN80*VLOOKUP('Données projet'!$B$11,Paramètres!$A$1:$I$89,3,0)*0.475*44/12</f>
        <v>7.6362074965741451</v>
      </c>
      <c r="BR80" s="23">
        <f>EXP(-LN(2)/2)*BR79+(1-EXP(-LN(2)/2))/(LN(2)/2)*BL80*BO80*VLOOKUP('Données projet'!$B$11,Paramètres!$A$1:$I$89,3,0)*0.475*44/12</f>
        <v>5.8491756213986436E-6</v>
      </c>
      <c r="BS80" s="24">
        <f t="shared" si="63"/>
        <v>20.378714807927476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3.1036506698001178E-14</v>
      </c>
      <c r="CA80" s="14">
        <f t="shared" si="93"/>
        <v>5.3428243983771088E-13</v>
      </c>
      <c r="CB80" s="22">
        <f t="shared" si="64"/>
        <v>9.8459716521636505E-13</v>
      </c>
      <c r="CC80" s="62">
        <f t="shared" si="65"/>
        <v>280.4688193144413</v>
      </c>
      <c r="CD80" s="62">
        <f ca="1">AVERAGE(OFFSET($CC$3,0,0,'Données projet'!$E$12+1,1))-AVERAGE(OFFSET($H$3,0,0,'Données projet'!$E$12+1,1))</f>
        <v>202.72043399839748</v>
      </c>
      <c r="CE80" s="62">
        <f t="shared" si="94"/>
        <v>295.50255983395789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1.5876554846707505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1.5876554846707505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4.9658410716801891E-14</v>
      </c>
      <c r="CV80" s="14">
        <f t="shared" si="95"/>
        <v>8.0934058173791862E-13</v>
      </c>
      <c r="CW80" s="22">
        <f t="shared" si="67"/>
        <v>1.4960899118586383E-12</v>
      </c>
      <c r="CX80" s="62">
        <f t="shared" si="68"/>
        <v>280.46881931444182</v>
      </c>
      <c r="CY80" s="62">
        <f ca="1">AVERAGE(OFFSET($CX$3,0,0,'Données projet'!$E$13+1,1))-AVERAGE(OFFSET($H$3,0,0,'Données projet'!$E$13+1,1))</f>
        <v>297.56177871222496</v>
      </c>
      <c r="CZ80" s="62">
        <f t="shared" si="96"/>
        <v>421.5717731815397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9.1933178823788442</v>
      </c>
      <c r="DH80" s="23">
        <f>EXP(-LN(2)/2)*DH79+(1-EXP(-LN(2)/2))/(LN(2)/2)*DB80*DE80*VLOOKUP('Données projet'!$B$13,Paramètres!$A$1:$I$89,3,0)*0.475*44/12</f>
        <v>1.372807089442191E-6</v>
      </c>
      <c r="DI80" s="24">
        <f t="shared" si="69"/>
        <v>9.1933192551859335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</v>
      </c>
      <c r="DO80" s="13">
        <f>IF('Données projet'!$A$166&gt;35,DO79+DN80-DW79,IF(A80&lt;'Données projet'!$A$166,$DL$205^A80,IF(A80='Données projet'!$A$166,'Données projet'!$B$166,DO79+DN80-DW79)))</f>
        <v>744.99999999999977</v>
      </c>
      <c r="DP80" s="18">
        <f>DO80*VLOOKUP('Données projet'!$B$14,Paramètres!$A$1:$I$89,3,0)*VLOOKUP('Données projet'!$B$14,Paramètres!$A$1:$I$89,5,0)</f>
        <v>546.23399999999981</v>
      </c>
      <c r="DQ80" s="14">
        <f t="shared" si="97"/>
        <v>120.86482006848799</v>
      </c>
      <c r="DR80" s="22">
        <f t="shared" si="70"/>
        <v>1161.8637782859496</v>
      </c>
      <c r="DS80" s="62">
        <f t="shared" si="71"/>
        <v>1442.3325976003898</v>
      </c>
      <c r="DT80" s="62">
        <f ca="1">AVERAGE(OFFSET($DS$3,0,0,'Données projet'!$E$14+1,1))-AVERAGE(OFFSET($H$3,0,0,'Données projet'!$E$14+1,1))</f>
        <v>667.0152731006724</v>
      </c>
      <c r="DU80" s="62">
        <f t="shared" si="98"/>
        <v>567.40780872008088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6.347268414225665</v>
      </c>
      <c r="EC80" s="23">
        <f>EXP(-LN(2)/2)*EC79+(1-EXP(-LN(2)/2))/(LN(2)/2)*DW80*DZ80*VLOOKUP('Données projet'!$B$14,Paramètres!$A$1:$I$89,3,0)*0.475*44/12</f>
        <v>1.250192318958832E-6</v>
      </c>
      <c r="ED80" s="24">
        <f t="shared" si="72"/>
        <v>6.3472696644179836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288.61248000000001</v>
      </c>
      <c r="EL80" s="14">
        <f t="shared" si="99"/>
        <v>68.783851967051476</v>
      </c>
      <c r="EM80" s="22">
        <f t="shared" si="73"/>
        <v>622.4652781759479</v>
      </c>
      <c r="EN80" s="62">
        <f t="shared" si="74"/>
        <v>902.93409749038824</v>
      </c>
      <c r="EO80" s="62">
        <f ca="1">AVERAGE(OFFSET($EN$3,0,0,'Données projet'!$E$15+1,1))-AVERAGE(OFFSET($H$3,0,0,'Données projet'!$E$15+1,1))</f>
        <v>454.99849419289757</v>
      </c>
      <c r="EP80" s="62">
        <f t="shared" si="100"/>
        <v>288.86643267991928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66.491496176665549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2.7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17.339400000000023</v>
      </c>
      <c r="D81" s="12">
        <f t="shared" si="86"/>
        <v>5.7327442189520506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51.950190597977688</v>
      </c>
      <c r="H81" s="70">
        <f t="shared" si="56"/>
        <v>257.25065118134154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877.62238260530148</v>
      </c>
      <c r="S81" s="62">
        <f ca="1">AVERAGE(OFFSET($R$3,0,0,'Données projet'!$E$9+1,1))-AVERAGE(OFFSET($H$3,0,0,'Données projet'!$E$9+1,1))</f>
        <v>427.57091071251745</v>
      </c>
      <c r="T81" s="62">
        <f t="shared" si="88"/>
        <v>272.62827206514726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947.96251859255267</v>
      </c>
      <c r="AN81" s="62">
        <f ca="1">AVERAGE(OFFSET($AM$3,0,0,'Données projet'!$E$10+1,1))-AVERAGE(OFFSET($H$3,0,0,'Données projet'!$E$10+1,1))</f>
        <v>475.54515523869958</v>
      </c>
      <c r="AO81" s="62">
        <f t="shared" si="90"/>
        <v>301.02979240961452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2.7039553082904519</v>
      </c>
      <c r="AW81" s="23">
        <f>EXP(-LN(2)/2)*AW80+(1-EXP(-LN(2)/2))/(LN(2)/2)*AQ81*AT81*VLOOKUP('Données projet'!$B$10,Paramètres!$A$1:$I$89,3,0)*0.475*44/12</f>
        <v>9.9594773084567133E-7</v>
      </c>
      <c r="AX81" s="23">
        <f t="shared" si="60"/>
        <v>2.7039563042381829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6.3550942286383367E-14</v>
      </c>
      <c r="BF81" s="14">
        <f t="shared" si="91"/>
        <v>1.0064464192543978E-12</v>
      </c>
      <c r="BG81" s="22">
        <f t="shared" si="61"/>
        <v>1.8635787380168604E-12</v>
      </c>
      <c r="BH81" s="62">
        <f t="shared" si="62"/>
        <v>280.69198987192533</v>
      </c>
      <c r="BI81" s="62">
        <f ca="1">AVERAGE(OFFSET($BH$3,0,0,'Données projet'!$E$11+1,1))-AVERAGE(OFFSET($H$3,0,0,'Données projet'!$E$11+1,1))</f>
        <v>381.71417599784968</v>
      </c>
      <c r="BJ81" s="62">
        <f t="shared" si="92"/>
        <v>350.49230135197979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12.49262878066286</v>
      </c>
      <c r="BQ81" s="23">
        <f>EXP(-LN(2)/25)*BQ80+(1-EXP(-LN(2)/25))/(LN(2)/25)*Calculateur!BL81*Calculateur!BN81*VLOOKUP('Données projet'!$B$11,Paramètres!$A$1:$I$89,3,0)*0.475*44/12</f>
        <v>7.4273950010096259</v>
      </c>
      <c r="BR81" s="23">
        <f>EXP(-LN(2)/2)*BR80+(1-EXP(-LN(2)/2))/(LN(2)/2)*BL81*BO81*VLOOKUP('Données projet'!$B$11,Paramètres!$A$1:$I$89,3,0)*0.475*44/12</f>
        <v>4.1359917462420187E-6</v>
      </c>
      <c r="BS81" s="24">
        <f t="shared" si="63"/>
        <v>19.920027917664232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3.1036506698001178E-14</v>
      </c>
      <c r="CA81" s="14">
        <f t="shared" si="93"/>
        <v>5.3428243983771088E-13</v>
      </c>
      <c r="CB81" s="22">
        <f t="shared" si="64"/>
        <v>9.8459716521636505E-13</v>
      </c>
      <c r="CC81" s="62">
        <f t="shared" si="65"/>
        <v>280.69198987192442</v>
      </c>
      <c r="CD81" s="62">
        <f ca="1">AVERAGE(OFFSET($CC$3,0,0,'Données projet'!$E$12+1,1))-AVERAGE(OFFSET($H$3,0,0,'Données projet'!$E$12+1,1))</f>
        <v>202.72043399839748</v>
      </c>
      <c r="CE81" s="62">
        <f t="shared" si="94"/>
        <v>295.50255983395789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1.5442409619512556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1.5442409619512556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4.9658410716801891E-14</v>
      </c>
      <c r="CV81" s="14">
        <f t="shared" si="95"/>
        <v>8.0934058173791862E-13</v>
      </c>
      <c r="CW81" s="22">
        <f t="shared" si="67"/>
        <v>1.4960899118586383E-12</v>
      </c>
      <c r="CX81" s="62">
        <f t="shared" si="68"/>
        <v>280.69198987192493</v>
      </c>
      <c r="CY81" s="62">
        <f ca="1">AVERAGE(OFFSET($CX$3,0,0,'Données projet'!$E$13+1,1))-AVERAGE(OFFSET($H$3,0,0,'Données projet'!$E$13+1,1))</f>
        <v>297.56177871222496</v>
      </c>
      <c r="CZ81" s="62">
        <f t="shared" si="96"/>
        <v>421.5717731815397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8.9419261214296188</v>
      </c>
      <c r="DH81" s="23">
        <f>EXP(-LN(2)/2)*DH80+(1-EXP(-LN(2)/2))/(LN(2)/2)*DB81*DE81*VLOOKUP('Données projet'!$B$13,Paramètres!$A$1:$I$89,3,0)*0.475*44/12</f>
        <v>9.707212022055405E-7</v>
      </c>
      <c r="DI81" s="24">
        <f t="shared" si="69"/>
        <v>8.9419270921508218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</v>
      </c>
      <c r="DO81" s="13">
        <f>IF('Données projet'!$A$166&gt;35,DO80+DN81-DW80,IF(A81&lt;'Données projet'!$A$166,$DL$205^A81,IF(A81='Données projet'!$A$166,'Données projet'!$B$166,DO80+DN81-DW80)))</f>
        <v>751.99999999999977</v>
      </c>
      <c r="DP81" s="18">
        <f>DO81*VLOOKUP('Données projet'!$B$14,Paramètres!$A$1:$I$89,3,0)*VLOOKUP('Données projet'!$B$14,Paramètres!$A$1:$I$89,5,0)</f>
        <v>551.36639999999989</v>
      </c>
      <c r="DQ81" s="14">
        <f t="shared" si="97"/>
        <v>121.86772704883531</v>
      </c>
      <c r="DR81" s="22">
        <f t="shared" si="70"/>
        <v>1172.5494379433878</v>
      </c>
      <c r="DS81" s="62">
        <f t="shared" si="71"/>
        <v>1453.2414278153112</v>
      </c>
      <c r="DT81" s="62">
        <f ca="1">AVERAGE(OFFSET($DS$3,0,0,'Données projet'!$E$14+1,1))-AVERAGE(OFFSET($H$3,0,0,'Données projet'!$E$14+1,1))</f>
        <v>667.0152731006724</v>
      </c>
      <c r="DU81" s="62">
        <f t="shared" si="98"/>
        <v>567.40780872008088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6.173702025650325</v>
      </c>
      <c r="EC81" s="23">
        <f>EXP(-LN(2)/2)*EC80+(1-EXP(-LN(2)/2))/(LN(2)/2)*DW81*DZ81*VLOOKUP('Données projet'!$B$14,Paramètres!$A$1:$I$89,3,0)*0.475*44/12</f>
        <v>8.8401946652312524E-7</v>
      </c>
      <c r="ED81" s="24">
        <f t="shared" si="72"/>
        <v>6.1737029096697915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295.57632000000001</v>
      </c>
      <c r="EL81" s="14">
        <f t="shared" si="99"/>
        <v>70.24828996461811</v>
      </c>
      <c r="EM81" s="22">
        <f t="shared" si="73"/>
        <v>637.1445290217099</v>
      </c>
      <c r="EN81" s="62">
        <f t="shared" si="74"/>
        <v>917.83651889363341</v>
      </c>
      <c r="EO81" s="62">
        <f ca="1">AVERAGE(OFFSET($EN$3,0,0,'Données projet'!$E$15+1,1))-AVERAGE(OFFSET($H$3,0,0,'Données projet'!$E$15+1,1))</f>
        <v>454.99849419289757</v>
      </c>
      <c r="EP81" s="62">
        <f t="shared" si="100"/>
        <v>288.86643267991928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66.552360874160939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2.7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17.561700000000023</v>
      </c>
      <c r="D82" s="12">
        <f t="shared" si="86"/>
        <v>5.7976376945381034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52.504423621038498</v>
      </c>
      <c r="H82" s="70">
        <f t="shared" si="56"/>
        <v>257.75084648465395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891.58589242084054</v>
      </c>
      <c r="S82" s="62">
        <f ca="1">AVERAGE(OFFSET($R$3,0,0,'Données projet'!$E$9+1,1))-AVERAGE(OFFSET($H$3,0,0,'Données projet'!$E$9+1,1))</f>
        <v>427.57091071251745</v>
      </c>
      <c r="T82" s="62">
        <f t="shared" si="88"/>
        <v>272.62827206514726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963.5494040497565</v>
      </c>
      <c r="AN82" s="62">
        <f ca="1">AVERAGE(OFFSET($AM$3,0,0,'Données projet'!$E$10+1,1))-AVERAGE(OFFSET($H$3,0,0,'Données projet'!$E$10+1,1))</f>
        <v>475.54515523869958</v>
      </c>
      <c r="AO82" s="62">
        <f t="shared" si="90"/>
        <v>301.02979240961452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2.6300155081904197</v>
      </c>
      <c r="AW82" s="23">
        <f>EXP(-LN(2)/2)*AW81+(1-EXP(-LN(2)/2))/(LN(2)/2)*AQ82*AT82*VLOOKUP('Données projet'!$B$10,Paramètres!$A$1:$I$89,3,0)*0.475*44/12</f>
        <v>7.0424139418832866E-7</v>
      </c>
      <c r="AX82" s="23">
        <f t="shared" si="60"/>
        <v>2.6300162124318138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6.3550942286383367E-14</v>
      </c>
      <c r="BF82" s="14">
        <f t="shared" si="91"/>
        <v>1.0064464192543978E-12</v>
      </c>
      <c r="BG82" s="22">
        <f t="shared" si="61"/>
        <v>1.8635787380168604E-12</v>
      </c>
      <c r="BH82" s="62">
        <f t="shared" si="62"/>
        <v>280.91128891917072</v>
      </c>
      <c r="BI82" s="62">
        <f ca="1">AVERAGE(OFFSET($BH$3,0,0,'Données projet'!$E$11+1,1))-AVERAGE(OFFSET($H$3,0,0,'Données projet'!$E$11+1,1))</f>
        <v>381.71417599784968</v>
      </c>
      <c r="BJ82" s="62">
        <f t="shared" si="92"/>
        <v>350.49230135197979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12.24765595002523</v>
      </c>
      <c r="BQ82" s="23">
        <f>EXP(-LN(2)/25)*BQ81+(1-EXP(-LN(2)/25))/(LN(2)/25)*Calculateur!BL82*Calculateur!BN82*VLOOKUP('Données projet'!$B$11,Paramètres!$A$1:$I$89,3,0)*0.475*44/12</f>
        <v>7.2242924941172904</v>
      </c>
      <c r="BR82" s="23">
        <f>EXP(-LN(2)/2)*BR81+(1-EXP(-LN(2)/2))/(LN(2)/2)*BL82*BO82*VLOOKUP('Données projet'!$B$11,Paramètres!$A$1:$I$89,3,0)*0.475*44/12</f>
        <v>2.9245878106993218E-6</v>
      </c>
      <c r="BS82" s="24">
        <f t="shared" si="63"/>
        <v>19.471951368730331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3.1036506698001178E-14</v>
      </c>
      <c r="CA82" s="14">
        <f t="shared" si="93"/>
        <v>5.3428243983771088E-13</v>
      </c>
      <c r="CB82" s="22">
        <f t="shared" si="64"/>
        <v>9.8459716521636505E-13</v>
      </c>
      <c r="CC82" s="62">
        <f t="shared" si="65"/>
        <v>280.91128891916981</v>
      </c>
      <c r="CD82" s="62">
        <f ca="1">AVERAGE(OFFSET($CC$3,0,0,'Données projet'!$E$12+1,1))-AVERAGE(OFFSET($H$3,0,0,'Données projet'!$E$12+1,1))</f>
        <v>202.72043399839748</v>
      </c>
      <c r="CE82" s="62">
        <f t="shared" si="94"/>
        <v>295.50255983395789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1.5020136116385958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1.5020136116385958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4.9658410716801891E-14</v>
      </c>
      <c r="CV82" s="14">
        <f t="shared" si="95"/>
        <v>8.0934058173791862E-13</v>
      </c>
      <c r="CW82" s="22">
        <f t="shared" si="67"/>
        <v>1.4960899118586383E-12</v>
      </c>
      <c r="CX82" s="62">
        <f t="shared" si="68"/>
        <v>280.91128891917032</v>
      </c>
      <c r="CY82" s="62">
        <f ca="1">AVERAGE(OFFSET($CX$3,0,0,'Données projet'!$E$13+1,1))-AVERAGE(OFFSET($H$3,0,0,'Données projet'!$E$13+1,1))</f>
        <v>297.56177871222496</v>
      </c>
      <c r="CZ82" s="62">
        <f t="shared" si="96"/>
        <v>421.5717731815397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8.6974086814036689</v>
      </c>
      <c r="DH82" s="23">
        <f>EXP(-LN(2)/2)*DH81+(1-EXP(-LN(2)/2))/(LN(2)/2)*DB82*DE82*VLOOKUP('Données projet'!$B$13,Paramètres!$A$1:$I$89,3,0)*0.475*44/12</f>
        <v>6.864035447210955E-7</v>
      </c>
      <c r="DI82" s="24">
        <f t="shared" si="69"/>
        <v>8.6974093678072144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</v>
      </c>
      <c r="DO82" s="13">
        <f>IF('Données projet'!$A$166&gt;35,DO81+DN82-DW81,IF(A82&lt;'Données projet'!$A$166,$DL$205^A82,IF(A82='Données projet'!$A$166,'Données projet'!$B$166,DO81+DN82-DW81)))</f>
        <v>758.99999999999977</v>
      </c>
      <c r="DP82" s="18">
        <f>DO82*VLOOKUP('Données projet'!$B$14,Paramètres!$A$1:$I$89,3,0)*VLOOKUP('Données projet'!$B$14,Paramètres!$A$1:$I$89,5,0)</f>
        <v>556.49879999999973</v>
      </c>
      <c r="DQ82" s="14">
        <f t="shared" si="97"/>
        <v>122.86954794070277</v>
      </c>
      <c r="DR82" s="22">
        <f t="shared" si="70"/>
        <v>1183.2332059967234</v>
      </c>
      <c r="DS82" s="62">
        <f t="shared" si="71"/>
        <v>1464.1444949158922</v>
      </c>
      <c r="DT82" s="62">
        <f ca="1">AVERAGE(OFFSET($DS$3,0,0,'Données projet'!$E$14+1,1))-AVERAGE(OFFSET($H$3,0,0,'Données projet'!$E$14+1,1))</f>
        <v>667.0152731006724</v>
      </c>
      <c r="DU82" s="62">
        <f t="shared" si="98"/>
        <v>567.40780872008088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6.0048818190980375</v>
      </c>
      <c r="EC82" s="23">
        <f>EXP(-LN(2)/2)*EC81+(1-EXP(-LN(2)/2))/(LN(2)/2)*DW82*DZ82*VLOOKUP('Données projet'!$B$14,Paramètres!$A$1:$I$89,3,0)*0.475*44/12</f>
        <v>6.2509615947941599E-7</v>
      </c>
      <c r="ED82" s="24">
        <f t="shared" si="72"/>
        <v>6.0048824441941973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302.54016000000001</v>
      </c>
      <c r="EL82" s="14">
        <f t="shared" si="99"/>
        <v>71.708716984815311</v>
      </c>
      <c r="EM82" s="22">
        <f t="shared" si="73"/>
        <v>651.81679408188654</v>
      </c>
      <c r="EN82" s="62">
        <f t="shared" si="74"/>
        <v>932.72808300105544</v>
      </c>
      <c r="EO82" s="62">
        <f ca="1">AVERAGE(OFFSET($EN$3,0,0,'Données projet'!$E$15+1,1))-AVERAGE(OFFSET($H$3,0,0,'Données projet'!$E$15+1,1))</f>
        <v>454.99849419289757</v>
      </c>
      <c r="EP82" s="62">
        <f t="shared" si="100"/>
        <v>288.86643267991928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66.612169705227871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2.7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17.784000000000024</v>
      </c>
      <c r="D83" s="12">
        <f t="shared" si="86"/>
        <v>5.8624356226349663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53.058472254207878</v>
      </c>
      <c r="H83" s="70">
        <f t="shared" si="56"/>
        <v>258.25087537608931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905.53918091572609</v>
      </c>
      <c r="S83" s="62">
        <f ca="1">AVERAGE(OFFSET($R$3,0,0,'Données projet'!$E$9+1,1))-AVERAGE(OFFSET($H$3,0,0,'Données projet'!$E$9+1,1))</f>
        <v>427.57091071251745</v>
      </c>
      <c r="T83" s="62">
        <f t="shared" si="88"/>
        <v>272.62827206514726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979.12538847517885</v>
      </c>
      <c r="AN83" s="62">
        <f ca="1">AVERAGE(OFFSET($AM$3,0,0,'Données projet'!$E$10+1,1))-AVERAGE(OFFSET($H$3,0,0,'Données projet'!$E$10+1,1))</f>
        <v>475.54515523869958</v>
      </c>
      <c r="AO83" s="62">
        <f t="shared" si="90"/>
        <v>301.02979240961452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2.5580975958124483</v>
      </c>
      <c r="AW83" s="23">
        <f>EXP(-LN(2)/2)*AW82+(1-EXP(-LN(2)/2))/(LN(2)/2)*AQ83*AT83*VLOOKUP('Données projet'!$B$10,Paramètres!$A$1:$I$89,3,0)*0.475*44/12</f>
        <v>4.9797386542283567E-7</v>
      </c>
      <c r="AX83" s="23">
        <f t="shared" si="60"/>
        <v>2.5580980937863136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6.3550942286383367E-14</v>
      </c>
      <c r="BF83" s="14">
        <f t="shared" si="91"/>
        <v>1.0064464192543978E-12</v>
      </c>
      <c r="BG83" s="22">
        <f t="shared" si="61"/>
        <v>1.8635787380168604E-12</v>
      </c>
      <c r="BH83" s="62">
        <f t="shared" si="62"/>
        <v>281.12678361822566</v>
      </c>
      <c r="BI83" s="62">
        <f ca="1">AVERAGE(OFFSET($BH$3,0,0,'Données projet'!$E$11+1,1))-AVERAGE(OFFSET($H$3,0,0,'Données projet'!$E$11+1,1))</f>
        <v>381.71417599784968</v>
      </c>
      <c r="BJ83" s="62">
        <f t="shared" si="92"/>
        <v>350.49230135197979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12.00748688717773</v>
      </c>
      <c r="BQ83" s="23">
        <f>EXP(-LN(2)/25)*BQ82+(1-EXP(-LN(2)/25))/(LN(2)/25)*Calculateur!BL83*Calculateur!BN83*VLOOKUP('Données projet'!$B$11,Paramètres!$A$1:$I$89,3,0)*0.475*44/12</f>
        <v>7.0267438359566219</v>
      </c>
      <c r="BR83" s="23">
        <f>EXP(-LN(2)/2)*BR82+(1-EXP(-LN(2)/2))/(LN(2)/2)*BL83*BO83*VLOOKUP('Données projet'!$B$11,Paramètres!$A$1:$I$89,3,0)*0.475*44/12</f>
        <v>2.0679958731210094E-6</v>
      </c>
      <c r="BS83" s="24">
        <f t="shared" si="63"/>
        <v>19.034232791130226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3.1036506698001178E-14</v>
      </c>
      <c r="CA83" s="14">
        <f t="shared" si="93"/>
        <v>5.3428243983771088E-13</v>
      </c>
      <c r="CB83" s="22">
        <f t="shared" si="64"/>
        <v>9.8459716521636505E-13</v>
      </c>
      <c r="CC83" s="62">
        <f t="shared" si="65"/>
        <v>281.12678361822475</v>
      </c>
      <c r="CD83" s="62">
        <f ca="1">AVERAGE(OFFSET($CC$3,0,0,'Données projet'!$E$12+1,1))-AVERAGE(OFFSET($H$3,0,0,'Données projet'!$E$12+1,1))</f>
        <v>202.72043399839748</v>
      </c>
      <c r="CE83" s="62">
        <f t="shared" si="94"/>
        <v>295.50255983395789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1.4609409704408756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1.4609409704408756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4.9658410716801891E-14</v>
      </c>
      <c r="CV83" s="14">
        <f t="shared" si="95"/>
        <v>8.0934058173791862E-13</v>
      </c>
      <c r="CW83" s="22">
        <f t="shared" si="67"/>
        <v>1.4960899118586383E-12</v>
      </c>
      <c r="CX83" s="62">
        <f t="shared" si="68"/>
        <v>281.12678361822526</v>
      </c>
      <c r="CY83" s="62">
        <f ca="1">AVERAGE(OFFSET($CX$3,0,0,'Données projet'!$E$13+1,1))-AVERAGE(OFFSET($H$3,0,0,'Données projet'!$E$13+1,1))</f>
        <v>297.56177871222496</v>
      </c>
      <c r="CZ83" s="62">
        <f t="shared" si="96"/>
        <v>421.5717731815397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8.4595775836338412</v>
      </c>
      <c r="DH83" s="23">
        <f>EXP(-LN(2)/2)*DH82+(1-EXP(-LN(2)/2))/(LN(2)/2)*DB83*DE83*VLOOKUP('Données projet'!$B$13,Paramètres!$A$1:$I$89,3,0)*0.475*44/12</f>
        <v>4.8536060110277025E-7</v>
      </c>
      <c r="DI83" s="24">
        <f t="shared" si="69"/>
        <v>8.4595780689944426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766</v>
      </c>
      <c r="DM83" s="13">
        <f>VLOOKUP(A83,'Données projet'!$A$165:$I$185,9,0)</f>
        <v>7</v>
      </c>
      <c r="DN83" s="13">
        <f t="array" ref="DN83">INDEX(DM:DM,MIN(IF(ISNUMBER(DM83:DM279),ROW(DM83:DM279),"")))</f>
        <v>7</v>
      </c>
      <c r="DO83" s="13">
        <f>IF('Données projet'!$A$166&gt;35,DO82+DN83-DW82,IF(A83&lt;'Données projet'!$A$166,$DL$205^A83,IF(A83='Données projet'!$A$166,'Données projet'!$B$166,DO82+DN83-DW82)))</f>
        <v>765.99999999999977</v>
      </c>
      <c r="DP83" s="18">
        <f>DO83*VLOOKUP('Données projet'!$B$14,Paramètres!$A$1:$I$89,3,0)*VLOOKUP('Données projet'!$B$14,Paramètres!$A$1:$I$89,5,0)</f>
        <v>561.63119999999981</v>
      </c>
      <c r="DQ83" s="14">
        <f t="shared" si="97"/>
        <v>123.87029392097014</v>
      </c>
      <c r="DR83" s="22">
        <f t="shared" si="70"/>
        <v>1193.9151019123562</v>
      </c>
      <c r="DS83" s="62">
        <f t="shared" si="71"/>
        <v>1475.04188553058</v>
      </c>
      <c r="DT83" s="62">
        <f ca="1">AVERAGE(OFFSET($DS$3,0,0,'Données projet'!$E$14+1,1))-AVERAGE(OFFSET($H$3,0,0,'Données projet'!$E$14+1,1))</f>
        <v>667.0152731006724</v>
      </c>
      <c r="DU83" s="62">
        <f t="shared" si="98"/>
        <v>567.40780872008088</v>
      </c>
      <c r="DV83" s="16">
        <f>IF(ISNA(VLOOKUP(A83,'Données projet'!$A$165:$I$185,3,0)),0,VLOOKUP(A83,'Données projet'!$A$165:$I$185,3,0))</f>
        <v>382</v>
      </c>
      <c r="DW83" s="16">
        <f>IF(ISNA(VLOOKUP(A83,'Données projet'!$A$165:$I$185,4,0)),0,VLOOKUP(A83,'Données projet'!$A$165:$I$185,4,0))</f>
        <v>13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5.840678009971791</v>
      </c>
      <c r="EC83" s="23">
        <f>EXP(-LN(2)/2)*EC82+(1-EXP(-LN(2)/2))/(LN(2)/2)*DW83*DZ83*VLOOKUP('Données projet'!$B$14,Paramètres!$A$1:$I$89,3,0)*0.475*44/12</f>
        <v>4.4200973326156262E-7</v>
      </c>
      <c r="ED83" s="24">
        <f t="shared" si="72"/>
        <v>5.8406784519815247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309.50400000000002</v>
      </c>
      <c r="EL83" s="14">
        <f t="shared" si="99"/>
        <v>73.165235978896504</v>
      </c>
      <c r="EM83" s="22">
        <f t="shared" si="73"/>
        <v>666.48225266324471</v>
      </c>
      <c r="EN83" s="62">
        <f t="shared" si="74"/>
        <v>947.60903628146843</v>
      </c>
      <c r="EO83" s="62">
        <f ca="1">AVERAGE(OFFSET($EN$3,0,0,'Données projet'!$E$15+1,1))-AVERAGE(OFFSET($H$3,0,0,'Données projet'!$E$15+1,1))</f>
        <v>454.99849419289757</v>
      </c>
      <c r="EP83" s="62">
        <f t="shared" si="100"/>
        <v>288.86643267991928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66.67094098678831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2.7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18.006300000000024</v>
      </c>
      <c r="D84" s="12">
        <f t="shared" si="86"/>
        <v>5.9271393357080937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53.612339068910416</v>
      </c>
      <c r="H84" s="70">
        <f t="shared" si="56"/>
        <v>258.75074017635836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865.28224482997143</v>
      </c>
      <c r="S84" s="62">
        <f ca="1">AVERAGE(OFFSET($R$3,0,0,'Données projet'!$E$9+1,1))-AVERAGE(OFFSET($H$3,0,0,'Données projet'!$E$9+1,1))</f>
        <v>427.57091071251745</v>
      </c>
      <c r="T84" s="62">
        <f t="shared" si="88"/>
        <v>272.62827206514726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934.08855246802523</v>
      </c>
      <c r="AN84" s="62">
        <f ca="1">AVERAGE(OFFSET($AM$3,0,0,'Données projet'!$E$10+1,1))-AVERAGE(OFFSET($H$3,0,0,'Données projet'!$E$10+1,1))</f>
        <v>475.54515523869958</v>
      </c>
      <c r="AO84" s="62">
        <f t="shared" si="90"/>
        <v>301.02979240961452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2.488146282530451</v>
      </c>
      <c r="AW84" s="23">
        <f>EXP(-LN(2)/2)*AW83+(1-EXP(-LN(2)/2))/(LN(2)/2)*AQ84*AT84*VLOOKUP('Données projet'!$B$10,Paramètres!$A$1:$I$89,3,0)*0.475*44/12</f>
        <v>3.5212069709416433E-7</v>
      </c>
      <c r="AX84" s="23">
        <f t="shared" si="60"/>
        <v>2.488146634651148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6.3550942286383367E-14</v>
      </c>
      <c r="BF84" s="14">
        <f t="shared" si="91"/>
        <v>1.0064464192543978E-12</v>
      </c>
      <c r="BG84" s="22">
        <f t="shared" si="61"/>
        <v>1.8635787380168604E-12</v>
      </c>
      <c r="BH84" s="62">
        <f t="shared" si="62"/>
        <v>281.33853996602596</v>
      </c>
      <c r="BI84" s="62">
        <f ca="1">AVERAGE(OFFSET($BH$3,0,0,'Données projet'!$E$11+1,1))-AVERAGE(OFFSET($H$3,0,0,'Données projet'!$E$11+1,1))</f>
        <v>381.71417599784968</v>
      </c>
      <c r="BJ84" s="62">
        <f t="shared" si="92"/>
        <v>350.49230135197979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11.772027393164008</v>
      </c>
      <c r="BQ84" s="23">
        <f>EXP(-LN(2)/25)*BQ83+(1-EXP(-LN(2)/25))/(LN(2)/25)*Calculateur!BL84*Calculateur!BN84*VLOOKUP('Données projet'!$B$11,Paramètres!$A$1:$I$89,3,0)*0.475*44/12</f>
        <v>6.8345971562419896</v>
      </c>
      <c r="BR84" s="23">
        <f>EXP(-LN(2)/2)*BR83+(1-EXP(-LN(2)/2))/(LN(2)/2)*BL84*BO84*VLOOKUP('Données projet'!$B$11,Paramètres!$A$1:$I$89,3,0)*0.475*44/12</f>
        <v>1.4622939053496609E-6</v>
      </c>
      <c r="BS84" s="24">
        <f t="shared" si="63"/>
        <v>18.606626011699902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3.1036506698001178E-14</v>
      </c>
      <c r="CA84" s="14">
        <f t="shared" si="93"/>
        <v>5.3428243983771088E-13</v>
      </c>
      <c r="CB84" s="22">
        <f t="shared" si="64"/>
        <v>9.8459716521636505E-13</v>
      </c>
      <c r="CC84" s="62">
        <f t="shared" si="65"/>
        <v>281.33853996602505</v>
      </c>
      <c r="CD84" s="62">
        <f ca="1">AVERAGE(OFFSET($CC$3,0,0,'Données projet'!$E$12+1,1))-AVERAGE(OFFSET($H$3,0,0,'Données projet'!$E$12+1,1))</f>
        <v>202.72043399839748</v>
      </c>
      <c r="CE84" s="62">
        <f t="shared" si="94"/>
        <v>295.50255983395789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1.4209914627766231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1.4209914627766231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4.9658410716801891E-14</v>
      </c>
      <c r="CV84" s="14">
        <f t="shared" si="95"/>
        <v>8.0934058173791862E-13</v>
      </c>
      <c r="CW84" s="22">
        <f t="shared" si="67"/>
        <v>1.4960899118586383E-12</v>
      </c>
      <c r="CX84" s="62">
        <f t="shared" si="68"/>
        <v>281.33853996602556</v>
      </c>
      <c r="CY84" s="62">
        <f ca="1">AVERAGE(OFFSET($CX$3,0,0,'Données projet'!$E$13+1,1))-AVERAGE(OFFSET($H$3,0,0,'Données projet'!$E$13+1,1))</f>
        <v>297.56177871222496</v>
      </c>
      <c r="CZ84" s="62">
        <f t="shared" si="96"/>
        <v>421.5717731815397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8.228249989739524</v>
      </c>
      <c r="DH84" s="23">
        <f>EXP(-LN(2)/2)*DH83+(1-EXP(-LN(2)/2))/(LN(2)/2)*DB84*DE84*VLOOKUP('Données projet'!$B$13,Paramètres!$A$1:$I$89,3,0)*0.475*44/12</f>
        <v>3.4320177236054775E-7</v>
      </c>
      <c r="DI84" s="24">
        <f t="shared" si="69"/>
        <v>8.2282503329412968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752.99999999999977</v>
      </c>
      <c r="DP84" s="18">
        <f>DO84*VLOOKUP('Données projet'!$B$14,Paramètres!$A$1:$I$89,3,0)*VLOOKUP('Données projet'!$B$14,Paramètres!$A$1:$I$89,5,0)</f>
        <v>552.09959999999978</v>
      </c>
      <c r="DQ84" s="14">
        <f t="shared" si="97"/>
        <v>122.01091055125165</v>
      </c>
      <c r="DR84" s="22">
        <f t="shared" si="70"/>
        <v>1174.0758058767628</v>
      </c>
      <c r="DS84" s="62">
        <f t="shared" si="71"/>
        <v>1455.414345842787</v>
      </c>
      <c r="DT84" s="62">
        <f ca="1">AVERAGE(OFFSET($DS$3,0,0,'Données projet'!$E$14+1,1))-AVERAGE(OFFSET($H$3,0,0,'Données projet'!$E$14+1,1))</f>
        <v>667.0152731006724</v>
      </c>
      <c r="DU84" s="62">
        <f t="shared" si="98"/>
        <v>567.40780872008088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5.6809643626412045</v>
      </c>
      <c r="EC84" s="23">
        <f>EXP(-LN(2)/2)*EC83+(1-EXP(-LN(2)/2))/(LN(2)/2)*DW84*DZ84*VLOOKUP('Données projet'!$B$14,Paramètres!$A$1:$I$89,3,0)*0.475*44/12</f>
        <v>3.1254807973970799E-7</v>
      </c>
      <c r="ED84" s="24">
        <f t="shared" si="72"/>
        <v>5.6809646751892844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288.99936000000002</v>
      </c>
      <c r="EL84" s="14">
        <f t="shared" si="99"/>
        <v>68.86531667529006</v>
      </c>
      <c r="EM84" s="22">
        <f t="shared" si="73"/>
        <v>623.2809785427969</v>
      </c>
      <c r="EN84" s="62">
        <f t="shared" si="74"/>
        <v>904.61951850882099</v>
      </c>
      <c r="EO84" s="62">
        <f ca="1">AVERAGE(OFFSET($EN$3,0,0,'Données projet'!$E$15+1,1))-AVERAGE(OFFSET($H$3,0,0,'Données projet'!$E$15+1,1))</f>
        <v>454.99849419289757</v>
      </c>
      <c r="EP84" s="62">
        <f t="shared" si="100"/>
        <v>288.86643267991928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66.72869271800657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2.7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18.228600000000025</v>
      </c>
      <c r="D85" s="12">
        <f t="shared" si="86"/>
        <v>5.9917501314301207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54.166026569426599</v>
      </c>
      <c r="H85" s="70">
        <f t="shared" si="56"/>
        <v>259.2504431455742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878.47701554798425</v>
      </c>
      <c r="S85" s="62">
        <f ca="1">AVERAGE(OFFSET($R$3,0,0,'Données projet'!$E$9+1,1))-AVERAGE(OFFSET($H$3,0,0,'Données projet'!$E$9+1,1))</f>
        <v>427.57091071251745</v>
      </c>
      <c r="T85" s="62">
        <f t="shared" si="88"/>
        <v>272.62827206514726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948.81715153523544</v>
      </c>
      <c r="AN85" s="62">
        <f ca="1">AVERAGE(OFFSET($AM$3,0,0,'Données projet'!$E$10+1,1))-AVERAGE(OFFSET($H$3,0,0,'Données projet'!$E$10+1,1))</f>
        <v>475.54515523869958</v>
      </c>
      <c r="AO85" s="62">
        <f t="shared" si="90"/>
        <v>301.02979240961452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2.4201077915887295</v>
      </c>
      <c r="AW85" s="23">
        <f>EXP(-LN(2)/2)*AW84+(1-EXP(-LN(2)/2))/(LN(2)/2)*AQ85*AT85*VLOOKUP('Données projet'!$B$10,Paramètres!$A$1:$I$89,3,0)*0.475*44/12</f>
        <v>2.4898693271141783E-7</v>
      </c>
      <c r="AX85" s="23">
        <f t="shared" si="60"/>
        <v>2.4201080405756623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6.3550942286383367E-14</v>
      </c>
      <c r="BF85" s="14">
        <f t="shared" si="91"/>
        <v>1.0064464192543978E-12</v>
      </c>
      <c r="BG85" s="22">
        <f t="shared" si="61"/>
        <v>1.8635787380168604E-12</v>
      </c>
      <c r="BH85" s="62">
        <f t="shared" si="62"/>
        <v>281.54662281460816</v>
      </c>
      <c r="BI85" s="62">
        <f ca="1">AVERAGE(OFFSET($BH$3,0,0,'Données projet'!$E$11+1,1))-AVERAGE(OFFSET($H$3,0,0,'Données projet'!$E$11+1,1))</f>
        <v>381.71417599784968</v>
      </c>
      <c r="BJ85" s="62">
        <f t="shared" si="92"/>
        <v>350.49230135197979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11.541185116211782</v>
      </c>
      <c r="BQ85" s="23">
        <f>EXP(-LN(2)/25)*BQ84+(1-EXP(-LN(2)/25))/(LN(2)/25)*Calculateur!BL85*Calculateur!BN85*VLOOKUP('Données projet'!$B$11,Paramètres!$A$1:$I$89,3,0)*0.475*44/12</f>
        <v>6.6477047375887084</v>
      </c>
      <c r="BR85" s="23">
        <f>EXP(-LN(2)/2)*BR84+(1-EXP(-LN(2)/2))/(LN(2)/2)*BL85*BO85*VLOOKUP('Données projet'!$B$11,Paramètres!$A$1:$I$89,3,0)*0.475*44/12</f>
        <v>1.0339979365605047E-6</v>
      </c>
      <c r="BS85" s="24">
        <f t="shared" si="63"/>
        <v>18.188890887798426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3.1036506698001178E-14</v>
      </c>
      <c r="CA85" s="14">
        <f t="shared" si="93"/>
        <v>5.3428243983771088E-13</v>
      </c>
      <c r="CB85" s="22">
        <f t="shared" si="64"/>
        <v>9.8459716521636505E-13</v>
      </c>
      <c r="CC85" s="62">
        <f t="shared" si="65"/>
        <v>281.54662281460725</v>
      </c>
      <c r="CD85" s="62">
        <f ca="1">AVERAGE(OFFSET($CC$3,0,0,'Données projet'!$E$12+1,1))-AVERAGE(OFFSET($H$3,0,0,'Données projet'!$E$12+1,1))</f>
        <v>202.72043399839748</v>
      </c>
      <c r="CE85" s="62">
        <f t="shared" si="94"/>
        <v>295.50255983395789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1.3821343765003031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1.3821343765003031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4.9658410716801891E-14</v>
      </c>
      <c r="CV85" s="14">
        <f t="shared" si="95"/>
        <v>8.0934058173791862E-13</v>
      </c>
      <c r="CW85" s="22">
        <f t="shared" si="67"/>
        <v>1.4960899118586383E-12</v>
      </c>
      <c r="CX85" s="62">
        <f t="shared" si="68"/>
        <v>281.54662281460776</v>
      </c>
      <c r="CY85" s="62">
        <f ca="1">AVERAGE(OFFSET($CX$3,0,0,'Données projet'!$E$13+1,1))-AVERAGE(OFFSET($H$3,0,0,'Données projet'!$E$13+1,1))</f>
        <v>297.56177871222496</v>
      </c>
      <c r="CZ85" s="62">
        <f t="shared" si="96"/>
        <v>421.5717731815397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8.0032480610652357</v>
      </c>
      <c r="DH85" s="23">
        <f>EXP(-LN(2)/2)*DH84+(1-EXP(-LN(2)/2))/(LN(2)/2)*DB85*DE85*VLOOKUP('Données projet'!$B$13,Paramètres!$A$1:$I$89,3,0)*0.475*44/12</f>
        <v>2.4268030055138513E-7</v>
      </c>
      <c r="DI85" s="24">
        <f t="shared" si="69"/>
        <v>8.0032483037455364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752.99999999999977</v>
      </c>
      <c r="DP85" s="18">
        <f>DO85*VLOOKUP('Données projet'!$B$14,Paramètres!$A$1:$I$89,3,0)*VLOOKUP('Données projet'!$B$14,Paramètres!$A$1:$I$89,5,0)</f>
        <v>552.09959999999978</v>
      </c>
      <c r="DQ85" s="14">
        <f t="shared" si="97"/>
        <v>122.01091055125165</v>
      </c>
      <c r="DR85" s="22">
        <f t="shared" si="70"/>
        <v>1174.0758058767628</v>
      </c>
      <c r="DS85" s="62">
        <f t="shared" si="71"/>
        <v>1455.6224286913691</v>
      </c>
      <c r="DT85" s="62">
        <f ca="1">AVERAGE(OFFSET($DS$3,0,0,'Données projet'!$E$14+1,1))-AVERAGE(OFFSET($H$3,0,0,'Données projet'!$E$14+1,1))</f>
        <v>667.0152731006724</v>
      </c>
      <c r="DU85" s="62">
        <f t="shared" si="98"/>
        <v>567.40780872008088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5.525618093395849</v>
      </c>
      <c r="EC85" s="23">
        <f>EXP(-LN(2)/2)*EC84+(1-EXP(-LN(2)/2))/(LN(2)/2)*DW85*DZ85*VLOOKUP('Données projet'!$B$14,Paramètres!$A$1:$I$89,3,0)*0.475*44/12</f>
        <v>2.2100486663078131E-7</v>
      </c>
      <c r="ED85" s="24">
        <f t="shared" si="72"/>
        <v>5.5256183144007158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295.57632000000001</v>
      </c>
      <c r="EL85" s="14">
        <f t="shared" si="99"/>
        <v>70.24828996461811</v>
      </c>
      <c r="EM85" s="22">
        <f t="shared" si="73"/>
        <v>637.1445290217099</v>
      </c>
      <c r="EN85" s="62">
        <f t="shared" si="74"/>
        <v>918.69115183631618</v>
      </c>
      <c r="EO85" s="62">
        <f ca="1">AVERAGE(OFFSET($EN$3,0,0,'Données projet'!$E$15+1,1))-AVERAGE(OFFSET($H$3,0,0,'Données projet'!$E$15+1,1))</f>
        <v>454.99849419289757</v>
      </c>
      <c r="EP85" s="62">
        <f t="shared" si="100"/>
        <v>288.86643267991928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66.785442585801718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2.7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18.450900000000026</v>
      </c>
      <c r="D86" s="12">
        <f t="shared" si="86"/>
        <v>6.0562692740023554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54.719537195443188</v>
      </c>
      <c r="H86" s="70">
        <f t="shared" si="56"/>
        <v>259.74998648555413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891.66230199749566</v>
      </c>
      <c r="S86" s="62">
        <f ca="1">AVERAGE(OFFSET($R$3,0,0,'Données projet'!$E$9+1,1))-AVERAGE(OFFSET($H$3,0,0,'Données projet'!$E$9+1,1))</f>
        <v>427.57091071251745</v>
      </c>
      <c r="T86" s="62">
        <f t="shared" si="88"/>
        <v>272.62827206514726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963.535644084041</v>
      </c>
      <c r="AN86" s="62">
        <f ca="1">AVERAGE(OFFSET($AM$3,0,0,'Données projet'!$E$10+1,1))-AVERAGE(OFFSET($H$3,0,0,'Données projet'!$E$10+1,1))</f>
        <v>475.54515523869958</v>
      </c>
      <c r="AO86" s="62">
        <f t="shared" si="90"/>
        <v>301.02979240961452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2.353929816759798</v>
      </c>
      <c r="AW86" s="23">
        <f>EXP(-LN(2)/2)*AW85+(1-EXP(-LN(2)/2))/(LN(2)/2)*AQ86*AT86*VLOOKUP('Données projet'!$B$10,Paramètres!$A$1:$I$89,3,0)*0.475*44/12</f>
        <v>1.7606034854708216E-7</v>
      </c>
      <c r="AX86" s="23">
        <f t="shared" si="60"/>
        <v>2.3539299928201465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6.3550942286383367E-14</v>
      </c>
      <c r="BF86" s="14">
        <f t="shared" si="91"/>
        <v>1.0064464192543978E-12</v>
      </c>
      <c r="BG86" s="22">
        <f t="shared" si="61"/>
        <v>1.8635787380168604E-12</v>
      </c>
      <c r="BH86" s="62">
        <f t="shared" si="62"/>
        <v>281.75109589097104</v>
      </c>
      <c r="BI86" s="62">
        <f ca="1">AVERAGE(OFFSET($BH$3,0,0,'Données projet'!$E$11+1,1))-AVERAGE(OFFSET($H$3,0,0,'Données projet'!$E$11+1,1))</f>
        <v>381.71417599784968</v>
      </c>
      <c r="BJ86" s="62">
        <f t="shared" si="92"/>
        <v>350.49230135197979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11.314869515510704</v>
      </c>
      <c r="BQ86" s="23">
        <f>EXP(-LN(2)/25)*BQ85+(1-EXP(-LN(2)/25))/(LN(2)/25)*Calculateur!BL86*Calculateur!BN86*VLOOKUP('Données projet'!$B$11,Paramètres!$A$1:$I$89,3,0)*0.475*44/12</f>
        <v>6.4659229019517461</v>
      </c>
      <c r="BR86" s="23">
        <f>EXP(-LN(2)/2)*BR85+(1-EXP(-LN(2)/2))/(LN(2)/2)*BL86*BO86*VLOOKUP('Données projet'!$B$11,Paramètres!$A$1:$I$89,3,0)*0.475*44/12</f>
        <v>7.3114695267483045E-7</v>
      </c>
      <c r="BS86" s="24">
        <f t="shared" si="63"/>
        <v>17.780793148609401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3.1036506698001178E-14</v>
      </c>
      <c r="CA86" s="14">
        <f t="shared" si="93"/>
        <v>5.3428243983771088E-13</v>
      </c>
      <c r="CB86" s="22">
        <f t="shared" si="64"/>
        <v>9.8459716521636505E-13</v>
      </c>
      <c r="CC86" s="62">
        <f t="shared" si="65"/>
        <v>281.75109589097013</v>
      </c>
      <c r="CD86" s="62">
        <f ca="1">AVERAGE(OFFSET($CC$3,0,0,'Données projet'!$E$12+1,1))-AVERAGE(OFFSET($H$3,0,0,'Données projet'!$E$12+1,1))</f>
        <v>202.72043399839748</v>
      </c>
      <c r="CE86" s="62">
        <f t="shared" si="94"/>
        <v>295.50255983395789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1.3443398392916144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1.3443398392916144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4.9658410716801891E-14</v>
      </c>
      <c r="CV86" s="14">
        <f t="shared" si="95"/>
        <v>8.0934058173791862E-13</v>
      </c>
      <c r="CW86" s="22">
        <f t="shared" si="67"/>
        <v>1.4960899118586383E-12</v>
      </c>
      <c r="CX86" s="62">
        <f t="shared" si="68"/>
        <v>281.75109589097065</v>
      </c>
      <c r="CY86" s="62">
        <f ca="1">AVERAGE(OFFSET($CX$3,0,0,'Données projet'!$E$13+1,1))-AVERAGE(OFFSET($H$3,0,0,'Données projet'!$E$13+1,1))</f>
        <v>297.56177871222496</v>
      </c>
      <c r="CZ86" s="62">
        <f t="shared" si="96"/>
        <v>421.5717731815397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7.784398821962883</v>
      </c>
      <c r="DH86" s="23">
        <f>EXP(-LN(2)/2)*DH85+(1-EXP(-LN(2)/2))/(LN(2)/2)*DB86*DE86*VLOOKUP('Données projet'!$B$13,Paramètres!$A$1:$I$89,3,0)*0.475*44/12</f>
        <v>1.7160088618027388E-7</v>
      </c>
      <c r="DI86" s="24">
        <f t="shared" si="69"/>
        <v>7.7843989935637694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752.99999999999977</v>
      </c>
      <c r="DP86" s="18">
        <f>DO86*VLOOKUP('Données projet'!$B$14,Paramètres!$A$1:$I$89,3,0)*VLOOKUP('Données projet'!$B$14,Paramètres!$A$1:$I$89,5,0)</f>
        <v>552.09959999999978</v>
      </c>
      <c r="DQ86" s="14">
        <f t="shared" si="97"/>
        <v>122.01091055125165</v>
      </c>
      <c r="DR86" s="22">
        <f t="shared" si="70"/>
        <v>1174.0758058767628</v>
      </c>
      <c r="DS86" s="62">
        <f t="shared" si="71"/>
        <v>1455.8269017677321</v>
      </c>
      <c r="DT86" s="62">
        <f ca="1">AVERAGE(OFFSET($DS$3,0,0,'Données projet'!$E$14+1,1))-AVERAGE(OFFSET($H$3,0,0,'Données projet'!$E$14+1,1))</f>
        <v>667.0152731006724</v>
      </c>
      <c r="DU86" s="62">
        <f t="shared" si="98"/>
        <v>567.40780872008088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5.3745197760523133</v>
      </c>
      <c r="EC86" s="23">
        <f>EXP(-LN(2)/2)*EC85+(1-EXP(-LN(2)/2))/(LN(2)/2)*DW86*DZ86*VLOOKUP('Données projet'!$B$14,Paramètres!$A$1:$I$89,3,0)*0.475*44/12</f>
        <v>1.56274039869854E-7</v>
      </c>
      <c r="ED86" s="24">
        <f t="shared" si="72"/>
        <v>5.3745199323263533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302.15328000000005</v>
      </c>
      <c r="EL86" s="14">
        <f t="shared" si="99"/>
        <v>71.627685603423203</v>
      </c>
      <c r="EM86" s="22">
        <f t="shared" si="73"/>
        <v>651.00184842596218</v>
      </c>
      <c r="EN86" s="62">
        <f t="shared" si="74"/>
        <v>932.75294431693135</v>
      </c>
      <c r="EO86" s="62">
        <f ca="1">AVERAGE(OFFSET($EN$3,0,0,'Données projet'!$E$15+1,1))-AVERAGE(OFFSET($H$3,0,0,'Données projet'!$E$15+1,1))</f>
        <v>454.99849419289757</v>
      </c>
      <c r="EP86" s="62">
        <f t="shared" si="100"/>
        <v>288.86643267991928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66.841207970264321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2.7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18.673200000000026</v>
      </c>
      <c r="D87" s="12">
        <f t="shared" si="86"/>
        <v>6.1206979954107865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55.272873324477011</v>
      </c>
      <c r="H87" s="70">
        <f t="shared" si="56"/>
        <v>260.24937234200718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904.83830939605537</v>
      </c>
      <c r="S87" s="62">
        <f ca="1">AVERAGE(OFFSET($R$3,0,0,'Données projet'!$E$9+1,1))-AVERAGE(OFFSET($H$3,0,0,'Données projet'!$E$9+1,1))</f>
        <v>427.57091071251745</v>
      </c>
      <c r="T87" s="62">
        <f t="shared" si="88"/>
        <v>272.62827206514726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978.24425043633232</v>
      </c>
      <c r="AN87" s="62">
        <f ca="1">AVERAGE(OFFSET($AM$3,0,0,'Données projet'!$E$10+1,1))-AVERAGE(OFFSET($H$3,0,0,'Données projet'!$E$10+1,1))</f>
        <v>475.54515523869958</v>
      </c>
      <c r="AO87" s="62">
        <f t="shared" si="90"/>
        <v>301.02979240961452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2.2895614821327124</v>
      </c>
      <c r="AW87" s="23">
        <f>EXP(-LN(2)/2)*AW86+(1-EXP(-LN(2)/2))/(LN(2)/2)*AQ87*AT87*VLOOKUP('Données projet'!$B$10,Paramètres!$A$1:$I$89,3,0)*0.475*44/12</f>
        <v>1.2449346635570892E-7</v>
      </c>
      <c r="AX87" s="23">
        <f t="shared" si="60"/>
        <v>2.2895616066261786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6.3550942286383367E-14</v>
      </c>
      <c r="BF87" s="14">
        <f t="shared" si="91"/>
        <v>1.0064464192543978E-12</v>
      </c>
      <c r="BG87" s="22">
        <f t="shared" si="61"/>
        <v>1.8635787380168604E-12</v>
      </c>
      <c r="BH87" s="62">
        <f t="shared" si="62"/>
        <v>281.95202181659238</v>
      </c>
      <c r="BI87" s="62">
        <f ca="1">AVERAGE(OFFSET($BH$3,0,0,'Données projet'!$E$11+1,1))-AVERAGE(OFFSET($H$3,0,0,'Données projet'!$E$11+1,1))</f>
        <v>381.71417599784968</v>
      </c>
      <c r="BJ87" s="62">
        <f t="shared" si="92"/>
        <v>350.49230135197979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11.092991825700489</v>
      </c>
      <c r="BQ87" s="23">
        <f>EXP(-LN(2)/25)*BQ86+(1-EXP(-LN(2)/25))/(LN(2)/25)*Calculateur!BL87*Calculateur!BN87*VLOOKUP('Données projet'!$B$11,Paramètres!$A$1:$I$89,3,0)*0.475*44/12</f>
        <v>6.2891119001697682</v>
      </c>
      <c r="BR87" s="23">
        <f>EXP(-LN(2)/2)*BR86+(1-EXP(-LN(2)/2))/(LN(2)/2)*BL87*BO87*VLOOKUP('Données projet'!$B$11,Paramètres!$A$1:$I$89,3,0)*0.475*44/12</f>
        <v>5.1699896828025234E-7</v>
      </c>
      <c r="BS87" s="24">
        <f t="shared" si="63"/>
        <v>17.382104242869229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3.1036506698001178E-14</v>
      </c>
      <c r="CA87" s="14">
        <f t="shared" si="93"/>
        <v>5.3428243983771088E-13</v>
      </c>
      <c r="CB87" s="22">
        <f t="shared" si="64"/>
        <v>9.8459716521636505E-13</v>
      </c>
      <c r="CC87" s="62">
        <f t="shared" si="65"/>
        <v>281.95202181659147</v>
      </c>
      <c r="CD87" s="62">
        <f ca="1">AVERAGE(OFFSET($CC$3,0,0,'Données projet'!$E$12+1,1))-AVERAGE(OFFSET($H$3,0,0,'Données projet'!$E$12+1,1))</f>
        <v>202.72043399839748</v>
      </c>
      <c r="CE87" s="62">
        <f t="shared" si="94"/>
        <v>295.50255983395789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1.3075787956904257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1.3075787956904257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4.9658410716801891E-14</v>
      </c>
      <c r="CV87" s="14">
        <f t="shared" si="95"/>
        <v>8.0934058173791862E-13</v>
      </c>
      <c r="CW87" s="22">
        <f t="shared" si="67"/>
        <v>1.4960899118586383E-12</v>
      </c>
      <c r="CX87" s="62">
        <f t="shared" si="68"/>
        <v>281.95202181659198</v>
      </c>
      <c r="CY87" s="62">
        <f ca="1">AVERAGE(OFFSET($CX$3,0,0,'Données projet'!$E$13+1,1))-AVERAGE(OFFSET($H$3,0,0,'Données projet'!$E$13+1,1))</f>
        <v>297.56177871222496</v>
      </c>
      <c r="CZ87" s="62">
        <f t="shared" si="96"/>
        <v>421.5717731815397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7.5715340268125653</v>
      </c>
      <c r="DH87" s="23">
        <f>EXP(-LN(2)/2)*DH86+(1-EXP(-LN(2)/2))/(LN(2)/2)*DB87*DE87*VLOOKUP('Données projet'!$B$13,Paramètres!$A$1:$I$89,3,0)*0.475*44/12</f>
        <v>1.2134015027569256E-7</v>
      </c>
      <c r="DI87" s="24">
        <f t="shared" si="69"/>
        <v>7.5715341481527156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752.99999999999977</v>
      </c>
      <c r="DP87" s="18">
        <f>DO87*VLOOKUP('Données projet'!$B$14,Paramètres!$A$1:$I$89,3,0)*VLOOKUP('Données projet'!$B$14,Paramètres!$A$1:$I$89,5,0)</f>
        <v>552.09959999999978</v>
      </c>
      <c r="DQ87" s="14">
        <f t="shared" si="97"/>
        <v>122.01091055125165</v>
      </c>
      <c r="DR87" s="22">
        <f t="shared" si="70"/>
        <v>1174.0758058767628</v>
      </c>
      <c r="DS87" s="62">
        <f t="shared" si="71"/>
        <v>1456.0278276933534</v>
      </c>
      <c r="DT87" s="62">
        <f ca="1">AVERAGE(OFFSET($DS$3,0,0,'Données projet'!$E$14+1,1))-AVERAGE(OFFSET($H$3,0,0,'Données projet'!$E$14+1,1))</f>
        <v>667.0152731006724</v>
      </c>
      <c r="DU87" s="62">
        <f t="shared" si="98"/>
        <v>567.40780872008088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5.2275532501424511</v>
      </c>
      <c r="EC87" s="23">
        <f>EXP(-LN(2)/2)*EC86+(1-EXP(-LN(2)/2))/(LN(2)/2)*DW87*DZ87*VLOOKUP('Données projet'!$B$14,Paramètres!$A$1:$I$89,3,0)*0.475*44/12</f>
        <v>1.1050243331539065E-7</v>
      </c>
      <c r="ED87" s="24">
        <f t="shared" si="72"/>
        <v>5.2275533606448841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308.73024000000004</v>
      </c>
      <c r="EL87" s="14">
        <f t="shared" si="99"/>
        <v>73.003590434710574</v>
      </c>
      <c r="EM87" s="22">
        <f t="shared" si="73"/>
        <v>664.85308800712107</v>
      </c>
      <c r="EN87" s="62">
        <f t="shared" si="74"/>
        <v>946.80510982371152</v>
      </c>
      <c r="EO87" s="62">
        <f ca="1">AVERAGE(OFFSET($EN$3,0,0,'Données projet'!$E$15+1,1))-AVERAGE(OFFSET($H$3,0,0,'Données projet'!$E$15+1,1))</f>
        <v>454.99849419289757</v>
      </c>
      <c r="EP87" s="62">
        <f t="shared" si="100"/>
        <v>288.86643267991928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66.896005949979227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2.7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18.895500000000027</v>
      </c>
      <c r="D88" s="12">
        <f t="shared" si="86"/>
        <v>6.1850374966205157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55.826037274180003</v>
      </c>
      <c r="H88" s="70">
        <f t="shared" si="56"/>
        <v>260.74860280661414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918.0052354522586</v>
      </c>
      <c r="S88" s="62">
        <f ca="1">AVERAGE(OFFSET($R$3,0,0,'Données projet'!$E$9+1,1))-AVERAGE(OFFSET($H$3,0,0,'Données projet'!$E$9+1,1))</f>
        <v>427.57091071251745</v>
      </c>
      <c r="T88" s="62">
        <f t="shared" si="88"/>
        <v>272.62827206514726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992.94318272473652</v>
      </c>
      <c r="AN88" s="62">
        <f ca="1">AVERAGE(OFFSET($AM$3,0,0,'Données projet'!$E$10+1,1))-AVERAGE(OFFSET($H$3,0,0,'Données projet'!$E$10+1,1))</f>
        <v>475.54515523869958</v>
      </c>
      <c r="AO88" s="62">
        <f t="shared" si="90"/>
        <v>301.02979240961452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2.2269533030009878</v>
      </c>
      <c r="AW88" s="23">
        <f>EXP(-LN(2)/2)*AW87+(1-EXP(-LN(2)/2))/(LN(2)/2)*AQ88*AT88*VLOOKUP('Données projet'!$B$10,Paramètres!$A$1:$I$89,3,0)*0.475*44/12</f>
        <v>8.8030174273541082E-8</v>
      </c>
      <c r="AX88" s="23">
        <f t="shared" si="60"/>
        <v>2.2269533910311621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6.3550942286383367E-14</v>
      </c>
      <c r="BF88" s="14">
        <f t="shared" si="91"/>
        <v>1.0064464192543978E-12</v>
      </c>
      <c r="BG88" s="22">
        <f t="shared" si="61"/>
        <v>1.8635787380168604E-12</v>
      </c>
      <c r="BH88" s="62">
        <f t="shared" si="62"/>
        <v>282.1494621266072</v>
      </c>
      <c r="BI88" s="62">
        <f ca="1">AVERAGE(OFFSET($BH$3,0,0,'Données projet'!$E$11+1,1))-AVERAGE(OFFSET($H$3,0,0,'Données projet'!$E$11+1,1))</f>
        <v>381.71417599784968</v>
      </c>
      <c r="BJ88" s="62">
        <f t="shared" si="92"/>
        <v>350.49230135197979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10.875465022055423</v>
      </c>
      <c r="BQ88" s="23">
        <f>EXP(-LN(2)/25)*BQ87+(1-EXP(-LN(2)/25))/(LN(2)/25)*Calculateur!BL88*Calculateur!BN88*VLOOKUP('Données projet'!$B$11,Paramètres!$A$1:$I$89,3,0)*0.475*44/12</f>
        <v>6.1171358045296049</v>
      </c>
      <c r="BR88" s="23">
        <f>EXP(-LN(2)/2)*BR87+(1-EXP(-LN(2)/2))/(LN(2)/2)*BL88*BO88*VLOOKUP('Données projet'!$B$11,Paramètres!$A$1:$I$89,3,0)*0.475*44/12</f>
        <v>3.6557347633741522E-7</v>
      </c>
      <c r="BS88" s="24">
        <f t="shared" si="63"/>
        <v>16.992601192158503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3.1036506698001178E-14</v>
      </c>
      <c r="CA88" s="14">
        <f t="shared" si="93"/>
        <v>5.3428243983771088E-13</v>
      </c>
      <c r="CB88" s="22">
        <f t="shared" si="64"/>
        <v>9.8459716521636505E-13</v>
      </c>
      <c r="CC88" s="62">
        <f t="shared" si="65"/>
        <v>282.14946212660629</v>
      </c>
      <c r="CD88" s="62">
        <f ca="1">AVERAGE(OFFSET($CC$3,0,0,'Données projet'!$E$12+1,1))-AVERAGE(OFFSET($H$3,0,0,'Données projet'!$E$12+1,1))</f>
        <v>202.72043399839748</v>
      </c>
      <c r="CE88" s="62">
        <f t="shared" si="94"/>
        <v>295.50255983395789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1.2718229847596907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1.2718229847596907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4.9658410716801891E-14</v>
      </c>
      <c r="CV88" s="14">
        <f t="shared" si="95"/>
        <v>8.0934058173791862E-13</v>
      </c>
      <c r="CW88" s="22">
        <f t="shared" si="67"/>
        <v>1.4960899118586383E-12</v>
      </c>
      <c r="CX88" s="62">
        <f t="shared" si="68"/>
        <v>282.14946212660681</v>
      </c>
      <c r="CY88" s="62">
        <f ca="1">AVERAGE(OFFSET($CX$3,0,0,'Données projet'!$E$13+1,1))-AVERAGE(OFFSET($H$3,0,0,'Données projet'!$E$13+1,1))</f>
        <v>297.56177871222496</v>
      </c>
      <c r="CZ88" s="62">
        <f t="shared" si="96"/>
        <v>421.5717731815397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7.3644900306797059</v>
      </c>
      <c r="DH88" s="23">
        <f>EXP(-LN(2)/2)*DH87+(1-EXP(-LN(2)/2))/(LN(2)/2)*DB88*DE88*VLOOKUP('Données projet'!$B$13,Paramètres!$A$1:$I$89,3,0)*0.475*44/12</f>
        <v>8.5800443090136938E-8</v>
      </c>
      <c r="DI88" s="24">
        <f t="shared" si="69"/>
        <v>7.3644901164801491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752.99999999999977</v>
      </c>
      <c r="DP88" s="18">
        <f>DO88*VLOOKUP('Données projet'!$B$14,Paramètres!$A$1:$I$89,3,0)*VLOOKUP('Données projet'!$B$14,Paramètres!$A$1:$I$89,5,0)</f>
        <v>552.09959999999978</v>
      </c>
      <c r="DQ88" s="14">
        <f t="shared" si="97"/>
        <v>122.01091055125165</v>
      </c>
      <c r="DR88" s="22">
        <f t="shared" si="70"/>
        <v>1174.0758058767628</v>
      </c>
      <c r="DS88" s="62">
        <f t="shared" si="71"/>
        <v>1456.2252680033682</v>
      </c>
      <c r="DT88" s="62">
        <f ca="1">AVERAGE(OFFSET($DS$3,0,0,'Données projet'!$E$14+1,1))-AVERAGE(OFFSET($H$3,0,0,'Données projet'!$E$14+1,1))</f>
        <v>667.0152731006724</v>
      </c>
      <c r="DU88" s="62">
        <f t="shared" si="98"/>
        <v>567.40780872008088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5.0846055316122278</v>
      </c>
      <c r="EC88" s="23">
        <f>EXP(-LN(2)/2)*EC87+(1-EXP(-LN(2)/2))/(LN(2)/2)*DW88*DZ88*VLOOKUP('Données projet'!$B$14,Paramètres!$A$1:$I$89,3,0)*0.475*44/12</f>
        <v>7.8137019934926998E-8</v>
      </c>
      <c r="ED88" s="24">
        <f t="shared" si="72"/>
        <v>5.0846056097492474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315.30720000000008</v>
      </c>
      <c r="EL88" s="14">
        <f t="shared" si="99"/>
        <v>74.376087390025049</v>
      </c>
      <c r="EM88" s="22">
        <f t="shared" si="73"/>
        <v>678.69839220429378</v>
      </c>
      <c r="EN88" s="62">
        <f t="shared" si="74"/>
        <v>960.84785433089905</v>
      </c>
      <c r="EO88" s="62">
        <f ca="1">AVERAGE(OFFSET($EN$3,0,0,'Données projet'!$E$15+1,1))-AVERAGE(OFFSET($H$3,0,0,'Données projet'!$E$15+1,1))</f>
        <v>454.99849419289757</v>
      </c>
      <c r="EP88" s="62">
        <f t="shared" si="100"/>
        <v>288.86643267991928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66.949853307256006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2.7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19.117800000000027</v>
      </c>
      <c r="D89" s="12">
        <f t="shared" si="86"/>
        <v>6.2492889487124561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56.379031304532866</v>
      </c>
      <c r="H89" s="70">
        <f t="shared" si="56"/>
        <v>261.24767991900762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876.98253260834031</v>
      </c>
      <c r="S89" s="62">
        <f ca="1">AVERAGE(OFFSET($R$3,0,0,'Données projet'!$E$9+1,1))-AVERAGE(OFFSET($H$3,0,0,'Données projet'!$E$9+1,1))</f>
        <v>427.57091071251745</v>
      </c>
      <c r="T89" s="62">
        <f t="shared" si="88"/>
        <v>272.62827206514726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947.05203866136935</v>
      </c>
      <c r="AN89" s="62">
        <f ca="1">AVERAGE(OFFSET($AM$3,0,0,'Données projet'!$E$10+1,1))-AVERAGE(OFFSET($H$3,0,0,'Données projet'!$E$10+1,1))</f>
        <v>475.54515523869958</v>
      </c>
      <c r="AO89" s="62">
        <f t="shared" si="90"/>
        <v>301.02979240961452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2.1660571478200414</v>
      </c>
      <c r="AW89" s="23">
        <f>EXP(-LN(2)/2)*AW88+(1-EXP(-LN(2)/2))/(LN(2)/2)*AQ89*AT89*VLOOKUP('Données projet'!$B$10,Paramètres!$A$1:$I$89,3,0)*0.475*44/12</f>
        <v>6.2246733177854458E-8</v>
      </c>
      <c r="AX89" s="23">
        <f t="shared" si="60"/>
        <v>2.1660572100667745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6.3550942286383367E-14</v>
      </c>
      <c r="BF89" s="14">
        <f t="shared" si="91"/>
        <v>1.0064464192543978E-12</v>
      </c>
      <c r="BG89" s="22">
        <f t="shared" si="61"/>
        <v>1.8635787380168604E-12</v>
      </c>
      <c r="BH89" s="62">
        <f t="shared" si="62"/>
        <v>282.34347728865373</v>
      </c>
      <c r="BI89" s="62">
        <f ca="1">AVERAGE(OFFSET($BH$3,0,0,'Données projet'!$E$11+1,1))-AVERAGE(OFFSET($H$3,0,0,'Données projet'!$E$11+1,1))</f>
        <v>381.71417599784968</v>
      </c>
      <c r="BJ89" s="62">
        <f t="shared" si="92"/>
        <v>350.49230135197979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10.662203786351588</v>
      </c>
      <c r="BQ89" s="23">
        <f>EXP(-LN(2)/25)*BQ88+(1-EXP(-LN(2)/25))/(LN(2)/25)*Calculateur!BL89*Calculateur!BN89*VLOOKUP('Données projet'!$B$11,Paramètres!$A$1:$I$89,3,0)*0.475*44/12</f>
        <v>5.9498624042685515</v>
      </c>
      <c r="BR89" s="23">
        <f>EXP(-LN(2)/2)*BR88+(1-EXP(-LN(2)/2))/(LN(2)/2)*BL89*BO89*VLOOKUP('Données projet'!$B$11,Paramètres!$A$1:$I$89,3,0)*0.475*44/12</f>
        <v>2.5849948414012617E-7</v>
      </c>
      <c r="BS89" s="24">
        <f t="shared" si="63"/>
        <v>16.612066449119624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3.1036506698001178E-14</v>
      </c>
      <c r="CA89" s="14">
        <f t="shared" si="93"/>
        <v>5.3428243983771088E-13</v>
      </c>
      <c r="CB89" s="22">
        <f t="shared" si="64"/>
        <v>9.8459716521636505E-13</v>
      </c>
      <c r="CC89" s="62">
        <f t="shared" si="65"/>
        <v>282.34347728865282</v>
      </c>
      <c r="CD89" s="62">
        <f ca="1">AVERAGE(OFFSET($CC$3,0,0,'Données projet'!$E$12+1,1))-AVERAGE(OFFSET($H$3,0,0,'Données projet'!$E$12+1,1))</f>
        <v>202.72043399839748</v>
      </c>
      <c r="CE89" s="62">
        <f t="shared" si="94"/>
        <v>295.50255983395789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1.237044918359173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1.237044918359173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4.9658410716801891E-14</v>
      </c>
      <c r="CV89" s="14">
        <f t="shared" si="95"/>
        <v>8.0934058173791862E-13</v>
      </c>
      <c r="CW89" s="22">
        <f t="shared" si="67"/>
        <v>1.4960899118586383E-12</v>
      </c>
      <c r="CX89" s="62">
        <f t="shared" si="68"/>
        <v>282.34347728865333</v>
      </c>
      <c r="CY89" s="62">
        <f ca="1">AVERAGE(OFFSET($CX$3,0,0,'Données projet'!$E$13+1,1))-AVERAGE(OFFSET($H$3,0,0,'Données projet'!$E$13+1,1))</f>
        <v>297.56177871222496</v>
      </c>
      <c r="CZ89" s="62">
        <f t="shared" si="96"/>
        <v>421.5717731815397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7.16310766350907</v>
      </c>
      <c r="DH89" s="23">
        <f>EXP(-LN(2)/2)*DH88+(1-EXP(-LN(2)/2))/(LN(2)/2)*DB89*DE89*VLOOKUP('Données projet'!$B$13,Paramètres!$A$1:$I$89,3,0)*0.475*44/12</f>
        <v>6.0670075137846282E-8</v>
      </c>
      <c r="DI89" s="24">
        <f t="shared" si="69"/>
        <v>7.1631077241791452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752.99999999999977</v>
      </c>
      <c r="DP89" s="18">
        <f>DO89*VLOOKUP('Données projet'!$B$14,Paramètres!$A$1:$I$89,3,0)*VLOOKUP('Données projet'!$B$14,Paramètres!$A$1:$I$89,5,0)</f>
        <v>552.09959999999978</v>
      </c>
      <c r="DQ89" s="14">
        <f t="shared" si="97"/>
        <v>122.01091055125165</v>
      </c>
      <c r="DR89" s="22">
        <f t="shared" si="70"/>
        <v>1174.0758058767628</v>
      </c>
      <c r="DS89" s="62">
        <f t="shared" si="71"/>
        <v>1456.4192831654148</v>
      </c>
      <c r="DT89" s="62">
        <f ca="1">AVERAGE(OFFSET($DS$3,0,0,'Données projet'!$E$14+1,1))-AVERAGE(OFFSET($H$3,0,0,'Données projet'!$E$14+1,1))</f>
        <v>667.0152731006724</v>
      </c>
      <c r="DU89" s="62">
        <f t="shared" si="98"/>
        <v>567.40780872008088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4.9455667259625073</v>
      </c>
      <c r="EC89" s="23">
        <f>EXP(-LN(2)/2)*EC88+(1-EXP(-LN(2)/2))/(LN(2)/2)*DW89*DZ89*VLOOKUP('Données projet'!$B$14,Paramètres!$A$1:$I$89,3,0)*0.475*44/12</f>
        <v>5.5251216657695327E-8</v>
      </c>
      <c r="ED89" s="24">
        <f t="shared" si="72"/>
        <v>4.9455667812137243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294.41568000000001</v>
      </c>
      <c r="EL89" s="14">
        <f t="shared" si="99"/>
        <v>70.004498360393455</v>
      </c>
      <c r="EM89" s="22">
        <f t="shared" si="73"/>
        <v>634.69847731101868</v>
      </c>
      <c r="EN89" s="62">
        <f t="shared" si="74"/>
        <v>917.04195459967059</v>
      </c>
      <c r="EO89" s="62">
        <f ca="1">AVERAGE(OFFSET($EN$3,0,0,'Données projet'!$E$15+1,1))-AVERAGE(OFFSET($H$3,0,0,'Données projet'!$E$15+1,1))</f>
        <v>454.99849419289757</v>
      </c>
      <c r="EP89" s="62">
        <f t="shared" si="100"/>
        <v>288.86643267991928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67.002766533268684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2.7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19.340100000000028</v>
      </c>
      <c r="D90" s="12">
        <f t="shared" si="86"/>
        <v>6.3134534939656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56.931857619933673</v>
      </c>
      <c r="H90" s="70">
        <f t="shared" si="56"/>
        <v>261.7466056686568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889.39154464587318</v>
      </c>
      <c r="S90" s="62">
        <f ca="1">AVERAGE(OFFSET($R$3,0,0,'Données projet'!$E$9+1,1))-AVERAGE(OFFSET($H$3,0,0,'Données projet'!$E$9+1,1))</f>
        <v>427.57091071251745</v>
      </c>
      <c r="T90" s="62">
        <f t="shared" si="88"/>
        <v>272.62827206514726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960.90418752628329</v>
      </c>
      <c r="AN90" s="62">
        <f ca="1">AVERAGE(OFFSET($AM$3,0,0,'Données projet'!$E$10+1,1))-AVERAGE(OFFSET($H$3,0,0,'Données projet'!$E$10+1,1))</f>
        <v>475.54515523869958</v>
      </c>
      <c r="AO90" s="62">
        <f t="shared" si="90"/>
        <v>301.02979240961452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2.1068262012049077</v>
      </c>
      <c r="AW90" s="23">
        <f>EXP(-LN(2)/2)*AW89+(1-EXP(-LN(2)/2))/(LN(2)/2)*AQ90*AT90*VLOOKUP('Données projet'!$B$10,Paramètres!$A$1:$I$89,3,0)*0.475*44/12</f>
        <v>4.4015087136770541E-8</v>
      </c>
      <c r="AX90" s="23">
        <f t="shared" si="60"/>
        <v>2.1068262452199948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6.3550942286383367E-14</v>
      </c>
      <c r="BF90" s="14">
        <f t="shared" si="91"/>
        <v>1.0064464192543978E-12</v>
      </c>
      <c r="BG90" s="22">
        <f t="shared" si="61"/>
        <v>1.8635787380168604E-12</v>
      </c>
      <c r="BH90" s="62">
        <f t="shared" si="62"/>
        <v>282.53412672139154</v>
      </c>
      <c r="BI90" s="62">
        <f ca="1">AVERAGE(OFFSET($BH$3,0,0,'Données projet'!$E$11+1,1))-AVERAGE(OFFSET($H$3,0,0,'Données projet'!$E$11+1,1))</f>
        <v>381.71417599784968</v>
      </c>
      <c r="BJ90" s="62">
        <f t="shared" si="92"/>
        <v>350.49230135197979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10.453124473403395</v>
      </c>
      <c r="BQ90" s="23">
        <f>EXP(-LN(2)/25)*BQ89+(1-EXP(-LN(2)/25))/(LN(2)/25)*Calculateur!BL90*Calculateur!BN90*VLOOKUP('Données projet'!$B$11,Paramètres!$A$1:$I$89,3,0)*0.475*44/12</f>
        <v>5.7871631039341631</v>
      </c>
      <c r="BR90" s="23">
        <f>EXP(-LN(2)/2)*BR89+(1-EXP(-LN(2)/2))/(LN(2)/2)*BL90*BO90*VLOOKUP('Données projet'!$B$11,Paramètres!$A$1:$I$89,3,0)*0.475*44/12</f>
        <v>1.8278673816870761E-7</v>
      </c>
      <c r="BS90" s="24">
        <f t="shared" si="63"/>
        <v>16.240287760124296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3.1036506698001178E-14</v>
      </c>
      <c r="CA90" s="14">
        <f t="shared" si="93"/>
        <v>5.3428243983771088E-13</v>
      </c>
      <c r="CB90" s="22">
        <f t="shared" si="64"/>
        <v>9.8459716521636505E-13</v>
      </c>
      <c r="CC90" s="62">
        <f t="shared" si="65"/>
        <v>282.53412672139063</v>
      </c>
      <c r="CD90" s="62">
        <f ca="1">AVERAGE(OFFSET($CC$3,0,0,'Données projet'!$E$12+1,1))-AVERAGE(OFFSET($H$3,0,0,'Données projet'!$E$12+1,1))</f>
        <v>202.72043399839748</v>
      </c>
      <c r="CE90" s="62">
        <f t="shared" si="94"/>
        <v>295.50255983395789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1.2032178600132764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1.2032178600132764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4.9658410716801891E-14</v>
      </c>
      <c r="CV90" s="14">
        <f t="shared" si="95"/>
        <v>8.0934058173791862E-13</v>
      </c>
      <c r="CW90" s="22">
        <f t="shared" si="67"/>
        <v>1.4960899118586383E-12</v>
      </c>
      <c r="CX90" s="62">
        <f t="shared" si="68"/>
        <v>282.53412672139115</v>
      </c>
      <c r="CY90" s="62">
        <f ca="1">AVERAGE(OFFSET($CX$3,0,0,'Données projet'!$E$13+1,1))-AVERAGE(OFFSET($H$3,0,0,'Données projet'!$E$13+1,1))</f>
        <v>297.56177871222496</v>
      </c>
      <c r="CZ90" s="62">
        <f t="shared" si="96"/>
        <v>421.5717731815397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6.9672321077589539</v>
      </c>
      <c r="DH90" s="23">
        <f>EXP(-LN(2)/2)*DH89+(1-EXP(-LN(2)/2))/(LN(2)/2)*DB90*DE90*VLOOKUP('Données projet'!$B$13,Paramètres!$A$1:$I$89,3,0)*0.475*44/12</f>
        <v>4.2900221545068469E-8</v>
      </c>
      <c r="DI90" s="24">
        <f t="shared" si="69"/>
        <v>6.967232150659175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752.99999999999977</v>
      </c>
      <c r="DP90" s="18">
        <f>DO90*VLOOKUP('Données projet'!$B$14,Paramètres!$A$1:$I$89,3,0)*VLOOKUP('Données projet'!$B$14,Paramètres!$A$1:$I$89,5,0)</f>
        <v>552.09959999999978</v>
      </c>
      <c r="DQ90" s="14">
        <f t="shared" si="97"/>
        <v>122.01091055125165</v>
      </c>
      <c r="DR90" s="22">
        <f t="shared" si="70"/>
        <v>1174.0758058767628</v>
      </c>
      <c r="DS90" s="62">
        <f t="shared" si="71"/>
        <v>1456.6099325981525</v>
      </c>
      <c r="DT90" s="62">
        <f ca="1">AVERAGE(OFFSET($DS$3,0,0,'Données projet'!$E$14+1,1))-AVERAGE(OFFSET($H$3,0,0,'Données projet'!$E$14+1,1))</f>
        <v>667.0152731006724</v>
      </c>
      <c r="DU90" s="62">
        <f t="shared" si="98"/>
        <v>567.40780872008088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4.8103299437650113</v>
      </c>
      <c r="EC90" s="23">
        <f>EXP(-LN(2)/2)*EC89+(1-EXP(-LN(2)/2))/(LN(2)/2)*DW90*DZ90*VLOOKUP('Données projet'!$B$14,Paramètres!$A$1:$I$89,3,0)*0.475*44/12</f>
        <v>3.9068509967463499E-8</v>
      </c>
      <c r="ED90" s="24">
        <f t="shared" si="72"/>
        <v>4.8103299828335215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300.60576000000003</v>
      </c>
      <c r="EL90" s="14">
        <f t="shared" si="99"/>
        <v>71.303439126782422</v>
      </c>
      <c r="EM90" s="22">
        <f t="shared" si="73"/>
        <v>647.74185514581279</v>
      </c>
      <c r="EN90" s="62">
        <f t="shared" si="74"/>
        <v>930.27598186720252</v>
      </c>
      <c r="EO90" s="62">
        <f ca="1">AVERAGE(OFFSET($EN$3,0,0,'Données projet'!$E$15+1,1))-AVERAGE(OFFSET($H$3,0,0,'Données projet'!$E$15+1,1))</f>
        <v>454.99849419289757</v>
      </c>
      <c r="EP90" s="62">
        <f t="shared" si="100"/>
        <v>288.86643267991928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67.054761833106284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2.7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19.562400000000029</v>
      </c>
      <c r="D91" s="12">
        <f t="shared" si="86"/>
        <v>6.3775322468881175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57.484518371187662</v>
      </c>
      <c r="H91" s="70">
        <f t="shared" si="56"/>
        <v>262.24538199666353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901.79214280977089</v>
      </c>
      <c r="S91" s="62">
        <f ca="1">AVERAGE(OFFSET($R$3,0,0,'Données projet'!$E$9+1,1))-AVERAGE(OFFSET($H$3,0,0,'Données projet'!$E$9+1,1))</f>
        <v>427.57091071251745</v>
      </c>
      <c r="T91" s="62">
        <f t="shared" si="88"/>
        <v>272.62827206514726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974.74738161345454</v>
      </c>
      <c r="AN91" s="62">
        <f ca="1">AVERAGE(OFFSET($AM$3,0,0,'Données projet'!$E$10+1,1))-AVERAGE(OFFSET($H$3,0,0,'Données projet'!$E$10+1,1))</f>
        <v>475.54515523869958</v>
      </c>
      <c r="AO91" s="62">
        <f t="shared" si="90"/>
        <v>301.02979240961452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2.0492149279397847</v>
      </c>
      <c r="AW91" s="23">
        <f>EXP(-LN(2)/2)*AW90+(1-EXP(-LN(2)/2))/(LN(2)/2)*AQ91*AT91*VLOOKUP('Données projet'!$B$10,Paramètres!$A$1:$I$89,3,0)*0.475*44/12</f>
        <v>3.1123366588927229E-8</v>
      </c>
      <c r="AX91" s="23">
        <f t="shared" si="60"/>
        <v>2.0492149590631512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6.3550942286383367E-14</v>
      </c>
      <c r="BF91" s="14">
        <f t="shared" si="91"/>
        <v>1.0064464192543978E-12</v>
      </c>
      <c r="BG91" s="22">
        <f t="shared" si="61"/>
        <v>1.8635787380168604E-12</v>
      </c>
      <c r="BH91" s="62">
        <f t="shared" si="62"/>
        <v>282.72146881269975</v>
      </c>
      <c r="BI91" s="62">
        <f ca="1">AVERAGE(OFFSET($BH$3,0,0,'Données projet'!$E$11+1,1))-AVERAGE(OFFSET($H$3,0,0,'Données projet'!$E$11+1,1))</f>
        <v>381.71417599784968</v>
      </c>
      <c r="BJ91" s="62">
        <f t="shared" si="92"/>
        <v>350.49230135197979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10.248145078256329</v>
      </c>
      <c r="BQ91" s="23">
        <f>EXP(-LN(2)/25)*BQ90+(1-EXP(-LN(2)/25))/(LN(2)/25)*Calculateur!BL91*Calculateur!BN91*VLOOKUP('Données projet'!$B$11,Paramètres!$A$1:$I$89,3,0)*0.475*44/12</f>
        <v>5.6289128245234021</v>
      </c>
      <c r="BR91" s="23">
        <f>EXP(-LN(2)/2)*BR90+(1-EXP(-LN(2)/2))/(LN(2)/2)*BL91*BO91*VLOOKUP('Données projet'!$B$11,Paramètres!$A$1:$I$89,3,0)*0.475*44/12</f>
        <v>1.2924974207006308E-7</v>
      </c>
      <c r="BS91" s="24">
        <f t="shared" si="63"/>
        <v>15.877058032029472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3.1036506698001178E-14</v>
      </c>
      <c r="CA91" s="14">
        <f t="shared" si="93"/>
        <v>5.3428243983771088E-13</v>
      </c>
      <c r="CB91" s="22">
        <f t="shared" si="64"/>
        <v>9.8459716521636505E-13</v>
      </c>
      <c r="CC91" s="62">
        <f t="shared" si="65"/>
        <v>282.72146881269884</v>
      </c>
      <c r="CD91" s="62">
        <f ca="1">AVERAGE(OFFSET($CC$3,0,0,'Données projet'!$E$12+1,1))-AVERAGE(OFFSET($H$3,0,0,'Données projet'!$E$12+1,1))</f>
        <v>202.72043399839748</v>
      </c>
      <c r="CE91" s="62">
        <f t="shared" si="94"/>
        <v>295.50255983395789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1.1703158043567361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1.1703158043567361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4.9658410716801891E-14</v>
      </c>
      <c r="CV91" s="14">
        <f t="shared" si="95"/>
        <v>8.0934058173791862E-13</v>
      </c>
      <c r="CW91" s="22">
        <f t="shared" si="67"/>
        <v>1.4960899118586383E-12</v>
      </c>
      <c r="CX91" s="62">
        <f t="shared" si="68"/>
        <v>282.72146881269936</v>
      </c>
      <c r="CY91" s="62">
        <f ca="1">AVERAGE(OFFSET($CX$3,0,0,'Données projet'!$E$13+1,1))-AVERAGE(OFFSET($H$3,0,0,'Données projet'!$E$13+1,1))</f>
        <v>297.56177871222496</v>
      </c>
      <c r="CZ91" s="62">
        <f t="shared" si="96"/>
        <v>421.5717731815397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6.7767127793814721</v>
      </c>
      <c r="DH91" s="23">
        <f>EXP(-LN(2)/2)*DH90+(1-EXP(-LN(2)/2))/(LN(2)/2)*DB91*DE91*VLOOKUP('Données projet'!$B$13,Paramètres!$A$1:$I$89,3,0)*0.475*44/12</f>
        <v>3.0335037568923141E-8</v>
      </c>
      <c r="DI91" s="24">
        <f t="shared" si="69"/>
        <v>6.7767128097165097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752.99999999999977</v>
      </c>
      <c r="DP91" s="18">
        <f>DO91*VLOOKUP('Données projet'!$B$14,Paramètres!$A$1:$I$89,3,0)*VLOOKUP('Données projet'!$B$14,Paramètres!$A$1:$I$89,5,0)</f>
        <v>552.09959999999978</v>
      </c>
      <c r="DQ91" s="14">
        <f t="shared" si="97"/>
        <v>122.01091055125165</v>
      </c>
      <c r="DR91" s="22">
        <f t="shared" si="70"/>
        <v>1174.0758058767628</v>
      </c>
      <c r="DS91" s="62">
        <f t="shared" si="71"/>
        <v>1456.7972746894607</v>
      </c>
      <c r="DT91" s="62">
        <f ca="1">AVERAGE(OFFSET($DS$3,0,0,'Données projet'!$E$14+1,1))-AVERAGE(OFFSET($H$3,0,0,'Données projet'!$E$14+1,1))</f>
        <v>667.0152731006724</v>
      </c>
      <c r="DU91" s="62">
        <f t="shared" si="98"/>
        <v>567.40780872008088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4.6787912184884997</v>
      </c>
      <c r="EC91" s="23">
        <f>EXP(-LN(2)/2)*EC90+(1-EXP(-LN(2)/2))/(LN(2)/2)*DW91*DZ91*VLOOKUP('Données projet'!$B$14,Paramètres!$A$1:$I$89,3,0)*0.475*44/12</f>
        <v>2.7625608328847664E-8</v>
      </c>
      <c r="ED91" s="24">
        <f t="shared" si="72"/>
        <v>4.6787912461141081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306.79584</v>
      </c>
      <c r="EL91" s="14">
        <f t="shared" si="99"/>
        <v>72.599269943528554</v>
      </c>
      <c r="EM91" s="22">
        <f t="shared" si="73"/>
        <v>660.77981648497882</v>
      </c>
      <c r="EN91" s="62">
        <f t="shared" si="74"/>
        <v>943.50128529767676</v>
      </c>
      <c r="EO91" s="62">
        <f ca="1">AVERAGE(OFFSET($EN$3,0,0,'Données projet'!$E$15+1,1))-AVERAGE(OFFSET($H$3,0,0,'Données projet'!$E$15+1,1))</f>
        <v>454.99849419289757</v>
      </c>
      <c r="EP91" s="62">
        <f t="shared" si="100"/>
        <v>288.86643267991928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67.10585513073579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2.7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19.784700000000029</v>
      </c>
      <c r="D92" s="12">
        <f t="shared" si="86"/>
        <v>6.4415262952002657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58.037015657404083</v>
      </c>
      <c r="H92" s="70">
        <f t="shared" si="56"/>
        <v>262.74401079747389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914.18449938090475</v>
      </c>
      <c r="S92" s="62">
        <f ca="1">AVERAGE(OFFSET($R$3,0,0,'Données projet'!$E$9+1,1))-AVERAGE(OFFSET($H$3,0,0,'Données projet'!$E$9+1,1))</f>
        <v>427.57091071251745</v>
      </c>
      <c r="T92" s="62">
        <f t="shared" si="88"/>
        <v>272.62827206514726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988.58180537504052</v>
      </c>
      <c r="AN92" s="62">
        <f ca="1">AVERAGE(OFFSET($AM$3,0,0,'Données projet'!$E$10+1,1))-AVERAGE(OFFSET($H$3,0,0,'Données projet'!$E$10+1,1))</f>
        <v>475.54515523869958</v>
      </c>
      <c r="AO92" s="62">
        <f t="shared" si="90"/>
        <v>301.02979240961452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1.9931790379717418</v>
      </c>
      <c r="AW92" s="23">
        <f>EXP(-LN(2)/2)*AW91+(1-EXP(-LN(2)/2))/(LN(2)/2)*AQ92*AT92*VLOOKUP('Données projet'!$B$10,Paramètres!$A$1:$I$89,3,0)*0.475*44/12</f>
        <v>2.2007543568385271E-8</v>
      </c>
      <c r="AX92" s="23">
        <f t="shared" si="60"/>
        <v>1.9931790599792854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6.3550942286383367E-14</v>
      </c>
      <c r="BF92" s="14">
        <f t="shared" si="91"/>
        <v>1.0064464192543978E-12</v>
      </c>
      <c r="BG92" s="22">
        <f t="shared" si="61"/>
        <v>1.8635787380168604E-12</v>
      </c>
      <c r="BH92" s="62">
        <f t="shared" si="62"/>
        <v>282.90556093755794</v>
      </c>
      <c r="BI92" s="62">
        <f ca="1">AVERAGE(OFFSET($BH$3,0,0,'Données projet'!$E$11+1,1))-AVERAGE(OFFSET($H$3,0,0,'Données projet'!$E$11+1,1))</f>
        <v>381.71417599784968</v>
      </c>
      <c r="BJ92" s="62">
        <f t="shared" si="92"/>
        <v>350.49230135197979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10.047185204023009</v>
      </c>
      <c r="BQ92" s="23">
        <f>EXP(-LN(2)/25)*BQ91+(1-EXP(-LN(2)/25))/(LN(2)/25)*Calculateur!BL92*Calculateur!BN92*VLOOKUP('Données projet'!$B$11,Paramètres!$A$1:$I$89,3,0)*0.475*44/12</f>
        <v>5.4749899073251491</v>
      </c>
      <c r="BR92" s="23">
        <f>EXP(-LN(2)/2)*BR91+(1-EXP(-LN(2)/2))/(LN(2)/2)*BL92*BO92*VLOOKUP('Données projet'!$B$11,Paramètres!$A$1:$I$89,3,0)*0.475*44/12</f>
        <v>9.1393369084353806E-8</v>
      </c>
      <c r="BS92" s="24">
        <f t="shared" si="63"/>
        <v>15.522175202741527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3.1036506698001178E-14</v>
      </c>
      <c r="CA92" s="14">
        <f t="shared" si="93"/>
        <v>5.3428243983771088E-13</v>
      </c>
      <c r="CB92" s="22">
        <f t="shared" si="64"/>
        <v>9.8459716521636505E-13</v>
      </c>
      <c r="CC92" s="62">
        <f t="shared" si="65"/>
        <v>282.90556093755703</v>
      </c>
      <c r="CD92" s="62">
        <f ca="1">AVERAGE(OFFSET($CC$3,0,0,'Données projet'!$E$12+1,1))-AVERAGE(OFFSET($H$3,0,0,'Données projet'!$E$12+1,1))</f>
        <v>202.72043399839748</v>
      </c>
      <c r="CE92" s="62">
        <f t="shared" si="94"/>
        <v>295.50255983395789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1.1383134571423679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1.1383134571423679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4.9658410716801891E-14</v>
      </c>
      <c r="CV92" s="14">
        <f t="shared" si="95"/>
        <v>8.0934058173791862E-13</v>
      </c>
      <c r="CW92" s="22">
        <f t="shared" si="67"/>
        <v>1.4960899118586383E-12</v>
      </c>
      <c r="CX92" s="62">
        <f t="shared" si="68"/>
        <v>282.90556093755754</v>
      </c>
      <c r="CY92" s="62">
        <f ca="1">AVERAGE(OFFSET($CX$3,0,0,'Données projet'!$E$13+1,1))-AVERAGE(OFFSET($H$3,0,0,'Données projet'!$E$13+1,1))</f>
        <v>297.56177871222496</v>
      </c>
      <c r="CZ92" s="62">
        <f t="shared" si="96"/>
        <v>421.5717731815397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6.5914032120574495</v>
      </c>
      <c r="DH92" s="23">
        <f>EXP(-LN(2)/2)*DH91+(1-EXP(-LN(2)/2))/(LN(2)/2)*DB92*DE92*VLOOKUP('Données projet'!$B$13,Paramètres!$A$1:$I$89,3,0)*0.475*44/12</f>
        <v>2.1450110772534234E-8</v>
      </c>
      <c r="DI92" s="24">
        <f t="shared" si="69"/>
        <v>6.5914032335075605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752.99999999999977</v>
      </c>
      <c r="DP92" s="18">
        <f>DO92*VLOOKUP('Données projet'!$B$14,Paramètres!$A$1:$I$89,3,0)*VLOOKUP('Données projet'!$B$14,Paramètres!$A$1:$I$89,5,0)</f>
        <v>552.09959999999978</v>
      </c>
      <c r="DQ92" s="14">
        <f t="shared" si="97"/>
        <v>122.01091055125165</v>
      </c>
      <c r="DR92" s="22">
        <f t="shared" si="70"/>
        <v>1174.0758058767628</v>
      </c>
      <c r="DS92" s="62">
        <f t="shared" si="71"/>
        <v>1456.9813668143188</v>
      </c>
      <c r="DT92" s="62">
        <f ca="1">AVERAGE(OFFSET($DS$3,0,0,'Données projet'!$E$14+1,1))-AVERAGE(OFFSET($H$3,0,0,'Données projet'!$E$14+1,1))</f>
        <v>667.0152731006724</v>
      </c>
      <c r="DU92" s="62">
        <f t="shared" si="98"/>
        <v>567.40780872008088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4.550849426571995</v>
      </c>
      <c r="EC92" s="23">
        <f>EXP(-LN(2)/2)*EC91+(1-EXP(-LN(2)/2))/(LN(2)/2)*DW92*DZ92*VLOOKUP('Données projet'!$B$14,Paramètres!$A$1:$I$89,3,0)*0.475*44/12</f>
        <v>1.953425498373175E-8</v>
      </c>
      <c r="ED92" s="24">
        <f t="shared" si="72"/>
        <v>4.5508494461062501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312.98591999999996</v>
      </c>
      <c r="EL92" s="14">
        <f t="shared" si="99"/>
        <v>73.892060789929147</v>
      </c>
      <c r="EM92" s="22">
        <f t="shared" si="73"/>
        <v>673.81248320912653</v>
      </c>
      <c r="EN92" s="62">
        <f t="shared" si="74"/>
        <v>956.71804414668259</v>
      </c>
      <c r="EO92" s="62">
        <f ca="1">AVERAGE(OFFSET($EN$3,0,0,'Données projet'!$E$15+1,1))-AVERAGE(OFFSET($H$3,0,0,'Données projet'!$E$15+1,1))</f>
        <v>454.99849419289757</v>
      </c>
      <c r="EP92" s="62">
        <f t="shared" si="100"/>
        <v>288.86643267991928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67.156062073878928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2.7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20.00700000000003</v>
      </c>
      <c r="D93" s="12">
        <f t="shared" si="86"/>
        <v>6.5054367007718463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58.589351527805377</v>
      </c>
      <c r="H93" s="70">
        <f t="shared" si="56"/>
        <v>263.24249392051104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926.5687808397829</v>
      </c>
      <c r="S93" s="62">
        <f ca="1">AVERAGE(OFFSET($R$3,0,0,'Données projet'!$E$9+1,1))-AVERAGE(OFFSET($H$3,0,0,'Données projet'!$E$9+1,1))</f>
        <v>427.57091071251745</v>
      </c>
      <c r="T93" s="62">
        <f t="shared" si="88"/>
        <v>272.62827206514726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1002.4076369538684</v>
      </c>
      <c r="AN93" s="62">
        <f ca="1">AVERAGE(OFFSET($AM$3,0,0,'Données projet'!$E$10+1,1))-AVERAGE(OFFSET($H$3,0,0,'Données projet'!$E$10+1,1))</f>
        <v>475.54515523869958</v>
      </c>
      <c r="AO93" s="62">
        <f t="shared" si="90"/>
        <v>301.02979240961452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1.9386754523616743</v>
      </c>
      <c r="AW93" s="23">
        <f>EXP(-LN(2)/2)*AW92+(1-EXP(-LN(2)/2))/(LN(2)/2)*AQ93*AT93*VLOOKUP('Données projet'!$B$10,Paramètres!$A$1:$I$89,3,0)*0.475*44/12</f>
        <v>1.5561683294463615E-8</v>
      </c>
      <c r="AX93" s="23">
        <f t="shared" si="60"/>
        <v>1.9386754679233575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6.3550942286383367E-14</v>
      </c>
      <c r="BF93" s="14">
        <f t="shared" si="91"/>
        <v>1.0064464192543978E-12</v>
      </c>
      <c r="BG93" s="22">
        <f t="shared" si="61"/>
        <v>1.8635787380168604E-12</v>
      </c>
      <c r="BH93" s="62">
        <f t="shared" si="62"/>
        <v>283.0864594756182</v>
      </c>
      <c r="BI93" s="62">
        <f ca="1">AVERAGE(OFFSET($BH$3,0,0,'Données projet'!$E$11+1,1))-AVERAGE(OFFSET($H$3,0,0,'Données projet'!$E$11+1,1))</f>
        <v>381.71417599784968</v>
      </c>
      <c r="BJ93" s="62">
        <f t="shared" si="92"/>
        <v>350.49230135197979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9.8501660303499854</v>
      </c>
      <c r="BQ93" s="23">
        <f>EXP(-LN(2)/25)*BQ92+(1-EXP(-LN(2)/25))/(LN(2)/25)*Calculateur!BL93*Calculateur!BN93*VLOOKUP('Données projet'!$B$11,Paramètres!$A$1:$I$89,3,0)*0.475*44/12</f>
        <v>5.3252760203921365</v>
      </c>
      <c r="BR93" s="23">
        <f>EXP(-LN(2)/2)*BR92+(1-EXP(-LN(2)/2))/(LN(2)/2)*BL93*BO93*VLOOKUP('Données projet'!$B$11,Paramètres!$A$1:$I$89,3,0)*0.475*44/12</f>
        <v>6.4624871035031542E-8</v>
      </c>
      <c r="BS93" s="24">
        <f t="shared" si="63"/>
        <v>15.175442115366993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3.1036506698001178E-14</v>
      </c>
      <c r="CA93" s="14">
        <f t="shared" si="93"/>
        <v>5.3428243983771088E-13</v>
      </c>
      <c r="CB93" s="22">
        <f t="shared" si="64"/>
        <v>9.8459716521636505E-13</v>
      </c>
      <c r="CC93" s="62">
        <f t="shared" si="65"/>
        <v>283.08645947561729</v>
      </c>
      <c r="CD93" s="62">
        <f ca="1">AVERAGE(OFFSET($CC$3,0,0,'Données projet'!$E$12+1,1))-AVERAGE(OFFSET($H$3,0,0,'Données projet'!$E$12+1,1))</f>
        <v>202.72043399839748</v>
      </c>
      <c r="CE93" s="62">
        <f t="shared" si="94"/>
        <v>295.50255983395789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1.1071862157955068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1.1071862157955068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4.9658410716801891E-14</v>
      </c>
      <c r="CV93" s="14">
        <f t="shared" si="95"/>
        <v>8.0934058173791862E-13</v>
      </c>
      <c r="CW93" s="22">
        <f t="shared" si="67"/>
        <v>1.4960899118586383E-12</v>
      </c>
      <c r="CX93" s="62">
        <f t="shared" si="68"/>
        <v>283.0864594756178</v>
      </c>
      <c r="CY93" s="62">
        <f ca="1">AVERAGE(OFFSET($CX$3,0,0,'Données projet'!$E$13+1,1))-AVERAGE(OFFSET($H$3,0,0,'Données projet'!$E$13+1,1))</f>
        <v>297.56177871222496</v>
      </c>
      <c r="CZ93" s="62">
        <f t="shared" si="96"/>
        <v>421.5717731815397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6.4111609445969089</v>
      </c>
      <c r="DH93" s="23">
        <f>EXP(-LN(2)/2)*DH92+(1-EXP(-LN(2)/2))/(LN(2)/2)*DB93*DE93*VLOOKUP('Données projet'!$B$13,Paramètres!$A$1:$I$89,3,0)*0.475*44/12</f>
        <v>1.516751878446157E-8</v>
      </c>
      <c r="DI93" s="24">
        <f t="shared" si="69"/>
        <v>6.4111609597644277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752.99999999999977</v>
      </c>
      <c r="DP93" s="18">
        <f>DO93*VLOOKUP('Données projet'!$B$14,Paramètres!$A$1:$I$89,3,0)*VLOOKUP('Données projet'!$B$14,Paramètres!$A$1:$I$89,5,0)</f>
        <v>552.09959999999978</v>
      </c>
      <c r="DQ93" s="14">
        <f t="shared" si="97"/>
        <v>122.01091055125165</v>
      </c>
      <c r="DR93" s="22">
        <f t="shared" si="70"/>
        <v>1174.0758058767628</v>
      </c>
      <c r="DS93" s="62">
        <f t="shared" si="71"/>
        <v>1457.1622653523791</v>
      </c>
      <c r="DT93" s="62">
        <f ca="1">AVERAGE(OFFSET($DS$3,0,0,'Données projet'!$E$14+1,1))-AVERAGE(OFFSET($H$3,0,0,'Données projet'!$E$14+1,1))</f>
        <v>667.0152731006724</v>
      </c>
      <c r="DU93" s="62">
        <f t="shared" si="98"/>
        <v>567.40780872008088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4.4264062096836136</v>
      </c>
      <c r="EC93" s="23">
        <f>EXP(-LN(2)/2)*EC92+(1-EXP(-LN(2)/2))/(LN(2)/2)*DW93*DZ93*VLOOKUP('Données projet'!$B$14,Paramètres!$A$1:$I$89,3,0)*0.475*44/12</f>
        <v>1.3812804164423832E-8</v>
      </c>
      <c r="ED93" s="24">
        <f t="shared" si="72"/>
        <v>4.4264062234964179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319.17599999999993</v>
      </c>
      <c r="EL93" s="14">
        <f t="shared" si="99"/>
        <v>75.181878718947672</v>
      </c>
      <c r="EM93" s="22">
        <f t="shared" si="73"/>
        <v>686.83997210216705</v>
      </c>
      <c r="EN93" s="62">
        <f t="shared" si="74"/>
        <v>969.92643157778343</v>
      </c>
      <c r="EO93" s="62">
        <f ca="1">AVERAGE(OFFSET($EN$3,0,0,'Données projet'!$E$15+1,1))-AVERAGE(OFFSET($H$3,0,0,'Données projet'!$E$15+1,1))</f>
        <v>454.99849419289757</v>
      </c>
      <c r="EP93" s="62">
        <f t="shared" si="100"/>
        <v>288.86643267991928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67.205398038804447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2.7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20.22930000000003</v>
      </c>
      <c r="D94" s="12">
        <f t="shared" si="86"/>
        <v>6.5692645005168213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59.141527983453585</v>
      </c>
      <c r="H94" s="70">
        <f t="shared" si="56"/>
        <v>263.74083317173353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884.77673941128683</v>
      </c>
      <c r="S94" s="62">
        <f ca="1">AVERAGE(OFFSET($R$3,0,0,'Données projet'!$E$9+1,1))-AVERAGE(OFFSET($H$3,0,0,'Données projet'!$E$9+1,1))</f>
        <v>427.57091071251745</v>
      </c>
      <c r="T94" s="62">
        <f t="shared" si="88"/>
        <v>272.62827206514726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312.31199999999995</v>
      </c>
      <c r="AK94" s="14">
        <f t="shared" si="89"/>
        <v>73.751458791112015</v>
      </c>
      <c r="AL94" s="22">
        <f t="shared" si="58"/>
        <v>672.39385739452007</v>
      </c>
      <c r="AM94" s="62">
        <f t="shared" si="59"/>
        <v>955.65807722298973</v>
      </c>
      <c r="AN94" s="62">
        <f ca="1">AVERAGE(OFFSET($AM$3,0,0,'Données projet'!$E$10+1,1))-AVERAGE(OFFSET($H$3,0,0,'Données projet'!$E$10+1,1))</f>
        <v>475.54515523869958</v>
      </c>
      <c r="AO94" s="62">
        <f t="shared" si="90"/>
        <v>301.02979240961452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1.8856622701663333</v>
      </c>
      <c r="AW94" s="23">
        <f>EXP(-LN(2)/2)*AW93+(1-EXP(-LN(2)/2))/(LN(2)/2)*AQ94*AT94*VLOOKUP('Données projet'!$B$10,Paramètres!$A$1:$I$89,3,0)*0.475*44/12</f>
        <v>1.1003771784192635E-8</v>
      </c>
      <c r="AX94" s="23">
        <f t="shared" si="60"/>
        <v>1.8856622811701051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6.3550942286383367E-14</v>
      </c>
      <c r="BF94" s="14">
        <f t="shared" si="91"/>
        <v>1.0064464192543978E-12</v>
      </c>
      <c r="BG94" s="22">
        <f t="shared" si="61"/>
        <v>1.8635787380168604E-12</v>
      </c>
      <c r="BH94" s="62">
        <f t="shared" si="62"/>
        <v>283.26421982847154</v>
      </c>
      <c r="BI94" s="62">
        <f ca="1">AVERAGE(OFFSET($BH$3,0,0,'Données projet'!$E$11+1,1))-AVERAGE(OFFSET($H$3,0,0,'Données projet'!$E$11+1,1))</f>
        <v>381.71417599784968</v>
      </c>
      <c r="BJ94" s="62">
        <f t="shared" si="92"/>
        <v>350.49230135197979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9.6570102825028599</v>
      </c>
      <c r="BQ94" s="23">
        <f>EXP(-LN(2)/25)*BQ93+(1-EXP(-LN(2)/25))/(LN(2)/25)*Calculateur!BL94*Calculateur!BN94*VLOOKUP('Données projet'!$B$11,Paramètres!$A$1:$I$89,3,0)*0.475*44/12</f>
        <v>5.1796560675704191</v>
      </c>
      <c r="BR94" s="23">
        <f>EXP(-LN(2)/2)*BR93+(1-EXP(-LN(2)/2))/(LN(2)/2)*BL94*BO94*VLOOKUP('Données projet'!$B$11,Paramètres!$A$1:$I$89,3,0)*0.475*44/12</f>
        <v>4.5696684542176903E-8</v>
      </c>
      <c r="BS94" s="24">
        <f t="shared" si="63"/>
        <v>14.836666395769964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3.1036506698001178E-14</v>
      </c>
      <c r="CA94" s="14">
        <f t="shared" si="93"/>
        <v>5.3428243983771088E-13</v>
      </c>
      <c r="CB94" s="22">
        <f t="shared" si="64"/>
        <v>9.8459716521636505E-13</v>
      </c>
      <c r="CC94" s="62">
        <f t="shared" si="65"/>
        <v>283.26421982847063</v>
      </c>
      <c r="CD94" s="62">
        <f ca="1">AVERAGE(OFFSET($CC$3,0,0,'Données projet'!$E$12+1,1))-AVERAGE(OFFSET($H$3,0,0,'Données projet'!$E$12+1,1))</f>
        <v>202.72043399839748</v>
      </c>
      <c r="CE94" s="62">
        <f t="shared" si="94"/>
        <v>295.50255983395789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1.0769101505001861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1.0769101505001861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4.9658410716801891E-14</v>
      </c>
      <c r="CV94" s="14">
        <f t="shared" si="95"/>
        <v>8.0934058173791862E-13</v>
      </c>
      <c r="CW94" s="22">
        <f t="shared" si="67"/>
        <v>1.4960899118586383E-12</v>
      </c>
      <c r="CX94" s="62">
        <f t="shared" si="68"/>
        <v>283.26421982847114</v>
      </c>
      <c r="CY94" s="62">
        <f ca="1">AVERAGE(OFFSET($CX$3,0,0,'Données projet'!$E$13+1,1))-AVERAGE(OFFSET($H$3,0,0,'Données projet'!$E$13+1,1))</f>
        <v>297.56177871222496</v>
      </c>
      <c r="CZ94" s="62">
        <f t="shared" si="96"/>
        <v>421.5717731815397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6.2358474114186055</v>
      </c>
      <c r="DH94" s="23">
        <f>EXP(-LN(2)/2)*DH93+(1-EXP(-LN(2)/2))/(LN(2)/2)*DB94*DE94*VLOOKUP('Données projet'!$B$13,Paramètres!$A$1:$I$89,3,0)*0.475*44/12</f>
        <v>1.0725055386267117E-8</v>
      </c>
      <c r="DI94" s="24">
        <f t="shared" si="69"/>
        <v>6.2358474221436611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752.99999999999977</v>
      </c>
      <c r="DP94" s="18">
        <f>DO94*VLOOKUP('Données projet'!$B$14,Paramètres!$A$1:$I$89,3,0)*VLOOKUP('Données projet'!$B$14,Paramètres!$A$1:$I$89,5,0)</f>
        <v>552.09959999999978</v>
      </c>
      <c r="DQ94" s="14">
        <f t="shared" si="97"/>
        <v>122.01091055125165</v>
      </c>
      <c r="DR94" s="22">
        <f t="shared" si="70"/>
        <v>1174.0758058767628</v>
      </c>
      <c r="DS94" s="62">
        <f t="shared" si="71"/>
        <v>1457.3400257052326</v>
      </c>
      <c r="DT94" s="62">
        <f ca="1">AVERAGE(OFFSET($DS$3,0,0,'Données projet'!$E$14+1,1))-AVERAGE(OFFSET($H$3,0,0,'Données projet'!$E$14+1,1))</f>
        <v>667.0152731006724</v>
      </c>
      <c r="DU94" s="62">
        <f t="shared" si="98"/>
        <v>567.40780872008088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4.3053658991052295</v>
      </c>
      <c r="EC94" s="23">
        <f>EXP(-LN(2)/2)*EC93+(1-EXP(-LN(2)/2))/(LN(2)/2)*DW94*DZ94*VLOOKUP('Données projet'!$B$14,Paramètres!$A$1:$I$89,3,0)*0.475*44/12</f>
        <v>9.7671274918658748E-9</v>
      </c>
      <c r="ED94" s="24">
        <f t="shared" si="72"/>
        <v>4.305365908872357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297.89759999999995</v>
      </c>
      <c r="EL94" s="14">
        <f t="shared" si="99"/>
        <v>70.735539446826479</v>
      </c>
      <c r="EM94" s="22">
        <f t="shared" si="73"/>
        <v>642.03605120322266</v>
      </c>
      <c r="EN94" s="62">
        <f t="shared" si="74"/>
        <v>925.30027103169232</v>
      </c>
      <c r="EO94" s="62">
        <f ca="1">AVERAGE(OFFSET($EN$3,0,0,'Données projet'!$E$15+1,1))-AVERAGE(OFFSET($H$3,0,0,'Données projet'!$E$15+1,1))</f>
        <v>454.99849419289757</v>
      </c>
      <c r="EP94" s="62">
        <f t="shared" si="100"/>
        <v>288.86643267991928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67.253878135037183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2.7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20.451600000000031</v>
      </c>
      <c r="D95" s="12">
        <f t="shared" si="86"/>
        <v>6.633010707247462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59.693546978898667</v>
      </c>
      <c r="H95" s="70">
        <f t="shared" si="56"/>
        <v>264.2390303151227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896.40357341611548</v>
      </c>
      <c r="S95" s="62">
        <f ca="1">AVERAGE(OFFSET($R$3,0,0,'Données projet'!$E$9+1,1))-AVERAGE(OFFSET($H$3,0,0,'Données projet'!$E$9+1,1))</f>
        <v>427.57091071251745</v>
      </c>
      <c r="T95" s="62">
        <f t="shared" si="88"/>
        <v>272.62827206514726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318.39599999999996</v>
      </c>
      <c r="AK95" s="14">
        <f t="shared" si="89"/>
        <v>75.019512724334945</v>
      </c>
      <c r="AL95" s="22">
        <f t="shared" si="58"/>
        <v>685.19868466154992</v>
      </c>
      <c r="AM95" s="62">
        <f t="shared" si="59"/>
        <v>968.63758109816354</v>
      </c>
      <c r="AN95" s="62">
        <f ca="1">AVERAGE(OFFSET($AM$3,0,0,'Données projet'!$E$10+1,1))-AVERAGE(OFFSET($H$3,0,0,'Données projet'!$E$10+1,1))</f>
        <v>475.54515523869958</v>
      </c>
      <c r="AO95" s="62">
        <f t="shared" si="90"/>
        <v>301.02979240961452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1.8340987362259658</v>
      </c>
      <c r="AW95" s="23">
        <f>EXP(-LN(2)/2)*AW94+(1-EXP(-LN(2)/2))/(LN(2)/2)*AQ95*AT95*VLOOKUP('Données projet'!$B$10,Paramètres!$A$1:$I$89,3,0)*0.475*44/12</f>
        <v>7.7808416472318073E-9</v>
      </c>
      <c r="AX95" s="23">
        <f t="shared" si="60"/>
        <v>1.8340987440068075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6.3550942286383367E-14</v>
      </c>
      <c r="BF95" s="14">
        <f t="shared" si="91"/>
        <v>1.0064464192543978E-12</v>
      </c>
      <c r="BG95" s="22">
        <f t="shared" si="61"/>
        <v>1.8635787380168604E-12</v>
      </c>
      <c r="BH95" s="62">
        <f t="shared" si="62"/>
        <v>283.43889643661555</v>
      </c>
      <c r="BI95" s="62">
        <f ca="1">AVERAGE(OFFSET($BH$3,0,0,'Données projet'!$E$11+1,1))-AVERAGE(OFFSET($H$3,0,0,'Données projet'!$E$11+1,1))</f>
        <v>381.71417599784968</v>
      </c>
      <c r="BJ95" s="62">
        <f t="shared" si="92"/>
        <v>350.49230135197979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9.4676422010576431</v>
      </c>
      <c r="BQ95" s="23">
        <f>EXP(-LN(2)/25)*BQ94+(1-EXP(-LN(2)/25))/(LN(2)/25)*Calculateur!BL95*Calculateur!BN95*VLOOKUP('Données projet'!$B$11,Paramètres!$A$1:$I$89,3,0)*0.475*44/12</f>
        <v>5.0380181000164317</v>
      </c>
      <c r="BR95" s="23">
        <f>EXP(-LN(2)/2)*BR94+(1-EXP(-LN(2)/2))/(LN(2)/2)*BL95*BO95*VLOOKUP('Données projet'!$B$11,Paramètres!$A$1:$I$89,3,0)*0.475*44/12</f>
        <v>3.2312435517515771E-8</v>
      </c>
      <c r="BS95" s="24">
        <f t="shared" si="63"/>
        <v>14.50566033338651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3.1036506698001178E-14</v>
      </c>
      <c r="CA95" s="14">
        <f t="shared" si="93"/>
        <v>5.3428243983771088E-13</v>
      </c>
      <c r="CB95" s="22">
        <f t="shared" si="64"/>
        <v>9.8459716521636505E-13</v>
      </c>
      <c r="CC95" s="62">
        <f t="shared" si="65"/>
        <v>283.43889643661464</v>
      </c>
      <c r="CD95" s="62">
        <f ca="1">AVERAGE(OFFSET($CC$3,0,0,'Données projet'!$E$12+1,1))-AVERAGE(OFFSET($H$3,0,0,'Données projet'!$E$12+1,1))</f>
        <v>202.72043399839748</v>
      </c>
      <c r="CE95" s="62">
        <f t="shared" si="94"/>
        <v>295.50255983395789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1.0474619858025149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1.0474619858025149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4.9658410716801891E-14</v>
      </c>
      <c r="CV95" s="14">
        <f t="shared" si="95"/>
        <v>8.0934058173791862E-13</v>
      </c>
      <c r="CW95" s="22">
        <f t="shared" si="67"/>
        <v>1.4960899118586383E-12</v>
      </c>
      <c r="CX95" s="62">
        <f t="shared" si="68"/>
        <v>283.43889643661515</v>
      </c>
      <c r="CY95" s="62">
        <f ca="1">AVERAGE(OFFSET($CX$3,0,0,'Données projet'!$E$13+1,1))-AVERAGE(OFFSET($H$3,0,0,'Données projet'!$E$13+1,1))</f>
        <v>297.56177871222496</v>
      </c>
      <c r="CZ95" s="62">
        <f t="shared" si="96"/>
        <v>421.5717731815397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6.0653278360244007</v>
      </c>
      <c r="DH95" s="23">
        <f>EXP(-LN(2)/2)*DH94+(1-EXP(-LN(2)/2))/(LN(2)/2)*DB95*DE95*VLOOKUP('Données projet'!$B$13,Paramètres!$A$1:$I$89,3,0)*0.475*44/12</f>
        <v>7.5837593922307852E-9</v>
      </c>
      <c r="DI95" s="24">
        <f t="shared" si="69"/>
        <v>6.0653278436081601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752.99999999999977</v>
      </c>
      <c r="DP95" s="18">
        <f>DO95*VLOOKUP('Données projet'!$B$14,Paramètres!$A$1:$I$89,3,0)*VLOOKUP('Données projet'!$B$14,Paramètres!$A$1:$I$89,5,0)</f>
        <v>552.09959999999978</v>
      </c>
      <c r="DQ95" s="14">
        <f t="shared" si="97"/>
        <v>122.01091055125165</v>
      </c>
      <c r="DR95" s="22">
        <f t="shared" si="70"/>
        <v>1174.0758058767628</v>
      </c>
      <c r="DS95" s="62">
        <f t="shared" si="71"/>
        <v>1457.5147023133766</v>
      </c>
      <c r="DT95" s="62">
        <f ca="1">AVERAGE(OFFSET($DS$3,0,0,'Données projet'!$E$14+1,1))-AVERAGE(OFFSET($H$3,0,0,'Données projet'!$E$14+1,1))</f>
        <v>667.0152731006724</v>
      </c>
      <c r="DU95" s="62">
        <f t="shared" si="98"/>
        <v>567.40780872008088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4.1876354421848445</v>
      </c>
      <c r="EC95" s="23">
        <f>EXP(-LN(2)/2)*EC94+(1-EXP(-LN(2)/2))/(LN(2)/2)*DW95*DZ95*VLOOKUP('Données projet'!$B$14,Paramètres!$A$1:$I$89,3,0)*0.475*44/12</f>
        <v>6.9064020822119159E-9</v>
      </c>
      <c r="ED95" s="24">
        <f t="shared" si="72"/>
        <v>4.1876354490912462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303.70079999999996</v>
      </c>
      <c r="EL95" s="14">
        <f t="shared" si="99"/>
        <v>71.951738834397148</v>
      </c>
      <c r="EM95" s="22">
        <f t="shared" si="73"/>
        <v>654.26150513657501</v>
      </c>
      <c r="EN95" s="62">
        <f t="shared" si="74"/>
        <v>937.70040157318863</v>
      </c>
      <c r="EO95" s="62">
        <f ca="1">AVERAGE(OFFSET($EN$3,0,0,'Données projet'!$E$15+1,1))-AVERAGE(OFFSET($H$3,0,0,'Données projet'!$E$15+1,1))</f>
        <v>454.99849419289757</v>
      </c>
      <c r="EP95" s="62">
        <f t="shared" si="100"/>
        <v>288.86643267991928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67.301517209985548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2.7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20.673900000000032</v>
      </c>
      <c r="D96" s="12">
        <f t="shared" si="86"/>
        <v>6.6966763104903357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60.245410423753349</v>
      </c>
      <c r="H96" s="70">
        <f t="shared" si="56"/>
        <v>264.73708707410407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908.02294009362686</v>
      </c>
      <c r="S96" s="62">
        <f ca="1">AVERAGE(OFFSET($R$3,0,0,'Données projet'!$E$9+1,1))-AVERAGE(OFFSET($H$3,0,0,'Données projet'!$E$9+1,1))</f>
        <v>427.57091071251745</v>
      </c>
      <c r="T96" s="62">
        <f t="shared" si="88"/>
        <v>272.62827206514726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324.47999999999996</v>
      </c>
      <c r="AK96" s="14">
        <f t="shared" si="89"/>
        <v>76.284749200165507</v>
      </c>
      <c r="AL96" s="22">
        <f t="shared" si="58"/>
        <v>697.99860485695478</v>
      </c>
      <c r="AM96" s="62">
        <f t="shared" si="59"/>
        <v>981.6091476530795</v>
      </c>
      <c r="AN96" s="62">
        <f ca="1">AVERAGE(OFFSET($AM$3,0,0,'Données projet'!$E$10+1,1))-AVERAGE(OFFSET($H$3,0,0,'Données projet'!$E$10+1,1))</f>
        <v>475.54515523869958</v>
      </c>
      <c r="AO96" s="62">
        <f t="shared" si="90"/>
        <v>301.02979240961452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1.7839452098328061</v>
      </c>
      <c r="AW96" s="23">
        <f>EXP(-LN(2)/2)*AW95+(1-EXP(-LN(2)/2))/(LN(2)/2)*AQ96*AT96*VLOOKUP('Données projet'!$B$10,Paramètres!$A$1:$I$89,3,0)*0.475*44/12</f>
        <v>5.5018858920963176E-9</v>
      </c>
      <c r="AX96" s="23">
        <f t="shared" si="60"/>
        <v>1.783945215334692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6.3550942286383367E-14</v>
      </c>
      <c r="BF96" s="14">
        <f t="shared" si="91"/>
        <v>1.0064464192543978E-12</v>
      </c>
      <c r="BG96" s="22">
        <f t="shared" si="61"/>
        <v>1.8635787380168604E-12</v>
      </c>
      <c r="BH96" s="62">
        <f t="shared" si="62"/>
        <v>283.61054279612659</v>
      </c>
      <c r="BI96" s="62">
        <f ca="1">AVERAGE(OFFSET($BH$3,0,0,'Données projet'!$E$11+1,1))-AVERAGE(OFFSET($H$3,0,0,'Données projet'!$E$11+1,1))</f>
        <v>381.71417599784968</v>
      </c>
      <c r="BJ96" s="62">
        <f t="shared" si="92"/>
        <v>350.49230135197979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9.2819875121864417</v>
      </c>
      <c r="BQ96" s="23">
        <f>EXP(-LN(2)/25)*BQ95+(1-EXP(-LN(2)/25))/(LN(2)/25)*Calculateur!BL96*Calculateur!BN96*VLOOKUP('Données projet'!$B$11,Paramètres!$A$1:$I$89,3,0)*0.475*44/12</f>
        <v>4.9002532301336252</v>
      </c>
      <c r="BR96" s="23">
        <f>EXP(-LN(2)/2)*BR95+(1-EXP(-LN(2)/2))/(LN(2)/2)*BL96*BO96*VLOOKUP('Données projet'!$B$11,Paramètres!$A$1:$I$89,3,0)*0.475*44/12</f>
        <v>2.2848342271088451E-8</v>
      </c>
      <c r="BS96" s="24">
        <f t="shared" si="63"/>
        <v>14.182240765168409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3.1036506698001178E-14</v>
      </c>
      <c r="CA96" s="14">
        <f t="shared" si="93"/>
        <v>5.3428243983771088E-13</v>
      </c>
      <c r="CB96" s="22">
        <f t="shared" si="64"/>
        <v>9.8459716521636505E-13</v>
      </c>
      <c r="CC96" s="62">
        <f t="shared" si="65"/>
        <v>283.61054279612569</v>
      </c>
      <c r="CD96" s="62">
        <f ca="1">AVERAGE(OFFSET($CC$3,0,0,'Données projet'!$E$12+1,1))-AVERAGE(OFFSET($H$3,0,0,'Données projet'!$E$12+1,1))</f>
        <v>202.72043399839748</v>
      </c>
      <c r="CE96" s="62">
        <f t="shared" si="94"/>
        <v>295.50255983395789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1.0188190827171133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1.0188190827171133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4.9658410716801891E-14</v>
      </c>
      <c r="CV96" s="14">
        <f t="shared" si="95"/>
        <v>8.0934058173791862E-13</v>
      </c>
      <c r="CW96" s="22">
        <f t="shared" si="67"/>
        <v>1.4960899118586383E-12</v>
      </c>
      <c r="CX96" s="62">
        <f t="shared" si="68"/>
        <v>283.6105427961262</v>
      </c>
      <c r="CY96" s="62">
        <f ca="1">AVERAGE(OFFSET($CX$3,0,0,'Données projet'!$E$13+1,1))-AVERAGE(OFFSET($H$3,0,0,'Données projet'!$E$13+1,1))</f>
        <v>297.56177871222496</v>
      </c>
      <c r="CZ96" s="62">
        <f t="shared" si="96"/>
        <v>421.5717731815397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5.899471127386585</v>
      </c>
      <c r="DH96" s="23">
        <f>EXP(-LN(2)/2)*DH95+(1-EXP(-LN(2)/2))/(LN(2)/2)*DB96*DE96*VLOOKUP('Données projet'!$B$13,Paramètres!$A$1:$I$89,3,0)*0.475*44/12</f>
        <v>5.3625276931335586E-9</v>
      </c>
      <c r="DI96" s="24">
        <f t="shared" si="69"/>
        <v>5.8994711327491123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752.99999999999977</v>
      </c>
      <c r="DP96" s="18">
        <f>DO96*VLOOKUP('Données projet'!$B$14,Paramètres!$A$1:$I$89,3,0)*VLOOKUP('Données projet'!$B$14,Paramètres!$A$1:$I$89,5,0)</f>
        <v>552.09959999999978</v>
      </c>
      <c r="DQ96" s="14">
        <f t="shared" si="97"/>
        <v>122.01091055125165</v>
      </c>
      <c r="DR96" s="22">
        <f t="shared" si="70"/>
        <v>1174.0758058767628</v>
      </c>
      <c r="DS96" s="62">
        <f t="shared" si="71"/>
        <v>1457.6863486728876</v>
      </c>
      <c r="DT96" s="62">
        <f ca="1">AVERAGE(OFFSET($DS$3,0,0,'Données projet'!$E$14+1,1))-AVERAGE(OFFSET($H$3,0,0,'Données projet'!$E$14+1,1))</f>
        <v>667.0152731006724</v>
      </c>
      <c r="DU96" s="62">
        <f t="shared" si="98"/>
        <v>567.40780872008088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4.0731243308001233</v>
      </c>
      <c r="EC96" s="23">
        <f>EXP(-LN(2)/2)*EC95+(1-EXP(-LN(2)/2))/(LN(2)/2)*DW96*DZ96*VLOOKUP('Données projet'!$B$14,Paramètres!$A$1:$I$89,3,0)*0.475*44/12</f>
        <v>4.8835637459329374E-9</v>
      </c>
      <c r="ED96" s="24">
        <f t="shared" si="72"/>
        <v>4.073124335683687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309.50399999999996</v>
      </c>
      <c r="EL96" s="14">
        <f t="shared" si="99"/>
        <v>73.165235978896504</v>
      </c>
      <c r="EM96" s="22">
        <f t="shared" si="73"/>
        <v>666.48225266324471</v>
      </c>
      <c r="EN96" s="62">
        <f t="shared" si="74"/>
        <v>950.09279545936943</v>
      </c>
      <c r="EO96" s="62">
        <f ca="1">AVERAGE(OFFSET($EN$3,0,0,'Données projet'!$E$15+1,1))-AVERAGE(OFFSET($H$3,0,0,'Données projet'!$E$15+1,1))</f>
        <v>454.99849419289757</v>
      </c>
      <c r="EP96" s="62">
        <f t="shared" si="100"/>
        <v>288.86643267991928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67.348329853488565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2.7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20.896200000000032</v>
      </c>
      <c r="D97" s="12">
        <f t="shared" si="86"/>
        <v>6.7602622772661505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60.797120184197908</v>
      </c>
      <c r="H97" s="70">
        <f t="shared" si="56"/>
        <v>265.23500513290531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919.63498480069552</v>
      </c>
      <c r="S97" s="62">
        <f ca="1">AVERAGE(OFFSET($R$3,0,0,'Données projet'!$E$9+1,1))-AVERAGE(OFFSET($H$3,0,0,'Données projet'!$E$9+1,1))</f>
        <v>427.57091071251745</v>
      </c>
      <c r="T97" s="62">
        <f t="shared" si="88"/>
        <v>272.62827206514726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330.56399999999996</v>
      </c>
      <c r="AK97" s="14">
        <f t="shared" si="89"/>
        <v>77.547227137682853</v>
      </c>
      <c r="AL97" s="22">
        <f t="shared" si="58"/>
        <v>710.79372059813079</v>
      </c>
      <c r="AM97" s="62">
        <f t="shared" si="59"/>
        <v>994.57293207317298</v>
      </c>
      <c r="AN97" s="62">
        <f ca="1">AVERAGE(OFFSET($AM$3,0,0,'Données projet'!$E$10+1,1))-AVERAGE(OFFSET($H$3,0,0,'Données projet'!$E$10+1,1))</f>
        <v>475.54515523869958</v>
      </c>
      <c r="AO97" s="62">
        <f t="shared" si="90"/>
        <v>301.02979240961452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1.7351631342563267</v>
      </c>
      <c r="AW97" s="23">
        <f>EXP(-LN(2)/2)*AW96+(1-EXP(-LN(2)/2))/(LN(2)/2)*AQ97*AT97*VLOOKUP('Données projet'!$B$10,Paramètres!$A$1:$I$89,3,0)*0.475*44/12</f>
        <v>3.8904208236159036E-9</v>
      </c>
      <c r="AX97" s="23">
        <f t="shared" si="60"/>
        <v>1.7351631381467476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6.3550942286383367E-14</v>
      </c>
      <c r="BF97" s="14">
        <f t="shared" si="91"/>
        <v>1.0064464192543978E-12</v>
      </c>
      <c r="BG97" s="22">
        <f t="shared" si="61"/>
        <v>1.8635787380168604E-12</v>
      </c>
      <c r="BH97" s="62">
        <f t="shared" si="62"/>
        <v>283.77921147504401</v>
      </c>
      <c r="BI97" s="62">
        <f ca="1">AVERAGE(OFFSET($BH$3,0,0,'Données projet'!$E$11+1,1))-AVERAGE(OFFSET($H$3,0,0,'Données projet'!$E$11+1,1))</f>
        <v>381.71417599784968</v>
      </c>
      <c r="BJ97" s="62">
        <f t="shared" si="92"/>
        <v>350.49230135197979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9.099973398525826</v>
      </c>
      <c r="BQ97" s="23">
        <f>EXP(-LN(2)/25)*BQ96+(1-EXP(-LN(2)/25))/(LN(2)/25)*Calculateur!BL97*Calculateur!BN97*VLOOKUP('Données projet'!$B$11,Paramètres!$A$1:$I$89,3,0)*0.475*44/12</f>
        <v>4.7662555478625039</v>
      </c>
      <c r="BR97" s="23">
        <f>EXP(-LN(2)/2)*BR96+(1-EXP(-LN(2)/2))/(LN(2)/2)*BL97*BO97*VLOOKUP('Données projet'!$B$11,Paramètres!$A$1:$I$89,3,0)*0.475*44/12</f>
        <v>1.6156217758757886E-8</v>
      </c>
      <c r="BS97" s="24">
        <f t="shared" si="63"/>
        <v>13.866228962544547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3.1036506698001178E-14</v>
      </c>
      <c r="CA97" s="14">
        <f t="shared" si="93"/>
        <v>5.3428243983771088E-13</v>
      </c>
      <c r="CB97" s="22">
        <f t="shared" si="64"/>
        <v>9.8459716521636505E-13</v>
      </c>
      <c r="CC97" s="62">
        <f t="shared" si="65"/>
        <v>283.7792114750431</v>
      </c>
      <c r="CD97" s="62">
        <f ca="1">AVERAGE(OFFSET($CC$3,0,0,'Données projet'!$E$12+1,1))-AVERAGE(OFFSET($H$3,0,0,'Données projet'!$E$12+1,1))</f>
        <v>202.72043399839748</v>
      </c>
      <c r="CE97" s="62">
        <f t="shared" si="94"/>
        <v>295.50255983395789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0.99095942132284687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0.99095942132284687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4.9658410716801891E-14</v>
      </c>
      <c r="CV97" s="14">
        <f t="shared" si="95"/>
        <v>8.0934058173791862E-13</v>
      </c>
      <c r="CW97" s="22">
        <f t="shared" si="67"/>
        <v>1.4960899118586383E-12</v>
      </c>
      <c r="CX97" s="62">
        <f t="shared" si="68"/>
        <v>283.77921147504361</v>
      </c>
      <c r="CY97" s="62">
        <f ca="1">AVERAGE(OFFSET($CX$3,0,0,'Données projet'!$E$13+1,1))-AVERAGE(OFFSET($H$3,0,0,'Données projet'!$E$13+1,1))</f>
        <v>297.56177871222496</v>
      </c>
      <c r="CZ97" s="62">
        <f t="shared" si="96"/>
        <v>421.5717731815397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5.7381497791684959</v>
      </c>
      <c r="DH97" s="23">
        <f>EXP(-LN(2)/2)*DH96+(1-EXP(-LN(2)/2))/(LN(2)/2)*DB97*DE97*VLOOKUP('Données projet'!$B$13,Paramètres!$A$1:$I$89,3,0)*0.475*44/12</f>
        <v>3.7918796961153926E-9</v>
      </c>
      <c r="DI97" s="24">
        <f t="shared" si="69"/>
        <v>5.7381497829603756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752.99999999999977</v>
      </c>
      <c r="DP97" s="18">
        <f>DO97*VLOOKUP('Données projet'!$B$14,Paramètres!$A$1:$I$89,3,0)*VLOOKUP('Données projet'!$B$14,Paramètres!$A$1:$I$89,5,0)</f>
        <v>552.09959999999978</v>
      </c>
      <c r="DQ97" s="14">
        <f t="shared" si="97"/>
        <v>122.01091055125165</v>
      </c>
      <c r="DR97" s="22">
        <f t="shared" si="70"/>
        <v>1174.0758058767628</v>
      </c>
      <c r="DS97" s="62">
        <f t="shared" si="71"/>
        <v>1457.8550173518049</v>
      </c>
      <c r="DT97" s="62">
        <f ca="1">AVERAGE(OFFSET($DS$3,0,0,'Données projet'!$E$14+1,1))-AVERAGE(OFFSET($H$3,0,0,'Données projet'!$E$14+1,1))</f>
        <v>667.0152731006724</v>
      </c>
      <c r="DU97" s="62">
        <f t="shared" si="98"/>
        <v>567.40780872008088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3.9617445317780944</v>
      </c>
      <c r="EC97" s="23">
        <f>EXP(-LN(2)/2)*EC96+(1-EXP(-LN(2)/2))/(LN(2)/2)*DW97*DZ97*VLOOKUP('Données projet'!$B$14,Paramètres!$A$1:$I$89,3,0)*0.475*44/12</f>
        <v>3.453201041105958E-9</v>
      </c>
      <c r="ED97" s="24">
        <f t="shared" si="72"/>
        <v>3.9617445352312952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315.30719999999997</v>
      </c>
      <c r="EL97" s="14">
        <f t="shared" si="99"/>
        <v>74.376087390025049</v>
      </c>
      <c r="EM97" s="22">
        <f t="shared" si="73"/>
        <v>678.69839220429355</v>
      </c>
      <c r="EN97" s="62">
        <f t="shared" si="74"/>
        <v>962.47760367933574</v>
      </c>
      <c r="EO97" s="62">
        <f ca="1">AVERAGE(OFFSET($EN$3,0,0,'Données projet'!$E$15+1,1))-AVERAGE(OFFSET($H$3,0,0,'Données projet'!$E$15+1,1))</f>
        <v>454.99849419289757</v>
      </c>
      <c r="EP97" s="62">
        <f t="shared" si="100"/>
        <v>288.86643267991928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67.394330402284226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2.7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21.118500000000033</v>
      </c>
      <c r="D98" s="12">
        <f t="shared" si="86"/>
        <v>6.8237695528355076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61.348678084419468</v>
      </c>
      <c r="H98" s="70">
        <f t="shared" si="56"/>
        <v>265.73278613785527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931.23984837119156</v>
      </c>
      <c r="S98" s="62">
        <f ca="1">AVERAGE(OFFSET($R$3,0,0,'Données projet'!$E$9+1,1))-AVERAGE(OFFSET($H$3,0,0,'Données projet'!$E$9+1,1))</f>
        <v>427.57091071251745</v>
      </c>
      <c r="T98" s="62">
        <f t="shared" si="88"/>
        <v>272.62827206514726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336.64799999999997</v>
      </c>
      <c r="AK98" s="14">
        <f t="shared" si="89"/>
        <v>78.807003163010378</v>
      </c>
      <c r="AL98" s="22">
        <f t="shared" si="58"/>
        <v>723.58413050890977</v>
      </c>
      <c r="AM98" s="62">
        <f t="shared" si="59"/>
        <v>1007.5290846383766</v>
      </c>
      <c r="AN98" s="62">
        <f ca="1">AVERAGE(OFFSET($AM$3,0,0,'Données projet'!$E$10+1,1))-AVERAGE(OFFSET($H$3,0,0,'Données projet'!$E$10+1,1))</f>
        <v>475.54515523869958</v>
      </c>
      <c r="AO98" s="62">
        <f t="shared" si="90"/>
        <v>301.02979240961452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1.6877150071018241</v>
      </c>
      <c r="AW98" s="23">
        <f>EXP(-LN(2)/2)*AW97+(1-EXP(-LN(2)/2))/(LN(2)/2)*AQ98*AT98*VLOOKUP('Données projet'!$B$10,Paramètres!$A$1:$I$89,3,0)*0.475*44/12</f>
        <v>2.7509429460481588E-9</v>
      </c>
      <c r="AX98" s="23">
        <f t="shared" si="60"/>
        <v>1.6877150098527671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6.3550942286383367E-14</v>
      </c>
      <c r="BF98" s="14">
        <f t="shared" si="91"/>
        <v>1.0064464192543978E-12</v>
      </c>
      <c r="BG98" s="22">
        <f t="shared" si="61"/>
        <v>1.8635787380168604E-12</v>
      </c>
      <c r="BH98" s="62">
        <f t="shared" si="62"/>
        <v>283.94495412946878</v>
      </c>
      <c r="BI98" s="62">
        <f ca="1">AVERAGE(OFFSET($BH$3,0,0,'Données projet'!$E$11+1,1))-AVERAGE(OFFSET($H$3,0,0,'Données projet'!$E$11+1,1))</f>
        <v>381.71417599784968</v>
      </c>
      <c r="BJ98" s="62">
        <f t="shared" si="92"/>
        <v>350.49230135197979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8.9215284706164475</v>
      </c>
      <c r="BQ98" s="23">
        <f>EXP(-LN(2)/25)*BQ97+(1-EXP(-LN(2)/25))/(LN(2)/25)*Calculateur!BL98*Calculateur!BN98*VLOOKUP('Données projet'!$B$11,Paramètres!$A$1:$I$89,3,0)*0.475*44/12</f>
        <v>4.635922039259718</v>
      </c>
      <c r="BR98" s="23">
        <f>EXP(-LN(2)/2)*BR97+(1-EXP(-LN(2)/2))/(LN(2)/2)*BL98*BO98*VLOOKUP('Données projet'!$B$11,Paramètres!$A$1:$I$89,3,0)*0.475*44/12</f>
        <v>1.1424171135544226E-8</v>
      </c>
      <c r="BS98" s="24">
        <f t="shared" si="63"/>
        <v>13.557450521300337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3.1036506698001178E-14</v>
      </c>
      <c r="CA98" s="14">
        <f t="shared" si="93"/>
        <v>5.3428243983771088E-13</v>
      </c>
      <c r="CB98" s="22">
        <f t="shared" si="64"/>
        <v>9.8459716521636505E-13</v>
      </c>
      <c r="CC98" s="62">
        <f t="shared" si="65"/>
        <v>283.94495412946787</v>
      </c>
      <c r="CD98" s="62">
        <f ca="1">AVERAGE(OFFSET($CC$3,0,0,'Données projet'!$E$12+1,1))-AVERAGE(OFFSET($H$3,0,0,'Données projet'!$E$12+1,1))</f>
        <v>202.72043399839748</v>
      </c>
      <c r="CE98" s="62">
        <f t="shared" si="94"/>
        <v>295.50255983395789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0.9638615838344825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0.9638615838344825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4.9658410716801891E-14</v>
      </c>
      <c r="CV98" s="14">
        <f t="shared" si="95"/>
        <v>8.0934058173791862E-13</v>
      </c>
      <c r="CW98" s="22">
        <f t="shared" si="67"/>
        <v>1.4960899118586383E-12</v>
      </c>
      <c r="CX98" s="62">
        <f t="shared" si="68"/>
        <v>283.94495412946839</v>
      </c>
      <c r="CY98" s="62">
        <f ca="1">AVERAGE(OFFSET($CX$3,0,0,'Données projet'!$E$13+1,1))-AVERAGE(OFFSET($H$3,0,0,'Données projet'!$E$13+1,1))</f>
        <v>297.56177871222496</v>
      </c>
      <c r="CZ98" s="62">
        <f t="shared" si="96"/>
        <v>421.5717731815397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5.5812397717009512</v>
      </c>
      <c r="DH98" s="23">
        <f>EXP(-LN(2)/2)*DH97+(1-EXP(-LN(2)/2))/(LN(2)/2)*DB98*DE98*VLOOKUP('Données projet'!$B$13,Paramètres!$A$1:$I$89,3,0)*0.475*44/12</f>
        <v>2.6812638465667793E-9</v>
      </c>
      <c r="DI98" s="24">
        <f t="shared" si="69"/>
        <v>5.5812397743822153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752.99999999999977</v>
      </c>
      <c r="DP98" s="18">
        <f>DO98*VLOOKUP('Données projet'!$B$14,Paramètres!$A$1:$I$89,3,0)*VLOOKUP('Données projet'!$B$14,Paramètres!$A$1:$I$89,5,0)</f>
        <v>552.09959999999978</v>
      </c>
      <c r="DQ98" s="14">
        <f t="shared" si="97"/>
        <v>122.01091055125165</v>
      </c>
      <c r="DR98" s="22">
        <f t="shared" si="70"/>
        <v>1174.0758058767628</v>
      </c>
      <c r="DS98" s="62">
        <f t="shared" si="71"/>
        <v>1458.0207600062297</v>
      </c>
      <c r="DT98" s="62">
        <f ca="1">AVERAGE(OFFSET($DS$3,0,0,'Données projet'!$E$14+1,1))-AVERAGE(OFFSET($H$3,0,0,'Données projet'!$E$14+1,1))</f>
        <v>667.0152731006724</v>
      </c>
      <c r="DU98" s="62">
        <f t="shared" si="98"/>
        <v>567.40780872008088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3.853410419217532</v>
      </c>
      <c r="EC98" s="23">
        <f>EXP(-LN(2)/2)*EC97+(1-EXP(-LN(2)/2))/(LN(2)/2)*DW98*DZ98*VLOOKUP('Données projet'!$B$14,Paramètres!$A$1:$I$89,3,0)*0.475*44/12</f>
        <v>2.4417818729664687E-9</v>
      </c>
      <c r="ED98" s="24">
        <f t="shared" si="72"/>
        <v>3.8534104216593139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321.11039999999997</v>
      </c>
      <c r="EL98" s="14">
        <f t="shared" si="99"/>
        <v>75.584347378293316</v>
      </c>
      <c r="EM98" s="22">
        <f t="shared" si="73"/>
        <v>690.91001835052748</v>
      </c>
      <c r="EN98" s="62">
        <f t="shared" si="74"/>
        <v>974.85497247999433</v>
      </c>
      <c r="EO98" s="62">
        <f ca="1">AVERAGE(OFFSET($EN$3,0,0,'Données projet'!$E$15+1,1))-AVERAGE(OFFSET($H$3,0,0,'Données projet'!$E$15+1,1))</f>
        <v>454.99849419289757</v>
      </c>
      <c r="EP98" s="62">
        <f t="shared" si="100"/>
        <v>288.86643267991928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67.439532944400071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2.7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21.340800000000034</v>
      </c>
      <c r="D99" s="12">
        <f t="shared" si="86"/>
        <v>6.887199061412332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61.900085907988782</v>
      </c>
      <c r="H99" s="70">
        <f t="shared" si="56"/>
        <v>266.23043169862655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889.05645988684455</v>
      </c>
      <c r="S99" s="62">
        <f ca="1">AVERAGE(OFFSET($R$3,0,0,'Données projet'!$E$9+1,1))-AVERAGE(OFFSET($H$3,0,0,'Données projet'!$E$9+1,1))</f>
        <v>427.57091071251745</v>
      </c>
      <c r="T99" s="62">
        <f t="shared" si="88"/>
        <v>272.62827206514726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314.13719999999995</v>
      </c>
      <c r="AK99" s="14">
        <f t="shared" si="89"/>
        <v>74.132174405952824</v>
      </c>
      <c r="AL99" s="22">
        <f t="shared" si="58"/>
        <v>676.23582709036771</v>
      </c>
      <c r="AM99" s="62">
        <f t="shared" si="59"/>
        <v>960.34364860975029</v>
      </c>
      <c r="AN99" s="62">
        <f ca="1">AVERAGE(OFFSET($AM$3,0,0,'Données projet'!$E$10+1,1))-AVERAGE(OFFSET($H$3,0,0,'Données projet'!$E$10+1,1))</f>
        <v>475.54515523869958</v>
      </c>
      <c r="AO99" s="62">
        <f t="shared" si="90"/>
        <v>301.02979240961452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1.6415643514795497</v>
      </c>
      <c r="AW99" s="23">
        <f>EXP(-LN(2)/2)*AW98+(1-EXP(-LN(2)/2))/(LN(2)/2)*AQ99*AT99*VLOOKUP('Données projet'!$B$10,Paramètres!$A$1:$I$89,3,0)*0.475*44/12</f>
        <v>1.9452104118079518E-9</v>
      </c>
      <c r="AX99" s="23">
        <f t="shared" si="60"/>
        <v>1.6415643534247601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6.3550942286383367E-14</v>
      </c>
      <c r="BF99" s="14">
        <f t="shared" si="91"/>
        <v>1.0064464192543978E-12</v>
      </c>
      <c r="BG99" s="22">
        <f t="shared" si="61"/>
        <v>1.8635787380168604E-12</v>
      </c>
      <c r="BH99" s="62">
        <f t="shared" si="62"/>
        <v>284.1078215193844</v>
      </c>
      <c r="BI99" s="62">
        <f ca="1">AVERAGE(OFFSET($BH$3,0,0,'Données projet'!$E$11+1,1))-AVERAGE(OFFSET($H$3,0,0,'Données projet'!$E$11+1,1))</f>
        <v>381.71417599784968</v>
      </c>
      <c r="BJ99" s="62">
        <f t="shared" si="92"/>
        <v>350.49230135197979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8.7465827389027133</v>
      </c>
      <c r="BQ99" s="23">
        <f>EXP(-LN(2)/25)*BQ98+(1-EXP(-LN(2)/25))/(LN(2)/25)*Calculateur!BL99*Calculateur!BN99*VLOOKUP('Données projet'!$B$11,Paramètres!$A$1:$I$89,3,0)*0.475*44/12</f>
        <v>4.5091525073036163</v>
      </c>
      <c r="BR99" s="23">
        <f>EXP(-LN(2)/2)*BR98+(1-EXP(-LN(2)/2))/(LN(2)/2)*BL99*BO99*VLOOKUP('Données projet'!$B$11,Paramètres!$A$1:$I$89,3,0)*0.475*44/12</f>
        <v>8.0781088793789428E-9</v>
      </c>
      <c r="BS99" s="24">
        <f t="shared" si="63"/>
        <v>13.255735254284438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3.1036506698001178E-14</v>
      </c>
      <c r="CA99" s="14">
        <f t="shared" si="93"/>
        <v>5.3428243983771088E-13</v>
      </c>
      <c r="CB99" s="22">
        <f t="shared" si="64"/>
        <v>9.8459716521636505E-13</v>
      </c>
      <c r="CC99" s="62">
        <f t="shared" si="65"/>
        <v>284.10782151938349</v>
      </c>
      <c r="CD99" s="62">
        <f ca="1">AVERAGE(OFFSET($CC$3,0,0,'Données projet'!$E$12+1,1))-AVERAGE(OFFSET($H$3,0,0,'Données projet'!$E$12+1,1))</f>
        <v>202.72043399839748</v>
      </c>
      <c r="CE99" s="62">
        <f t="shared" si="94"/>
        <v>295.50255983395789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0.93750473813725077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0.93750473813725077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4.9658410716801891E-14</v>
      </c>
      <c r="CV99" s="14">
        <f t="shared" si="95"/>
        <v>8.0934058173791862E-13</v>
      </c>
      <c r="CW99" s="22">
        <f t="shared" si="67"/>
        <v>1.4960899118586383E-12</v>
      </c>
      <c r="CX99" s="62">
        <f t="shared" si="68"/>
        <v>284.107821519384</v>
      </c>
      <c r="CY99" s="62">
        <f ca="1">AVERAGE(OFFSET($CX$3,0,0,'Données projet'!$E$13+1,1))-AVERAGE(OFFSET($H$3,0,0,'Données projet'!$E$13+1,1))</f>
        <v>297.56177871222496</v>
      </c>
      <c r="CZ99" s="62">
        <f t="shared" si="96"/>
        <v>421.5717731815397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5.4286204766391455</v>
      </c>
      <c r="DH99" s="23">
        <f>EXP(-LN(2)/2)*DH98+(1-EXP(-LN(2)/2))/(LN(2)/2)*DB99*DE99*VLOOKUP('Données projet'!$B$13,Paramètres!$A$1:$I$89,3,0)*0.475*44/12</f>
        <v>1.8959398480576963E-9</v>
      </c>
      <c r="DI99" s="24">
        <f t="shared" si="69"/>
        <v>5.4286204785350849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752.99999999999977</v>
      </c>
      <c r="DP99" s="18">
        <f>DO99*VLOOKUP('Données projet'!$B$14,Paramètres!$A$1:$I$89,3,0)*VLOOKUP('Données projet'!$B$14,Paramètres!$A$1:$I$89,5,0)</f>
        <v>552.09959999999978</v>
      </c>
      <c r="DQ99" s="14">
        <f t="shared" si="97"/>
        <v>122.01091055125165</v>
      </c>
      <c r="DR99" s="22">
        <f t="shared" si="70"/>
        <v>1174.0758058767628</v>
      </c>
      <c r="DS99" s="62">
        <f t="shared" si="71"/>
        <v>1458.1836273961453</v>
      </c>
      <c r="DT99" s="62">
        <f ca="1">AVERAGE(OFFSET($DS$3,0,0,'Données projet'!$E$14+1,1))-AVERAGE(OFFSET($H$3,0,0,'Données projet'!$E$14+1,1))</f>
        <v>667.0152731006724</v>
      </c>
      <c r="DU99" s="62">
        <f t="shared" si="98"/>
        <v>567.40780872008088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3.7480387086619817</v>
      </c>
      <c r="EC99" s="23">
        <f>EXP(-LN(2)/2)*EC98+(1-EXP(-LN(2)/2))/(LN(2)/2)*DW99*DZ99*VLOOKUP('Données projet'!$B$14,Paramètres!$A$1:$I$89,3,0)*0.475*44/12</f>
        <v>1.726600520552979E-9</v>
      </c>
      <c r="ED99" s="24">
        <f t="shared" si="72"/>
        <v>3.7480387103885824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299.63855999999998</v>
      </c>
      <c r="EL99" s="14">
        <f t="shared" si="99"/>
        <v>71.100686453177502</v>
      </c>
      <c r="EM99" s="22">
        <f t="shared" si="73"/>
        <v>645.70418757261734</v>
      </c>
      <c r="EN99" s="62">
        <f t="shared" si="74"/>
        <v>929.81200909199993</v>
      </c>
      <c r="EO99" s="62">
        <f ca="1">AVERAGE(OFFSET($EN$3,0,0,'Données projet'!$E$15+1,1))-AVERAGE(OFFSET($H$3,0,0,'Données projet'!$E$15+1,1))</f>
        <v>454.99849419289757</v>
      </c>
      <c r="EP99" s="62">
        <f t="shared" si="100"/>
        <v>288.86643267991928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67.483951323467963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2.7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21.563100000000034</v>
      </c>
      <c r="D100" s="12">
        <f t="shared" si="86"/>
        <v>6.9505517068467322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62.451345399177981</v>
      </c>
      <c r="H100" s="70">
        <f t="shared" si="56"/>
        <v>266.72794338942481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900.28569587215486</v>
      </c>
      <c r="S100" s="62">
        <f ca="1">AVERAGE(OFFSET($R$3,0,0,'Données projet'!$E$9+1,1))-AVERAGE(OFFSET($H$3,0,0,'Données projet'!$E$9+1,1))</f>
        <v>427.57091071251745</v>
      </c>
      <c r="T100" s="62">
        <f t="shared" si="88"/>
        <v>272.62827206514726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320.01839999999999</v>
      </c>
      <c r="AK100" s="14">
        <f t="shared" si="89"/>
        <v>75.357182127856944</v>
      </c>
      <c r="AL100" s="22">
        <f t="shared" si="58"/>
        <v>688.61247220601751</v>
      </c>
      <c r="AM100" s="62">
        <f t="shared" si="59"/>
        <v>972.88033573021755</v>
      </c>
      <c r="AN100" s="62">
        <f ca="1">AVERAGE(OFFSET($AM$3,0,0,'Données projet'!$E$10+1,1))-AVERAGE(OFFSET($H$3,0,0,'Données projet'!$E$10+1,1))</f>
        <v>475.54515523869958</v>
      </c>
      <c r="AO100" s="62">
        <f t="shared" si="90"/>
        <v>301.02979240961452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1.5966756879622239</v>
      </c>
      <c r="AW100" s="23">
        <f>EXP(-LN(2)/2)*AW99+(1-EXP(-LN(2)/2))/(LN(2)/2)*AQ100*AT100*VLOOKUP('Données projet'!$B$10,Paramètres!$A$1:$I$89,3,0)*0.475*44/12</f>
        <v>1.3754714730240794E-9</v>
      </c>
      <c r="AX100" s="23">
        <f t="shared" si="60"/>
        <v>1.5966756893376954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6.3550942286383367E-14</v>
      </c>
      <c r="BF100" s="14">
        <f t="shared" si="91"/>
        <v>1.0064464192543978E-12</v>
      </c>
      <c r="BG100" s="22">
        <f t="shared" si="61"/>
        <v>1.8635787380168604E-12</v>
      </c>
      <c r="BH100" s="62">
        <f t="shared" si="62"/>
        <v>284.26786352420191</v>
      </c>
      <c r="BI100" s="62">
        <f ca="1">AVERAGE(OFFSET($BH$3,0,0,'Données projet'!$E$11+1,1))-AVERAGE(OFFSET($H$3,0,0,'Données projet'!$E$11+1,1))</f>
        <v>381.71417599784968</v>
      </c>
      <c r="BJ100" s="62">
        <f t="shared" si="92"/>
        <v>350.49230135197979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8.5750675862815253</v>
      </c>
      <c r="BQ100" s="23">
        <f>EXP(-LN(2)/25)*BQ99+(1-EXP(-LN(2)/25))/(LN(2)/25)*Calculateur!BL100*Calculateur!BN100*VLOOKUP('Données projet'!$B$11,Paramètres!$A$1:$I$89,3,0)*0.475*44/12</f>
        <v>4.3858494948653739</v>
      </c>
      <c r="BR100" s="23">
        <f>EXP(-LN(2)/2)*BR99+(1-EXP(-LN(2)/2))/(LN(2)/2)*BL100*BO100*VLOOKUP('Données projet'!$B$11,Paramètres!$A$1:$I$89,3,0)*0.475*44/12</f>
        <v>5.7120855677721129E-9</v>
      </c>
      <c r="BS100" s="24">
        <f t="shared" si="63"/>
        <v>12.960917086858984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3.1036506698001178E-14</v>
      </c>
      <c r="CA100" s="14">
        <f t="shared" si="93"/>
        <v>5.3428243983771088E-13</v>
      </c>
      <c r="CB100" s="22">
        <f t="shared" si="64"/>
        <v>9.8459716521636505E-13</v>
      </c>
      <c r="CC100" s="62">
        <f t="shared" si="65"/>
        <v>284.267863524201</v>
      </c>
      <c r="CD100" s="62">
        <f ca="1">AVERAGE(OFFSET($CC$3,0,0,'Données projet'!$E$12+1,1))-AVERAGE(OFFSET($H$3,0,0,'Données projet'!$E$12+1,1))</f>
        <v>202.72043399839748</v>
      </c>
      <c r="CE100" s="62">
        <f t="shared" si="94"/>
        <v>295.50255983395789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0.91186862177165617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0.91186862177165617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4.9658410716801891E-14</v>
      </c>
      <c r="CV100" s="14">
        <f t="shared" si="95"/>
        <v>8.0934058173791862E-13</v>
      </c>
      <c r="CW100" s="22">
        <f t="shared" si="67"/>
        <v>1.4960899118586383E-12</v>
      </c>
      <c r="CX100" s="62">
        <f t="shared" si="68"/>
        <v>284.26786352420152</v>
      </c>
      <c r="CY100" s="62">
        <f ca="1">AVERAGE(OFFSET($CX$3,0,0,'Données projet'!$E$13+1,1))-AVERAGE(OFFSET($H$3,0,0,'Données projet'!$E$13+1,1))</f>
        <v>297.56177871222496</v>
      </c>
      <c r="CZ100" s="62">
        <f t="shared" si="96"/>
        <v>421.5717731815397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5.2801745642267042</v>
      </c>
      <c r="DH100" s="23">
        <f>EXP(-LN(2)/2)*DH99+(1-EXP(-LN(2)/2))/(LN(2)/2)*DB100*DE100*VLOOKUP('Données projet'!$B$13,Paramètres!$A$1:$I$89,3,0)*0.475*44/12</f>
        <v>1.3406319232833897E-9</v>
      </c>
      <c r="DI100" s="24">
        <f t="shared" si="69"/>
        <v>5.2801745655673358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752.99999999999977</v>
      </c>
      <c r="DP100" s="18">
        <f>DO100*VLOOKUP('Données projet'!$B$14,Paramètres!$A$1:$I$89,3,0)*VLOOKUP('Données projet'!$B$14,Paramètres!$A$1:$I$89,5,0)</f>
        <v>552.09959999999978</v>
      </c>
      <c r="DQ100" s="14">
        <f t="shared" si="97"/>
        <v>122.01091055125165</v>
      </c>
      <c r="DR100" s="22">
        <f t="shared" si="70"/>
        <v>1174.0758058767628</v>
      </c>
      <c r="DS100" s="62">
        <f t="shared" si="71"/>
        <v>1458.3436694009629</v>
      </c>
      <c r="DT100" s="62">
        <f ca="1">AVERAGE(OFFSET($DS$3,0,0,'Données projet'!$E$14+1,1))-AVERAGE(OFFSET($H$3,0,0,'Données projet'!$E$14+1,1))</f>
        <v>667.0152731006724</v>
      </c>
      <c r="DU100" s="62">
        <f t="shared" si="98"/>
        <v>567.40780872008088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3.6455483930728305</v>
      </c>
      <c r="EC100" s="23">
        <f>EXP(-LN(2)/2)*EC99+(1-EXP(-LN(2)/2))/(LN(2)/2)*DW100*DZ100*VLOOKUP('Données projet'!$B$14,Paramètres!$A$1:$I$89,3,0)*0.475*44/12</f>
        <v>1.2208909364832343E-9</v>
      </c>
      <c r="ED100" s="24">
        <f t="shared" si="72"/>
        <v>3.6455483942937215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305.24831999999998</v>
      </c>
      <c r="EL100" s="14">
        <f t="shared" si="99"/>
        <v>72.275599918697424</v>
      </c>
      <c r="EM100" s="22">
        <f t="shared" si="73"/>
        <v>657.5208271917312</v>
      </c>
      <c r="EN100" s="62">
        <f t="shared" si="74"/>
        <v>941.78869071593124</v>
      </c>
      <c r="EO100" s="62">
        <f ca="1">AVERAGE(OFFSET($EN$3,0,0,'Données projet'!$E$15+1,1))-AVERAGE(OFFSET($H$3,0,0,'Données projet'!$E$15+1,1))</f>
        <v>454.99849419289757</v>
      </c>
      <c r="EP100" s="62">
        <f t="shared" si="100"/>
        <v>288.86643267991928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67.527599142963652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2.7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21.785400000000035</v>
      </c>
      <c r="D101" s="12">
        <f t="shared" si="86"/>
        <v>7.013828373278912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63.00245826422254</v>
      </c>
      <c r="H101" s="70">
        <f t="shared" si="56"/>
        <v>267.22532275012753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911.50803276503393</v>
      </c>
      <c r="S101" s="62">
        <f ca="1">AVERAGE(OFFSET($R$3,0,0,'Données projet'!$E$9+1,1))-AVERAGE(OFFSET($H$3,0,0,'Données projet'!$E$9+1,1))</f>
        <v>427.57091071251745</v>
      </c>
      <c r="T101" s="62">
        <f t="shared" si="88"/>
        <v>272.62827206514726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325.89960000000002</v>
      </c>
      <c r="AK101" s="14">
        <f t="shared" si="89"/>
        <v>76.579572003009503</v>
      </c>
      <c r="AL101" s="22">
        <f t="shared" si="58"/>
        <v>700.98455790524156</v>
      </c>
      <c r="AM101" s="62">
        <f t="shared" si="59"/>
        <v>985.4096870632759</v>
      </c>
      <c r="AN101" s="62">
        <f ca="1">AVERAGE(OFFSET($AM$3,0,0,'Données projet'!$E$10+1,1))-AVERAGE(OFFSET($H$3,0,0,'Données projet'!$E$10+1,1))</f>
        <v>475.54515523869958</v>
      </c>
      <c r="AO101" s="62">
        <f t="shared" si="90"/>
        <v>301.02979240961452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1.5530145073093717</v>
      </c>
      <c r="AW101" s="23">
        <f>EXP(-LN(2)/2)*AW100+(1-EXP(-LN(2)/2))/(LN(2)/2)*AQ101*AT101*VLOOKUP('Données projet'!$B$10,Paramètres!$A$1:$I$89,3,0)*0.475*44/12</f>
        <v>9.7260520590397591E-10</v>
      </c>
      <c r="AX101" s="23">
        <f t="shared" si="60"/>
        <v>1.5530145082819768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6.3550942286383367E-14</v>
      </c>
      <c r="BF101" s="14">
        <f t="shared" si="91"/>
        <v>1.0064464192543978E-12</v>
      </c>
      <c r="BG101" s="22">
        <f t="shared" si="61"/>
        <v>1.8635787380168604E-12</v>
      </c>
      <c r="BH101" s="62">
        <f t="shared" si="62"/>
        <v>284.42512915803616</v>
      </c>
      <c r="BI101" s="62">
        <f ca="1">AVERAGE(OFFSET($BH$3,0,0,'Données projet'!$E$11+1,1))-AVERAGE(OFFSET($H$3,0,0,'Données projet'!$E$11+1,1))</f>
        <v>381.71417599784968</v>
      </c>
      <c r="BJ101" s="62">
        <f t="shared" si="92"/>
        <v>350.49230135197979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8.4069157411893247</v>
      </c>
      <c r="BQ101" s="23">
        <f>EXP(-LN(2)/25)*BQ100+(1-EXP(-LN(2)/25))/(LN(2)/25)*Calculateur!BL101*Calculateur!BN101*VLOOKUP('Données projet'!$B$11,Paramètres!$A$1:$I$89,3,0)*0.475*44/12</f>
        <v>4.265918209786479</v>
      </c>
      <c r="BR101" s="23">
        <f>EXP(-LN(2)/2)*BR100+(1-EXP(-LN(2)/2))/(LN(2)/2)*BL101*BO101*VLOOKUP('Données projet'!$B$11,Paramètres!$A$1:$I$89,3,0)*0.475*44/12</f>
        <v>4.0390544396894714E-9</v>
      </c>
      <c r="BS101" s="24">
        <f t="shared" si="63"/>
        <v>12.672833955014859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3.1036506698001178E-14</v>
      </c>
      <c r="CA101" s="14">
        <f t="shared" si="93"/>
        <v>5.3428243983771088E-13</v>
      </c>
      <c r="CB101" s="22">
        <f t="shared" si="64"/>
        <v>9.8459716521636505E-13</v>
      </c>
      <c r="CC101" s="62">
        <f t="shared" si="65"/>
        <v>284.42512915803525</v>
      </c>
      <c r="CD101" s="62">
        <f ca="1">AVERAGE(OFFSET($CC$3,0,0,'Données projet'!$E$12+1,1))-AVERAGE(OFFSET($H$3,0,0,'Données projet'!$E$12+1,1))</f>
        <v>202.72043399839748</v>
      </c>
      <c r="CE101" s="62">
        <f t="shared" si="94"/>
        <v>295.50255983395789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0.88693352635622347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0.88693352635622347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4.9658410716801891E-14</v>
      </c>
      <c r="CV101" s="14">
        <f t="shared" si="95"/>
        <v>8.0934058173791862E-13</v>
      </c>
      <c r="CW101" s="22">
        <f t="shared" si="67"/>
        <v>1.4960899118586383E-12</v>
      </c>
      <c r="CX101" s="62">
        <f t="shared" si="68"/>
        <v>284.42512915803576</v>
      </c>
      <c r="CY101" s="62">
        <f ca="1">AVERAGE(OFFSET($CX$3,0,0,'Données projet'!$E$13+1,1))-AVERAGE(OFFSET($H$3,0,0,'Données projet'!$E$13+1,1))</f>
        <v>297.56177871222496</v>
      </c>
      <c r="CZ101" s="62">
        <f t="shared" si="96"/>
        <v>421.5717731815397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5.135787913095613</v>
      </c>
      <c r="DH101" s="23">
        <f>EXP(-LN(2)/2)*DH100+(1-EXP(-LN(2)/2))/(LN(2)/2)*DB101*DE101*VLOOKUP('Données projet'!$B$13,Paramètres!$A$1:$I$89,3,0)*0.475*44/12</f>
        <v>9.4796992402884815E-10</v>
      </c>
      <c r="DI101" s="24">
        <f t="shared" si="69"/>
        <v>5.1357879140435827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752.99999999999977</v>
      </c>
      <c r="DP101" s="18">
        <f>DO101*VLOOKUP('Données projet'!$B$14,Paramètres!$A$1:$I$89,3,0)*VLOOKUP('Données projet'!$B$14,Paramètres!$A$1:$I$89,5,0)</f>
        <v>552.09959999999978</v>
      </c>
      <c r="DQ101" s="14">
        <f t="shared" si="97"/>
        <v>122.01091055125165</v>
      </c>
      <c r="DR101" s="22">
        <f t="shared" si="70"/>
        <v>1174.0758058767628</v>
      </c>
      <c r="DS101" s="62">
        <f t="shared" si="71"/>
        <v>1458.5009350347971</v>
      </c>
      <c r="DT101" s="62">
        <f ca="1">AVERAGE(OFFSET($DS$3,0,0,'Données projet'!$E$14+1,1))-AVERAGE(OFFSET($H$3,0,0,'Données projet'!$E$14+1,1))</f>
        <v>667.0152731006724</v>
      </c>
      <c r="DU101" s="62">
        <f t="shared" si="98"/>
        <v>567.40780872008088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3.5458606805531958</v>
      </c>
      <c r="EC101" s="23">
        <f>EXP(-LN(2)/2)*EC100+(1-EXP(-LN(2)/2))/(LN(2)/2)*DW101*DZ101*VLOOKUP('Données projet'!$B$14,Paramètres!$A$1:$I$89,3,0)*0.475*44/12</f>
        <v>8.6330026027648949E-10</v>
      </c>
      <c r="ED101" s="24">
        <f t="shared" si="72"/>
        <v>3.5458606814164959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310.85807999999997</v>
      </c>
      <c r="EL101" s="14">
        <f t="shared" si="99"/>
        <v>73.448002589106309</v>
      </c>
      <c r="EM101" s="22">
        <f t="shared" si="73"/>
        <v>669.33309384269342</v>
      </c>
      <c r="EN101" s="62">
        <f t="shared" si="74"/>
        <v>953.75822300072764</v>
      </c>
      <c r="EO101" s="62">
        <f ca="1">AVERAGE(OFFSET($EN$3,0,0,'Données projet'!$E$15+1,1))-AVERAGE(OFFSET($H$3,0,0,'Données projet'!$E$15+1,1))</f>
        <v>454.99849419289757</v>
      </c>
      <c r="EP101" s="62">
        <f t="shared" si="100"/>
        <v>288.86643267991928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67.570489770372987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2.7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22.007700000000035</v>
      </c>
      <c r="D102" s="12">
        <f t="shared" si="86"/>
        <v>7.0770299257655918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63.553426172530166</v>
      </c>
      <c r="H102" s="70">
        <f t="shared" si="56"/>
        <v>267.72257128737516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922.72360171007404</v>
      </c>
      <c r="S102" s="62">
        <f ca="1">AVERAGE(OFFSET($R$3,0,0,'Données projet'!$E$9+1,1))-AVERAGE(OFFSET($H$3,0,0,'Données projet'!$E$9+1,1))</f>
        <v>427.57091071251745</v>
      </c>
      <c r="T102" s="62">
        <f t="shared" si="88"/>
        <v>272.62827206514726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331.7808</v>
      </c>
      <c r="AK102" s="14">
        <f t="shared" si="89"/>
        <v>77.799396722557162</v>
      </c>
      <c r="AL102" s="22">
        <f t="shared" si="58"/>
        <v>713.3521759584537</v>
      </c>
      <c r="AM102" s="62">
        <f t="shared" si="59"/>
        <v>997.93184254316839</v>
      </c>
      <c r="AN102" s="62">
        <f ca="1">AVERAGE(OFFSET($AM$3,0,0,'Données projet'!$E$10+1,1))-AVERAGE(OFFSET($H$3,0,0,'Données projet'!$E$10+1,1))</f>
        <v>475.54515523869958</v>
      </c>
      <c r="AO102" s="62">
        <f t="shared" si="90"/>
        <v>301.02979240961452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1.5105472439375134</v>
      </c>
      <c r="AW102" s="23">
        <f>EXP(-LN(2)/2)*AW101+(1-EXP(-LN(2)/2))/(LN(2)/2)*AQ102*AT102*VLOOKUP('Données projet'!$B$10,Paramètres!$A$1:$I$89,3,0)*0.475*44/12</f>
        <v>6.877357365120397E-10</v>
      </c>
      <c r="AX102" s="23">
        <f t="shared" si="60"/>
        <v>1.510547244625249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6.3550942286383367E-14</v>
      </c>
      <c r="BF102" s="14">
        <f t="shared" si="91"/>
        <v>1.0064464192543978E-12</v>
      </c>
      <c r="BG102" s="22">
        <f t="shared" si="61"/>
        <v>1.8635787380168604E-12</v>
      </c>
      <c r="BH102" s="62">
        <f t="shared" si="62"/>
        <v>284.57966658471662</v>
      </c>
      <c r="BI102" s="62">
        <f ca="1">AVERAGE(OFFSET($BH$3,0,0,'Données projet'!$E$11+1,1))-AVERAGE(OFFSET($H$3,0,0,'Données projet'!$E$11+1,1))</f>
        <v>381.71417599784968</v>
      </c>
      <c r="BJ102" s="62">
        <f t="shared" si="92"/>
        <v>350.49230135197979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8.2420612512168852</v>
      </c>
      <c r="BQ102" s="23">
        <f>EXP(-LN(2)/25)*BQ101+(1-EXP(-LN(2)/25))/(LN(2)/25)*Calculateur!BL102*Calculateur!BN102*VLOOKUP('Données projet'!$B$11,Paramètres!$A$1:$I$89,3,0)*0.475*44/12</f>
        <v>4.1492664520049791</v>
      </c>
      <c r="BR102" s="23">
        <f>EXP(-LN(2)/2)*BR101+(1-EXP(-LN(2)/2))/(LN(2)/2)*BL102*BO102*VLOOKUP('Données projet'!$B$11,Paramètres!$A$1:$I$89,3,0)*0.475*44/12</f>
        <v>2.8560427838860564E-9</v>
      </c>
      <c r="BS102" s="24">
        <f t="shared" si="63"/>
        <v>12.391327706077908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3.1036506698001178E-14</v>
      </c>
      <c r="CA102" s="14">
        <f t="shared" si="93"/>
        <v>5.3428243983771088E-13</v>
      </c>
      <c r="CB102" s="22">
        <f t="shared" si="64"/>
        <v>9.8459716521636505E-13</v>
      </c>
      <c r="CC102" s="62">
        <f t="shared" si="65"/>
        <v>284.57966658471571</v>
      </c>
      <c r="CD102" s="62">
        <f ca="1">AVERAGE(OFFSET($CC$3,0,0,'Données projet'!$E$12+1,1))-AVERAGE(OFFSET($H$3,0,0,'Données projet'!$E$12+1,1))</f>
        <v>202.72043399839748</v>
      </c>
      <c r="CE102" s="62">
        <f t="shared" si="94"/>
        <v>295.50255983395789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0.86268028243620554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0.86268028243620554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4.9658410716801891E-14</v>
      </c>
      <c r="CV102" s="14">
        <f t="shared" si="95"/>
        <v>8.0934058173791862E-13</v>
      </c>
      <c r="CW102" s="22">
        <f t="shared" si="67"/>
        <v>1.4960899118586383E-12</v>
      </c>
      <c r="CX102" s="62">
        <f t="shared" si="68"/>
        <v>284.57966658471622</v>
      </c>
      <c r="CY102" s="62">
        <f ca="1">AVERAGE(OFFSET($CX$3,0,0,'Données projet'!$E$13+1,1))-AVERAGE(OFFSET($H$3,0,0,'Données projet'!$E$13+1,1))</f>
        <v>297.56177871222496</v>
      </c>
      <c r="CZ102" s="62">
        <f t="shared" si="96"/>
        <v>421.5717731815397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4.9953495225326652</v>
      </c>
      <c r="DH102" s="23">
        <f>EXP(-LN(2)/2)*DH101+(1-EXP(-LN(2)/2))/(LN(2)/2)*DB102*DE102*VLOOKUP('Données projet'!$B$13,Paramètres!$A$1:$I$89,3,0)*0.475*44/12</f>
        <v>6.7031596164169483E-10</v>
      </c>
      <c r="DI102" s="24">
        <f t="shared" si="69"/>
        <v>4.9953495232029814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752.99999999999977</v>
      </c>
      <c r="DP102" s="18">
        <f>DO102*VLOOKUP('Données projet'!$B$14,Paramètres!$A$1:$I$89,3,0)*VLOOKUP('Données projet'!$B$14,Paramètres!$A$1:$I$89,5,0)</f>
        <v>552.09959999999978</v>
      </c>
      <c r="DQ102" s="14">
        <f t="shared" si="97"/>
        <v>122.01091055125165</v>
      </c>
      <c r="DR102" s="22">
        <f t="shared" si="70"/>
        <v>1174.0758058767628</v>
      </c>
      <c r="DS102" s="62">
        <f t="shared" si="71"/>
        <v>1458.6554724614775</v>
      </c>
      <c r="DT102" s="62">
        <f ca="1">AVERAGE(OFFSET($DS$3,0,0,'Données projet'!$E$14+1,1))-AVERAGE(OFFSET($H$3,0,0,'Données projet'!$E$14+1,1))</f>
        <v>667.0152731006724</v>
      </c>
      <c r="DU102" s="62">
        <f t="shared" si="98"/>
        <v>567.40780872008088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3.4488989337747595</v>
      </c>
      <c r="EC102" s="23">
        <f>EXP(-LN(2)/2)*EC101+(1-EXP(-LN(2)/2))/(LN(2)/2)*DW102*DZ102*VLOOKUP('Données projet'!$B$14,Paramètres!$A$1:$I$89,3,0)*0.475*44/12</f>
        <v>6.1044546824161717E-10</v>
      </c>
      <c r="ED102" s="24">
        <f t="shared" si="72"/>
        <v>3.448898934385205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316.46784000000002</v>
      </c>
      <c r="EL102" s="14">
        <f t="shared" si="99"/>
        <v>74.617945000851194</v>
      </c>
      <c r="EM102" s="22">
        <f t="shared" si="73"/>
        <v>681.14107554314921</v>
      </c>
      <c r="EN102" s="62">
        <f t="shared" si="74"/>
        <v>965.72074212786401</v>
      </c>
      <c r="EO102" s="62">
        <f ca="1">AVERAGE(OFFSET($EN$3,0,0,'Données projet'!$E$15+1,1))-AVERAGE(OFFSET($H$3,0,0,'Données projet'!$E$15+1,1))</f>
        <v>454.99849419289757</v>
      </c>
      <c r="EP102" s="62">
        <f t="shared" si="100"/>
        <v>288.86643267991928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67.61263634128585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2.7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22.230000000000036</v>
      </c>
      <c r="D103" s="12">
        <f t="shared" si="86"/>
        <v>7.1401572108804494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64.104250757839537</v>
      </c>
      <c r="H103" s="70">
        <f t="shared" si="56"/>
        <v>268.21969047561686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933.93252990597807</v>
      </c>
      <c r="S103" s="62">
        <f ca="1">AVERAGE(OFFSET($R$3,0,0,'Données projet'!$E$9+1,1))-AVERAGE(OFFSET($H$3,0,0,'Données projet'!$E$9+1,1))</f>
        <v>427.57091071251745</v>
      </c>
      <c r="T103" s="62">
        <f t="shared" si="88"/>
        <v>272.62827206514726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1010.4469378287884</v>
      </c>
      <c r="AN103" s="62">
        <f ca="1">AVERAGE(OFFSET($AM$3,0,0,'Données projet'!$E$10+1,1))-AVERAGE(OFFSET($H$3,0,0,'Données projet'!$E$10+1,1))</f>
        <v>475.54515523869958</v>
      </c>
      <c r="AO103" s="62">
        <f t="shared" si="90"/>
        <v>301.02979240961452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1.469241250115815</v>
      </c>
      <c r="AW103" s="23">
        <f>EXP(-LN(2)/2)*AW102+(1-EXP(-LN(2)/2))/(LN(2)/2)*AQ103*AT103*VLOOKUP('Données projet'!$B$10,Paramètres!$A$1:$I$89,3,0)*0.475*44/12</f>
        <v>4.8630260295198796E-10</v>
      </c>
      <c r="AX103" s="23">
        <f t="shared" si="60"/>
        <v>1.4692412506021175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6.3550942286383367E-14</v>
      </c>
      <c r="BF103" s="14">
        <f t="shared" si="91"/>
        <v>1.0064464192543978E-12</v>
      </c>
      <c r="BG103" s="22">
        <f t="shared" si="61"/>
        <v>1.8635787380168604E-12</v>
      </c>
      <c r="BH103" s="62">
        <f t="shared" si="62"/>
        <v>284.73152313253814</v>
      </c>
      <c r="BI103" s="62">
        <f ca="1">AVERAGE(OFFSET($BH$3,0,0,'Données projet'!$E$11+1,1))-AVERAGE(OFFSET($H$3,0,0,'Données projet'!$E$11+1,1))</f>
        <v>381.71417599784968</v>
      </c>
      <c r="BJ103" s="62">
        <f t="shared" si="92"/>
        <v>350.49230135197979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8.0804394572414946</v>
      </c>
      <c r="BQ103" s="23">
        <f>EXP(-LN(2)/25)*BQ102+(1-EXP(-LN(2)/25))/(LN(2)/25)*Calculateur!BL103*Calculateur!BN103*VLOOKUP('Données projet'!$B$11,Paramètres!$A$1:$I$89,3,0)*0.475*44/12</f>
        <v>4.0358045426744633</v>
      </c>
      <c r="BR103" s="23">
        <f>EXP(-LN(2)/2)*BR102+(1-EXP(-LN(2)/2))/(LN(2)/2)*BL103*BO103*VLOOKUP('Données projet'!$B$11,Paramètres!$A$1:$I$89,3,0)*0.475*44/12</f>
        <v>2.0195272198447357E-9</v>
      </c>
      <c r="BS103" s="24">
        <f t="shared" si="63"/>
        <v>12.116244001935486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3.1036506698001178E-14</v>
      </c>
      <c r="CA103" s="14">
        <f t="shared" si="93"/>
        <v>5.3428243983771088E-13</v>
      </c>
      <c r="CB103" s="22">
        <f t="shared" si="64"/>
        <v>9.8459716521636505E-13</v>
      </c>
      <c r="CC103" s="62">
        <f t="shared" si="65"/>
        <v>284.73152313253723</v>
      </c>
      <c r="CD103" s="62">
        <f ca="1">AVERAGE(OFFSET($CC$3,0,0,'Données projet'!$E$12+1,1))-AVERAGE(OFFSET($H$3,0,0,'Données projet'!$E$12+1,1))</f>
        <v>202.72043399839748</v>
      </c>
      <c r="CE103" s="62">
        <f t="shared" si="94"/>
        <v>295.50255983395789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0.8390902447466031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0.8390902447466031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4.9658410716801891E-14</v>
      </c>
      <c r="CV103" s="14">
        <f t="shared" si="95"/>
        <v>8.0934058173791862E-13</v>
      </c>
      <c r="CW103" s="22">
        <f t="shared" si="67"/>
        <v>1.4960899118586383E-12</v>
      </c>
      <c r="CX103" s="62">
        <f t="shared" si="68"/>
        <v>284.73152313253775</v>
      </c>
      <c r="CY103" s="62">
        <f ca="1">AVERAGE(OFFSET($CX$3,0,0,'Données projet'!$E$13+1,1))-AVERAGE(OFFSET($H$3,0,0,'Données projet'!$E$13+1,1))</f>
        <v>297.56177871222496</v>
      </c>
      <c r="CZ103" s="62">
        <f t="shared" si="96"/>
        <v>421.5717731815397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4.8587514271449948</v>
      </c>
      <c r="DH103" s="23">
        <f>EXP(-LN(2)/2)*DH102+(1-EXP(-LN(2)/2))/(LN(2)/2)*DB103*DE103*VLOOKUP('Données projet'!$B$13,Paramètres!$A$1:$I$89,3,0)*0.475*44/12</f>
        <v>4.7398496201442407E-10</v>
      </c>
      <c r="DI103" s="24">
        <f t="shared" si="69"/>
        <v>4.85875142761898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752.99999999999977</v>
      </c>
      <c r="DP103" s="18">
        <f>DO103*VLOOKUP('Données projet'!$B$14,Paramètres!$A$1:$I$89,3,0)*VLOOKUP('Données projet'!$B$14,Paramètres!$A$1:$I$89,5,0)</f>
        <v>552.09959999999978</v>
      </c>
      <c r="DQ103" s="14">
        <f t="shared" si="97"/>
        <v>122.01091055125165</v>
      </c>
      <c r="DR103" s="22">
        <f t="shared" si="70"/>
        <v>1174.0758058767628</v>
      </c>
      <c r="DS103" s="62">
        <f t="shared" si="71"/>
        <v>1458.8073290092991</v>
      </c>
      <c r="DT103" s="62">
        <f ca="1">AVERAGE(OFFSET($DS$3,0,0,'Données projet'!$E$14+1,1))-AVERAGE(OFFSET($H$3,0,0,'Données projet'!$E$14+1,1))</f>
        <v>667.0152731006724</v>
      </c>
      <c r="DU103" s="62">
        <f t="shared" si="98"/>
        <v>567.40780872008088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3.3545886110609762</v>
      </c>
      <c r="EC103" s="23">
        <f>EXP(-LN(2)/2)*EC102+(1-EXP(-LN(2)/2))/(LN(2)/2)*DW103*DZ103*VLOOKUP('Données projet'!$B$14,Paramètres!$A$1:$I$89,3,0)*0.475*44/12</f>
        <v>4.3165013013824475E-10</v>
      </c>
      <c r="ED103" s="24">
        <f t="shared" si="72"/>
        <v>3.3545886114926264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322.07760000000002</v>
      </c>
      <c r="EL103" s="14">
        <f t="shared" si="99"/>
        <v>75.785475796129461</v>
      </c>
      <c r="EM103" s="22">
        <f t="shared" si="73"/>
        <v>692.94485701159203</v>
      </c>
      <c r="EN103" s="62">
        <f t="shared" si="74"/>
        <v>977.6763801441283</v>
      </c>
      <c r="EO103" s="62">
        <f ca="1">AVERAGE(OFFSET($EN$3,0,0,'Données projet'!$E$15+1,1))-AVERAGE(OFFSET($H$3,0,0,'Données projet'!$E$15+1,1))</f>
        <v>454.99849419289757</v>
      </c>
      <c r="EP103" s="62">
        <f t="shared" si="100"/>
        <v>288.86643267991928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67.654051763418977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2.7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22.452300000000037</v>
      </c>
      <c r="D104" s="12">
        <f t="shared" si="86"/>
        <v>7.2032110572898045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64.654933619331288</v>
      </c>
      <c r="H104" s="70">
        <f t="shared" si="56"/>
        <v>268.71668175811317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892.88337110152122</v>
      </c>
      <c r="S104" s="62">
        <f ca="1">AVERAGE(OFFSET($R$3,0,0,'Données projet'!$E$9+1,1))-AVERAGE(OFFSET($H$3,0,0,'Données projet'!$E$9+1,1))</f>
        <v>427.57091071251745</v>
      </c>
      <c r="T104" s="62">
        <f t="shared" si="88"/>
        <v>272.62827206514726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964.53128013519779</v>
      </c>
      <c r="AN104" s="62">
        <f ca="1">AVERAGE(OFFSET($AM$3,0,0,'Données projet'!$E$10+1,1))-AVERAGE(OFFSET($H$3,0,0,'Données projet'!$E$10+1,1))</f>
        <v>475.54515523869958</v>
      </c>
      <c r="AO104" s="62">
        <f t="shared" si="90"/>
        <v>301.02979240961452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1.4290647708673587</v>
      </c>
      <c r="AW104" s="23">
        <f>EXP(-LN(2)/2)*AW103+(1-EXP(-LN(2)/2))/(LN(2)/2)*AQ104*AT104*VLOOKUP('Données projet'!$B$10,Paramètres!$A$1:$I$89,3,0)*0.475*44/12</f>
        <v>3.4386786825601985E-10</v>
      </c>
      <c r="AX104" s="23">
        <f t="shared" si="60"/>
        <v>1.4290647712112265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6.3550942286383367E-14</v>
      </c>
      <c r="BF104" s="14">
        <f t="shared" si="91"/>
        <v>1.0064464192543978E-12</v>
      </c>
      <c r="BG104" s="22">
        <f t="shared" si="61"/>
        <v>1.8635787380168604E-12</v>
      </c>
      <c r="BH104" s="62">
        <f t="shared" si="62"/>
        <v>284.88074530875537</v>
      </c>
      <c r="BI104" s="62">
        <f ca="1">AVERAGE(OFFSET($BH$3,0,0,'Données projet'!$E$11+1,1))-AVERAGE(OFFSET($H$3,0,0,'Données projet'!$E$11+1,1))</f>
        <v>381.71417599784968</v>
      </c>
      <c r="BJ104" s="62">
        <f t="shared" si="92"/>
        <v>350.49230135197979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7.9219869680664008</v>
      </c>
      <c r="BQ104" s="23">
        <f>EXP(-LN(2)/25)*BQ103+(1-EXP(-LN(2)/25))/(LN(2)/25)*Calculateur!BL104*Calculateur!BN104*VLOOKUP('Données projet'!$B$11,Paramètres!$A$1:$I$89,3,0)*0.475*44/12</f>
        <v>3.9254452552212933</v>
      </c>
      <c r="BR104" s="23">
        <f>EXP(-LN(2)/2)*BR103+(1-EXP(-LN(2)/2))/(LN(2)/2)*BL104*BO104*VLOOKUP('Données projet'!$B$11,Paramètres!$A$1:$I$89,3,0)*0.475*44/12</f>
        <v>1.4280213919430282E-9</v>
      </c>
      <c r="BS104" s="24">
        <f t="shared" si="63"/>
        <v>11.847432224715716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3.1036506698001178E-14</v>
      </c>
      <c r="CA104" s="14">
        <f t="shared" si="93"/>
        <v>5.3428243983771088E-13</v>
      </c>
      <c r="CB104" s="22">
        <f t="shared" si="64"/>
        <v>9.8459716521636505E-13</v>
      </c>
      <c r="CC104" s="62">
        <f t="shared" si="65"/>
        <v>284.88074530875446</v>
      </c>
      <c r="CD104" s="62">
        <f ca="1">AVERAGE(OFFSET($CC$3,0,0,'Données projet'!$E$12+1,1))-AVERAGE(OFFSET($H$3,0,0,'Données projet'!$E$12+1,1))</f>
        <v>202.72043399839748</v>
      </c>
      <c r="CE104" s="62">
        <f t="shared" si="94"/>
        <v>295.50255983395789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0.81614527787816904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0.81614527787816904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4.9658410716801891E-14</v>
      </c>
      <c r="CV104" s="14">
        <f t="shared" si="95"/>
        <v>8.0934058173791862E-13</v>
      </c>
      <c r="CW104" s="22">
        <f t="shared" si="67"/>
        <v>1.4960899118586383E-12</v>
      </c>
      <c r="CX104" s="62">
        <f t="shared" si="68"/>
        <v>284.88074530875497</v>
      </c>
      <c r="CY104" s="62">
        <f ca="1">AVERAGE(OFFSET($CX$3,0,0,'Données projet'!$E$13+1,1))-AVERAGE(OFFSET($H$3,0,0,'Données projet'!$E$13+1,1))</f>
        <v>297.56177871222496</v>
      </c>
      <c r="CZ104" s="62">
        <f t="shared" si="96"/>
        <v>421.5717731815397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4.7258886138590821</v>
      </c>
      <c r="DH104" s="23">
        <f>EXP(-LN(2)/2)*DH103+(1-EXP(-LN(2)/2))/(LN(2)/2)*DB104*DE104*VLOOKUP('Données projet'!$B$13,Paramètres!$A$1:$I$89,3,0)*0.475*44/12</f>
        <v>3.3515798082084741E-10</v>
      </c>
      <c r="DI104" s="24">
        <f t="shared" si="69"/>
        <v>4.7258886141942398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752.99999999999977</v>
      </c>
      <c r="DP104" s="18">
        <f>DO104*VLOOKUP('Données projet'!$B$14,Paramètres!$A$1:$I$89,3,0)*VLOOKUP('Données projet'!$B$14,Paramètres!$A$1:$I$89,5,0)</f>
        <v>552.09959999999978</v>
      </c>
      <c r="DQ104" s="14">
        <f t="shared" si="97"/>
        <v>122.01091055125165</v>
      </c>
      <c r="DR104" s="22">
        <f t="shared" si="70"/>
        <v>1174.0758058767628</v>
      </c>
      <c r="DS104" s="62">
        <f t="shared" si="71"/>
        <v>1458.9565511855162</v>
      </c>
      <c r="DT104" s="62">
        <f ca="1">AVERAGE(OFFSET($DS$3,0,0,'Données projet'!$E$14+1,1))-AVERAGE(OFFSET($H$3,0,0,'Données projet'!$E$14+1,1))</f>
        <v>667.0152731006724</v>
      </c>
      <c r="DU104" s="62">
        <f t="shared" si="98"/>
        <v>567.40780872008088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3.2628572090813659</v>
      </c>
      <c r="EC104" s="23">
        <f>EXP(-LN(2)/2)*EC103+(1-EXP(-LN(2)/2))/(LN(2)/2)*DW104*DZ104*VLOOKUP('Données projet'!$B$14,Paramètres!$A$1:$I$89,3,0)*0.475*44/12</f>
        <v>3.0522273412080859E-10</v>
      </c>
      <c r="ED104" s="24">
        <f t="shared" si="72"/>
        <v>3.2628572093865884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301.18608</v>
      </c>
      <c r="EL104" s="14">
        <f t="shared" si="99"/>
        <v>71.425054271756295</v>
      </c>
      <c r="EM104" s="22">
        <f t="shared" si="73"/>
        <v>648.96439218997557</v>
      </c>
      <c r="EN104" s="62">
        <f t="shared" si="74"/>
        <v>933.84513749872906</v>
      </c>
      <c r="EO104" s="62">
        <f ca="1">AVERAGE(OFFSET($EN$3,0,0,'Données projet'!$E$15+1,1))-AVERAGE(OFFSET($H$3,0,0,'Données projet'!$E$15+1,1))</f>
        <v>454.99849419289757</v>
      </c>
      <c r="EP104" s="62">
        <f t="shared" si="100"/>
        <v>288.86643267991928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67.694748720569137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2.7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22.674600000000037</v>
      </c>
      <c r="D105" s="12">
        <f t="shared" si="86"/>
        <v>7.2661922763048956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65.205476322693741</v>
      </c>
      <c r="H105" s="70">
        <f t="shared" si="56"/>
        <v>269.21354654789775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903.33487171289698</v>
      </c>
      <c r="S105" s="62">
        <f ca="1">AVERAGE(OFFSET($R$3,0,0,'Données projet'!$E$9+1,1))-AVERAGE(OFFSET($H$3,0,0,'Données projet'!$E$9+1,1))</f>
        <v>427.57091071251745</v>
      </c>
      <c r="T105" s="62">
        <f t="shared" si="88"/>
        <v>272.62827206514726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976.19996388525965</v>
      </c>
      <c r="AN105" s="62">
        <f ca="1">AVERAGE(OFFSET($AM$3,0,0,'Données projet'!$E$10+1,1))-AVERAGE(OFFSET($H$3,0,0,'Données projet'!$E$10+1,1))</f>
        <v>475.54515523869958</v>
      </c>
      <c r="AO105" s="62">
        <f t="shared" si="90"/>
        <v>301.02979240961452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1.3899869195567407</v>
      </c>
      <c r="AW105" s="23">
        <f>EXP(-LN(2)/2)*AW104+(1-EXP(-LN(2)/2))/(LN(2)/2)*AQ105*AT105*VLOOKUP('Données projet'!$B$10,Paramètres!$A$1:$I$89,3,0)*0.475*44/12</f>
        <v>2.4315130147599398E-10</v>
      </c>
      <c r="AX105" s="23">
        <f t="shared" si="60"/>
        <v>1.389986919799892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6.3550942286383367E-14</v>
      </c>
      <c r="BF105" s="14">
        <f t="shared" si="91"/>
        <v>1.0064464192543978E-12</v>
      </c>
      <c r="BG105" s="22">
        <f t="shared" si="61"/>
        <v>1.8635787380168604E-12</v>
      </c>
      <c r="BH105" s="62">
        <f t="shared" si="62"/>
        <v>285.02737881382603</v>
      </c>
      <c r="BI105" s="62">
        <f ca="1">AVERAGE(OFFSET($BH$3,0,0,'Données projet'!$E$11+1,1))-AVERAGE(OFFSET($H$3,0,0,'Données projet'!$E$11+1,1))</f>
        <v>381.71417599784968</v>
      </c>
      <c r="BJ105" s="62">
        <f t="shared" si="92"/>
        <v>350.49230135197979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7.7666416355575549</v>
      </c>
      <c r="BQ105" s="23">
        <f>EXP(-LN(2)/25)*BQ104+(1-EXP(-LN(2)/25))/(LN(2)/25)*Calculateur!BL105*Calculateur!BN105*VLOOKUP('Données projet'!$B$11,Paramètres!$A$1:$I$89,3,0)*0.475*44/12</f>
        <v>3.8181037482870726</v>
      </c>
      <c r="BR105" s="23">
        <f>EXP(-LN(2)/2)*BR104+(1-EXP(-LN(2)/2))/(LN(2)/2)*BL105*BO105*VLOOKUP('Données projet'!$B$11,Paramètres!$A$1:$I$89,3,0)*0.475*44/12</f>
        <v>1.0097636099223678E-9</v>
      </c>
      <c r="BS105" s="24">
        <f t="shared" si="63"/>
        <v>11.58474538485439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3.1036506698001178E-14</v>
      </c>
      <c r="CA105" s="14">
        <f t="shared" si="93"/>
        <v>5.3428243983771088E-13</v>
      </c>
      <c r="CB105" s="22">
        <f t="shared" si="64"/>
        <v>9.8459716521636505E-13</v>
      </c>
      <c r="CC105" s="62">
        <f t="shared" si="65"/>
        <v>285.02737881382512</v>
      </c>
      <c r="CD105" s="62">
        <f ca="1">AVERAGE(OFFSET($CC$3,0,0,'Données projet'!$E$12+1,1))-AVERAGE(OFFSET($H$3,0,0,'Données projet'!$E$12+1,1))</f>
        <v>202.72043399839748</v>
      </c>
      <c r="CE105" s="62">
        <f t="shared" si="94"/>
        <v>295.50255983395789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0.79382774233537567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0.79382774233537567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4.9658410716801891E-14</v>
      </c>
      <c r="CV105" s="14">
        <f t="shared" si="95"/>
        <v>8.0934058173791862E-13</v>
      </c>
      <c r="CW105" s="22">
        <f t="shared" si="67"/>
        <v>1.4960899118586383E-12</v>
      </c>
      <c r="CX105" s="62">
        <f t="shared" si="68"/>
        <v>285.02737881382564</v>
      </c>
      <c r="CY105" s="62">
        <f ca="1">AVERAGE(OFFSET($CX$3,0,0,'Données projet'!$E$13+1,1))-AVERAGE(OFFSET($H$3,0,0,'Données projet'!$E$13+1,1))</f>
        <v>297.56177871222496</v>
      </c>
      <c r="CZ105" s="62">
        <f t="shared" si="96"/>
        <v>421.5717731815397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4.5966589411894248</v>
      </c>
      <c r="DH105" s="23">
        <f>EXP(-LN(2)/2)*DH104+(1-EXP(-LN(2)/2))/(LN(2)/2)*DB105*DE105*VLOOKUP('Données projet'!$B$13,Paramètres!$A$1:$I$89,3,0)*0.475*44/12</f>
        <v>2.3699248100721204E-10</v>
      </c>
      <c r="DI105" s="24">
        <f t="shared" si="69"/>
        <v>4.5966589414264174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752.99999999999977</v>
      </c>
      <c r="DP105" s="18">
        <f>DO105*VLOOKUP('Données projet'!$B$14,Paramètres!$A$1:$I$89,3,0)*VLOOKUP('Données projet'!$B$14,Paramètres!$A$1:$I$89,5,0)</f>
        <v>552.09959999999978</v>
      </c>
      <c r="DQ105" s="14">
        <f t="shared" si="97"/>
        <v>122.01091055125165</v>
      </c>
      <c r="DR105" s="22">
        <f t="shared" si="70"/>
        <v>1174.0758058767628</v>
      </c>
      <c r="DS105" s="62">
        <f t="shared" si="71"/>
        <v>1459.1031846905871</v>
      </c>
      <c r="DT105" s="62">
        <f ca="1">AVERAGE(OFFSET($DS$3,0,0,'Données projet'!$E$14+1,1))-AVERAGE(OFFSET($H$3,0,0,'Données projet'!$E$14+1,1))</f>
        <v>667.0152731006724</v>
      </c>
      <c r="DU105" s="62">
        <f t="shared" si="98"/>
        <v>567.40780872008088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3.1736342071128325</v>
      </c>
      <c r="EC105" s="23">
        <f>EXP(-LN(2)/2)*EC104+(1-EXP(-LN(2)/2))/(LN(2)/2)*DW105*DZ105*VLOOKUP('Données projet'!$B$14,Paramètres!$A$1:$I$89,3,0)*0.475*44/12</f>
        <v>2.1582506506912237E-10</v>
      </c>
      <c r="ED105" s="24">
        <f t="shared" si="72"/>
        <v>3.1736342073286576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306.40895999999998</v>
      </c>
      <c r="EL105" s="14">
        <f t="shared" si="99"/>
        <v>72.518370290127464</v>
      </c>
      <c r="EM105" s="22">
        <f t="shared" si="73"/>
        <v>659.96510025530517</v>
      </c>
      <c r="EN105" s="62">
        <f t="shared" si="74"/>
        <v>944.99247906912933</v>
      </c>
      <c r="EO105" s="62">
        <f ca="1">AVERAGE(OFFSET($EN$3,0,0,'Données projet'!$E$15+1,1))-AVERAGE(OFFSET($H$3,0,0,'Données projet'!$E$15+1,1))</f>
        <v>454.99849419289757</v>
      </c>
      <c r="EP105" s="62">
        <f t="shared" si="100"/>
        <v>288.86643267991928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67.734739676497497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2.7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22.896900000000038</v>
      </c>
      <c r="D106" s="12">
        <f t="shared" si="86"/>
        <v>7.329101662411837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65.755880401145731</v>
      </c>
      <c r="H106" s="70">
        <f t="shared" si="56"/>
        <v>269.71028622870068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913.78027002397289</v>
      </c>
      <c r="S106" s="62">
        <f ca="1">AVERAGE(OFFSET($R$3,0,0,'Données projet'!$E$9+1,1))-AVERAGE(OFFSET($H$3,0,0,'Données projet'!$E$9+1,1))</f>
        <v>427.57091071251745</v>
      </c>
      <c r="T106" s="62">
        <f t="shared" si="88"/>
        <v>272.62827206514726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987.86216840071484</v>
      </c>
      <c r="AN106" s="62">
        <f ca="1">AVERAGE(OFFSET($AM$3,0,0,'Données projet'!$E$10+1,1))-AVERAGE(OFFSET($H$3,0,0,'Données projet'!$E$10+1,1))</f>
        <v>475.54515523869958</v>
      </c>
      <c r="AO106" s="62">
        <f t="shared" si="90"/>
        <v>301.02979240961452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1.3519776541452264</v>
      </c>
      <c r="AW106" s="23">
        <f>EXP(-LN(2)/2)*AW105+(1-EXP(-LN(2)/2))/(LN(2)/2)*AQ106*AT106*VLOOKUP('Données projet'!$B$10,Paramètres!$A$1:$I$89,3,0)*0.475*44/12</f>
        <v>1.7193393412800993E-10</v>
      </c>
      <c r="AX106" s="23">
        <f t="shared" si="60"/>
        <v>1.3519776543171604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6.3550942286383367E-14</v>
      </c>
      <c r="BF106" s="14">
        <f t="shared" si="91"/>
        <v>1.0064464192543978E-12</v>
      </c>
      <c r="BG106" s="22">
        <f t="shared" si="61"/>
        <v>1.8635787380168604E-12</v>
      </c>
      <c r="BH106" s="62">
        <f t="shared" si="62"/>
        <v>285.17146855540705</v>
      </c>
      <c r="BI106" s="62">
        <f ca="1">AVERAGE(OFFSET($BH$3,0,0,'Données projet'!$E$11+1,1))-AVERAGE(OFFSET($H$3,0,0,'Données projet'!$E$11+1,1))</f>
        <v>381.71417599784968</v>
      </c>
      <c r="BJ106" s="62">
        <f t="shared" si="92"/>
        <v>350.49230135197979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7.6143425302679111</v>
      </c>
      <c r="BQ106" s="23">
        <f>EXP(-LN(2)/25)*BQ105+(1-EXP(-LN(2)/25))/(LN(2)/25)*Calculateur!BL106*Calculateur!BN106*VLOOKUP('Données projet'!$B$11,Paramètres!$A$1:$I$89,3,0)*0.475*44/12</f>
        <v>3.713697500504813</v>
      </c>
      <c r="BR106" s="23">
        <f>EXP(-LN(2)/2)*BR105+(1-EXP(-LN(2)/2))/(LN(2)/2)*BL106*BO106*VLOOKUP('Données projet'!$B$11,Paramètres!$A$1:$I$89,3,0)*0.475*44/12</f>
        <v>7.1401069597151411E-10</v>
      </c>
      <c r="BS106" s="24">
        <f t="shared" si="63"/>
        <v>11.328040031486735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3.1036506698001178E-14</v>
      </c>
      <c r="CA106" s="14">
        <f t="shared" si="93"/>
        <v>5.3428243983771088E-13</v>
      </c>
      <c r="CB106" s="22">
        <f t="shared" si="64"/>
        <v>9.8459716521636505E-13</v>
      </c>
      <c r="CC106" s="62">
        <f t="shared" si="65"/>
        <v>285.17146855540614</v>
      </c>
      <c r="CD106" s="62">
        <f ca="1">AVERAGE(OFFSET($CC$3,0,0,'Données projet'!$E$12+1,1))-AVERAGE(OFFSET($H$3,0,0,'Données projet'!$E$12+1,1))</f>
        <v>202.72043399839748</v>
      </c>
      <c r="CE106" s="62">
        <f t="shared" si="94"/>
        <v>295.50255983395789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0.77212048097562813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0.77212048097562813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4.9658410716801891E-14</v>
      </c>
      <c r="CV106" s="14">
        <f t="shared" si="95"/>
        <v>8.0934058173791862E-13</v>
      </c>
      <c r="CW106" s="22">
        <f t="shared" si="67"/>
        <v>1.4960899118586383E-12</v>
      </c>
      <c r="CX106" s="62">
        <f t="shared" si="68"/>
        <v>285.17146855540665</v>
      </c>
      <c r="CY106" s="62">
        <f ca="1">AVERAGE(OFFSET($CX$3,0,0,'Données projet'!$E$13+1,1))-AVERAGE(OFFSET($H$3,0,0,'Données projet'!$E$13+1,1))</f>
        <v>297.56177871222496</v>
      </c>
      <c r="CZ106" s="62">
        <f t="shared" si="96"/>
        <v>421.5717731815397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4.4709630607148121</v>
      </c>
      <c r="DH106" s="23">
        <f>EXP(-LN(2)/2)*DH105+(1-EXP(-LN(2)/2))/(LN(2)/2)*DB106*DE106*VLOOKUP('Données projet'!$B$13,Paramètres!$A$1:$I$89,3,0)*0.475*44/12</f>
        <v>1.6757899041042371E-10</v>
      </c>
      <c r="DI106" s="24">
        <f t="shared" si="69"/>
        <v>4.4709630608823909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752.99999999999977</v>
      </c>
      <c r="DP106" s="18">
        <f>DO106*VLOOKUP('Données projet'!$B$14,Paramètres!$A$1:$I$89,3,0)*VLOOKUP('Données projet'!$B$14,Paramètres!$A$1:$I$89,5,0)</f>
        <v>552.09959999999978</v>
      </c>
      <c r="DQ106" s="14">
        <f t="shared" si="97"/>
        <v>122.01091055125165</v>
      </c>
      <c r="DR106" s="22">
        <f t="shared" si="70"/>
        <v>1174.0758058767628</v>
      </c>
      <c r="DS106" s="62">
        <f t="shared" si="71"/>
        <v>1459.2472744321681</v>
      </c>
      <c r="DT106" s="62">
        <f ca="1">AVERAGE(OFFSET($DS$3,0,0,'Données projet'!$E$14+1,1))-AVERAGE(OFFSET($H$3,0,0,'Données projet'!$E$14+1,1))</f>
        <v>667.0152731006724</v>
      </c>
      <c r="DU106" s="62">
        <f t="shared" si="98"/>
        <v>567.40780872008088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3.0868510128251625</v>
      </c>
      <c r="EC106" s="23">
        <f>EXP(-LN(2)/2)*EC105+(1-EXP(-LN(2)/2))/(LN(2)/2)*DW106*DZ106*VLOOKUP('Données projet'!$B$14,Paramètres!$A$1:$I$89,3,0)*0.475*44/12</f>
        <v>1.5261136706040429E-10</v>
      </c>
      <c r="ED106" s="24">
        <f t="shared" si="72"/>
        <v>3.0868510129777738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311.63183999999995</v>
      </c>
      <c r="EL106" s="14">
        <f t="shared" si="99"/>
        <v>73.609519109735089</v>
      </c>
      <c r="EM106" s="22">
        <f t="shared" si="73"/>
        <v>670.96203378278858</v>
      </c>
      <c r="EN106" s="62">
        <f t="shared" si="74"/>
        <v>956.13350233819369</v>
      </c>
      <c r="EO106" s="62">
        <f ca="1">AVERAGE(OFFSET($EN$3,0,0,'Données projet'!$E$15+1,1))-AVERAGE(OFFSET($H$3,0,0,'Données projet'!$E$15+1,1))</f>
        <v>454.99849419289757</v>
      </c>
      <c r="EP106" s="62">
        <f t="shared" si="100"/>
        <v>288.86643267991928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67.77403687874687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2.7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23.119200000000038</v>
      </c>
      <c r="D107" s="12">
        <f t="shared" si="86"/>
        <v>7.3919399937804462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66.306147356418478</v>
      </c>
      <c r="H107" s="70">
        <f t="shared" si="56"/>
        <v>270.20690215583437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924.21967668714228</v>
      </c>
      <c r="S107" s="62">
        <f ca="1">AVERAGE(OFFSET($R$3,0,0,'Données projet'!$E$9+1,1))-AVERAGE(OFFSET($H$3,0,0,'Données projet'!$E$9+1,1))</f>
        <v>427.57091071251745</v>
      </c>
      <c r="T107" s="62">
        <f t="shared" si="88"/>
        <v>272.62827206514726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999.51801138041856</v>
      </c>
      <c r="AN107" s="62">
        <f ca="1">AVERAGE(OFFSET($AM$3,0,0,'Données projet'!$E$10+1,1))-AVERAGE(OFFSET($H$3,0,0,'Données projet'!$E$10+1,1))</f>
        <v>475.54515523869958</v>
      </c>
      <c r="AO107" s="62">
        <f t="shared" si="90"/>
        <v>301.02979240961452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1.3150077540952103</v>
      </c>
      <c r="AW107" s="23">
        <f>EXP(-LN(2)/2)*AW106+(1-EXP(-LN(2)/2))/(LN(2)/2)*AQ107*AT107*VLOOKUP('Données projet'!$B$10,Paramètres!$A$1:$I$89,3,0)*0.475*44/12</f>
        <v>1.2157565073799699E-10</v>
      </c>
      <c r="AX107" s="23">
        <f t="shared" si="60"/>
        <v>1.315007754216786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6.3550942286383367E-14</v>
      </c>
      <c r="BF107" s="14">
        <f t="shared" si="91"/>
        <v>1.0064464192543978E-12</v>
      </c>
      <c r="BG107" s="22">
        <f t="shared" si="61"/>
        <v>1.8635787380168604E-12</v>
      </c>
      <c r="BH107" s="62">
        <f t="shared" si="62"/>
        <v>285.31305866210812</v>
      </c>
      <c r="BI107" s="62">
        <f ca="1">AVERAGE(OFFSET($BH$3,0,0,'Données projet'!$E$11+1,1))-AVERAGE(OFFSET($H$3,0,0,'Données projet'!$E$11+1,1))</f>
        <v>381.71417599784968</v>
      </c>
      <c r="BJ107" s="62">
        <f t="shared" si="92"/>
        <v>350.49230135197979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7.4650299175397148</v>
      </c>
      <c r="BQ107" s="23">
        <f>EXP(-LN(2)/25)*BQ106+(1-EXP(-LN(2)/25))/(LN(2)/25)*Calculateur!BL107*Calculateur!BN107*VLOOKUP('Données projet'!$B$11,Paramètres!$A$1:$I$89,3,0)*0.475*44/12</f>
        <v>3.6121462470586452</v>
      </c>
      <c r="BR107" s="23">
        <f>EXP(-LN(2)/2)*BR106+(1-EXP(-LN(2)/2))/(LN(2)/2)*BL107*BO107*VLOOKUP('Données projet'!$B$11,Paramètres!$A$1:$I$89,3,0)*0.475*44/12</f>
        <v>5.0488180496118392E-10</v>
      </c>
      <c r="BS107" s="24">
        <f t="shared" si="63"/>
        <v>11.077176165103241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3.1036506698001178E-14</v>
      </c>
      <c r="CA107" s="14">
        <f t="shared" si="93"/>
        <v>5.3428243983771088E-13</v>
      </c>
      <c r="CB107" s="22">
        <f t="shared" si="64"/>
        <v>9.8459716521636505E-13</v>
      </c>
      <c r="CC107" s="62">
        <f t="shared" si="65"/>
        <v>285.31305866210721</v>
      </c>
      <c r="CD107" s="62">
        <f ca="1">AVERAGE(OFFSET($CC$3,0,0,'Données projet'!$E$12+1,1))-AVERAGE(OFFSET($H$3,0,0,'Données projet'!$E$12+1,1))</f>
        <v>202.72043399839748</v>
      </c>
      <c r="CE107" s="62">
        <f t="shared" si="94"/>
        <v>295.50255983395789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0.75100680581929824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0.75100680581929824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4.9658410716801891E-14</v>
      </c>
      <c r="CV107" s="14">
        <f t="shared" si="95"/>
        <v>8.0934058173791862E-13</v>
      </c>
      <c r="CW107" s="22">
        <f t="shared" si="67"/>
        <v>1.4960899118586383E-12</v>
      </c>
      <c r="CX107" s="62">
        <f t="shared" si="68"/>
        <v>285.31305866210772</v>
      </c>
      <c r="CY107" s="62">
        <f ca="1">AVERAGE(OFFSET($CX$3,0,0,'Données projet'!$E$13+1,1))-AVERAGE(OFFSET($H$3,0,0,'Données projet'!$E$13+1,1))</f>
        <v>297.56177871222496</v>
      </c>
      <c r="CZ107" s="62">
        <f t="shared" si="96"/>
        <v>421.5717731815397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4.3487043407018371</v>
      </c>
      <c r="DH107" s="23">
        <f>EXP(-LN(2)/2)*DH106+(1-EXP(-LN(2)/2))/(LN(2)/2)*DB107*DE107*VLOOKUP('Données projet'!$B$13,Paramètres!$A$1:$I$89,3,0)*0.475*44/12</f>
        <v>1.1849624050360602E-10</v>
      </c>
      <c r="DI107" s="24">
        <f t="shared" si="69"/>
        <v>4.3487043408203334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752.99999999999977</v>
      </c>
      <c r="DP107" s="18">
        <f>DO107*VLOOKUP('Données projet'!$B$14,Paramètres!$A$1:$I$89,3,0)*VLOOKUP('Données projet'!$B$14,Paramètres!$A$1:$I$89,5,0)</f>
        <v>552.09959999999978</v>
      </c>
      <c r="DQ107" s="14">
        <f t="shared" si="97"/>
        <v>122.01091055125165</v>
      </c>
      <c r="DR107" s="22">
        <f t="shared" si="70"/>
        <v>1174.0758058767628</v>
      </c>
      <c r="DS107" s="62">
        <f t="shared" si="71"/>
        <v>1459.388864538869</v>
      </c>
      <c r="DT107" s="62">
        <f ca="1">AVERAGE(OFFSET($DS$3,0,0,'Données projet'!$E$14+1,1))-AVERAGE(OFFSET($H$3,0,0,'Données projet'!$E$14+1,1))</f>
        <v>667.0152731006724</v>
      </c>
      <c r="DU107" s="62">
        <f t="shared" si="98"/>
        <v>567.40780872008088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3.0024409095490188</v>
      </c>
      <c r="EC107" s="23">
        <f>EXP(-LN(2)/2)*EC106+(1-EXP(-LN(2)/2))/(LN(2)/2)*DW107*DZ107*VLOOKUP('Données projet'!$B$14,Paramètres!$A$1:$I$89,3,0)*0.475*44/12</f>
        <v>1.0791253253456119E-10</v>
      </c>
      <c r="ED107" s="24">
        <f t="shared" si="72"/>
        <v>3.0024409096569311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316.85471999999993</v>
      </c>
      <c r="EL107" s="14">
        <f t="shared" si="99"/>
        <v>74.698541244494848</v>
      </c>
      <c r="EM107" s="22">
        <f t="shared" si="73"/>
        <v>681.95526333416171</v>
      </c>
      <c r="EN107" s="62">
        <f t="shared" si="74"/>
        <v>967.26832199626801</v>
      </c>
      <c r="EO107" s="62">
        <f ca="1">AVERAGE(OFFSET($EN$3,0,0,'Données projet'!$E$15+1,1))-AVERAGE(OFFSET($H$3,0,0,'Données projet'!$E$15+1,1))</f>
        <v>454.99849419289757</v>
      </c>
      <c r="EP107" s="62">
        <f t="shared" si="100"/>
        <v>288.86643267991928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67.812652362392612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2.7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23.341500000000039</v>
      </c>
      <c r="D108" s="12">
        <f t="shared" si="86"/>
        <v>7.4547080327529267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66.856278659698702</v>
      </c>
      <c r="H108" s="70">
        <f t="shared" si="56"/>
        <v>270.70339565704478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934.65319927044561</v>
      </c>
      <c r="S108" s="62">
        <f ca="1">AVERAGE(OFFSET($R$3,0,0,'Données projet'!$E$9+1,1))-AVERAGE(OFFSET($H$3,0,0,'Données projet'!$E$9+1,1))</f>
        <v>427.57091071251745</v>
      </c>
      <c r="T108" s="62">
        <f t="shared" si="88"/>
        <v>272.62827206514726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1011.1676071932559</v>
      </c>
      <c r="AN108" s="62">
        <f ca="1">AVERAGE(OFFSET($AM$3,0,0,'Données projet'!$E$10+1,1))-AVERAGE(OFFSET($H$3,0,0,'Données projet'!$E$10+1,1))</f>
        <v>475.54515523869958</v>
      </c>
      <c r="AO108" s="62">
        <f t="shared" si="90"/>
        <v>301.02979240961452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1.2790487979062244</v>
      </c>
      <c r="AW108" s="23">
        <f>EXP(-LN(2)/2)*AW107+(1-EXP(-LN(2)/2))/(LN(2)/2)*AQ108*AT108*VLOOKUP('Données projet'!$B$10,Paramètres!$A$1:$I$89,3,0)*0.475*44/12</f>
        <v>8.5966967064004963E-11</v>
      </c>
      <c r="AX108" s="23">
        <f t="shared" si="60"/>
        <v>1.2790487979921914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6.3550942286383367E-14</v>
      </c>
      <c r="BF108" s="14">
        <f t="shared" si="91"/>
        <v>1.0064464192543978E-12</v>
      </c>
      <c r="BG108" s="22">
        <f t="shared" si="61"/>
        <v>1.8635787380168604E-12</v>
      </c>
      <c r="BH108" s="62">
        <f t="shared" si="62"/>
        <v>285.45219249700597</v>
      </c>
      <c r="BI108" s="62">
        <f ca="1">AVERAGE(OFFSET($BH$3,0,0,'Données projet'!$E$11+1,1))-AVERAGE(OFFSET($H$3,0,0,'Données projet'!$E$11+1,1))</f>
        <v>381.71417599784968</v>
      </c>
      <c r="BJ108" s="62">
        <f t="shared" si="92"/>
        <v>350.49230135197979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7.3186452340754178</v>
      </c>
      <c r="BQ108" s="23">
        <f>EXP(-LN(2)/25)*BQ107+(1-EXP(-LN(2)/25))/(LN(2)/25)*Calculateur!BL108*Calculateur!BN108*VLOOKUP('Données projet'!$B$11,Paramètres!$A$1:$I$89,3,0)*0.475*44/12</f>
        <v>3.5133719179783109</v>
      </c>
      <c r="BR108" s="23">
        <f>EXP(-LN(2)/2)*BR107+(1-EXP(-LN(2)/2))/(LN(2)/2)*BL108*BO108*VLOOKUP('Données projet'!$B$11,Paramètres!$A$1:$I$89,3,0)*0.475*44/12</f>
        <v>3.5700534798575705E-10</v>
      </c>
      <c r="BS108" s="24">
        <f t="shared" si="63"/>
        <v>10.832017152410733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3.1036506698001178E-14</v>
      </c>
      <c r="CA108" s="14">
        <f t="shared" si="93"/>
        <v>5.3428243983771088E-13</v>
      </c>
      <c r="CB108" s="22">
        <f t="shared" si="64"/>
        <v>9.8459716521636505E-13</v>
      </c>
      <c r="CC108" s="62">
        <f t="shared" si="65"/>
        <v>285.45219249700506</v>
      </c>
      <c r="CD108" s="62">
        <f ca="1">AVERAGE(OFFSET($CC$3,0,0,'Données projet'!$E$12+1,1))-AVERAGE(OFFSET($H$3,0,0,'Données projet'!$E$12+1,1))</f>
        <v>202.72043399839748</v>
      </c>
      <c r="CE108" s="62">
        <f t="shared" si="94"/>
        <v>295.50255983395789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0.73047048522043811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0.73047048522043811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4.9658410716801891E-14</v>
      </c>
      <c r="CV108" s="14">
        <f t="shared" si="95"/>
        <v>8.0934058173791862E-13</v>
      </c>
      <c r="CW108" s="22">
        <f t="shared" si="67"/>
        <v>1.4960899118586383E-12</v>
      </c>
      <c r="CX108" s="62">
        <f t="shared" si="68"/>
        <v>285.45219249700557</v>
      </c>
      <c r="CY108" s="62">
        <f ca="1">AVERAGE(OFFSET($CX$3,0,0,'Données projet'!$E$13+1,1))-AVERAGE(OFFSET($H$3,0,0,'Données projet'!$E$13+1,1))</f>
        <v>297.56177871222496</v>
      </c>
      <c r="CZ108" s="62">
        <f t="shared" si="96"/>
        <v>421.5717731815397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4.2297887918169232</v>
      </c>
      <c r="DH108" s="23">
        <f>EXP(-LN(2)/2)*DH107+(1-EXP(-LN(2)/2))/(LN(2)/2)*DB108*DE108*VLOOKUP('Données projet'!$B$13,Paramètres!$A$1:$I$89,3,0)*0.475*44/12</f>
        <v>8.3789495205211853E-11</v>
      </c>
      <c r="DI108" s="24">
        <f t="shared" si="69"/>
        <v>4.2297887919007131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752.99999999999977</v>
      </c>
      <c r="DP108" s="18">
        <f>DO108*VLOOKUP('Données projet'!$B$14,Paramètres!$A$1:$I$89,3,0)*VLOOKUP('Données projet'!$B$14,Paramètres!$A$1:$I$89,5,0)</f>
        <v>552.09959999999978</v>
      </c>
      <c r="DQ108" s="14">
        <f t="shared" si="97"/>
        <v>122.01091055125165</v>
      </c>
      <c r="DR108" s="22">
        <f t="shared" si="70"/>
        <v>1174.0758058767628</v>
      </c>
      <c r="DS108" s="62">
        <f t="shared" si="71"/>
        <v>1459.5279983737669</v>
      </c>
      <c r="DT108" s="62">
        <f ca="1">AVERAGE(OFFSET($DS$3,0,0,'Données projet'!$E$14+1,1))-AVERAGE(OFFSET($H$3,0,0,'Données projet'!$E$14+1,1))</f>
        <v>667.0152731006724</v>
      </c>
      <c r="DU108" s="62">
        <f t="shared" si="98"/>
        <v>567.40780872008088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2.9203390049858955</v>
      </c>
      <c r="EC108" s="23">
        <f>EXP(-LN(2)/2)*EC107+(1-EXP(-LN(2)/2))/(LN(2)/2)*DW108*DZ108*VLOOKUP('Données projet'!$B$14,Paramètres!$A$1:$I$89,3,0)*0.475*44/12</f>
        <v>7.6305683530202147E-11</v>
      </c>
      <c r="ED108" s="24">
        <f t="shared" si="72"/>
        <v>2.9203390050622011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322.0775999999999</v>
      </c>
      <c r="EL108" s="14">
        <f t="shared" si="99"/>
        <v>75.785475796129404</v>
      </c>
      <c r="EM108" s="22">
        <f t="shared" si="73"/>
        <v>692.94485701159181</v>
      </c>
      <c r="EN108" s="62">
        <f t="shared" si="74"/>
        <v>978.39704950859596</v>
      </c>
      <c r="EO108" s="62">
        <f ca="1">AVERAGE(OFFSET($EN$3,0,0,'Données projet'!$E$15+1,1))-AVERAGE(OFFSET($H$3,0,0,'Données projet'!$E$15+1,1))</f>
        <v>454.99849419289757</v>
      </c>
      <c r="EP108" s="62">
        <f t="shared" si="100"/>
        <v>288.86643267991928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67.850597953728382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2.7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23.56380000000004</v>
      </c>
      <c r="D109" s="12">
        <f t="shared" si="86"/>
        <v>7.5174065263133887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67.406275752534683</v>
      </c>
      <c r="H109" s="70">
        <f t="shared" si="56"/>
        <v>271.19976803332924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894.73670155058346</v>
      </c>
      <c r="S109" s="62">
        <f ca="1">AVERAGE(OFFSET($R$3,0,0,'Données projet'!$E$9+1,1))-AVERAGE(OFFSET($H$3,0,0,'Données projet'!$E$9+1,1))</f>
        <v>427.57091071251745</v>
      </c>
      <c r="T109" s="62">
        <f t="shared" si="88"/>
        <v>272.62827206514726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966.51987199410371</v>
      </c>
      <c r="AN109" s="62">
        <f ca="1">AVERAGE(OFFSET($AM$3,0,0,'Données projet'!$E$10+1,1))-AVERAGE(OFFSET($H$3,0,0,'Données projet'!$E$10+1,1))</f>
        <v>475.54515523869958</v>
      </c>
      <c r="AO109" s="62">
        <f t="shared" si="90"/>
        <v>301.02979240961452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1.2440731412652257</v>
      </c>
      <c r="AW109" s="23">
        <f>EXP(-LN(2)/2)*AW108+(1-EXP(-LN(2)/2))/(LN(2)/2)*AQ109*AT109*VLOOKUP('Données projet'!$B$10,Paramètres!$A$1:$I$89,3,0)*0.475*44/12</f>
        <v>6.0787825368998495E-11</v>
      </c>
      <c r="AX109" s="23">
        <f t="shared" si="60"/>
        <v>1.2440731413260135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6.3550942286383367E-14</v>
      </c>
      <c r="BF109" s="14">
        <f t="shared" si="91"/>
        <v>1.0064464192543978E-12</v>
      </c>
      <c r="BG109" s="22">
        <f t="shared" si="61"/>
        <v>1.8635787380168604E-12</v>
      </c>
      <c r="BH109" s="62">
        <f t="shared" si="62"/>
        <v>285.58891267092491</v>
      </c>
      <c r="BI109" s="62">
        <f ca="1">AVERAGE(OFFSET($BH$3,0,0,'Données projet'!$E$11+1,1))-AVERAGE(OFFSET($H$3,0,0,'Données projet'!$E$11+1,1))</f>
        <v>381.71417599784968</v>
      </c>
      <c r="BJ109" s="62">
        <f t="shared" si="92"/>
        <v>350.49230135197979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7.1751310649680144</v>
      </c>
      <c r="BQ109" s="23">
        <f>EXP(-LN(2)/25)*BQ108+(1-EXP(-LN(2)/25))/(LN(2)/25)*Calculateur!BL109*Calculateur!BN109*VLOOKUP('Données projet'!$B$11,Paramètres!$A$1:$I$89,3,0)*0.475*44/12</f>
        <v>3.4172985781209948</v>
      </c>
      <c r="BR109" s="23">
        <f>EXP(-LN(2)/2)*BR108+(1-EXP(-LN(2)/2))/(LN(2)/2)*BL109*BO109*VLOOKUP('Données projet'!$B$11,Paramètres!$A$1:$I$89,3,0)*0.475*44/12</f>
        <v>2.5244090248059196E-10</v>
      </c>
      <c r="BS109" s="24">
        <f t="shared" si="63"/>
        <v>10.59242964334145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3.1036506698001178E-14</v>
      </c>
      <c r="CA109" s="14">
        <f t="shared" si="93"/>
        <v>5.3428243983771088E-13</v>
      </c>
      <c r="CB109" s="22">
        <f t="shared" si="64"/>
        <v>9.8459716521636505E-13</v>
      </c>
      <c r="CC109" s="62">
        <f t="shared" si="65"/>
        <v>285.588912670924</v>
      </c>
      <c r="CD109" s="62">
        <f ca="1">AVERAGE(OFFSET($CC$3,0,0,'Données projet'!$E$12+1,1))-AVERAGE(OFFSET($H$3,0,0,'Données projet'!$E$12+1,1))</f>
        <v>202.72043399839748</v>
      </c>
      <c r="CE109" s="62">
        <f t="shared" si="94"/>
        <v>295.50255983395789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0.7104957313883119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0.7104957313883119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4.9658410716801891E-14</v>
      </c>
      <c r="CV109" s="14">
        <f t="shared" si="95"/>
        <v>8.0934058173791862E-13</v>
      </c>
      <c r="CW109" s="22">
        <f t="shared" si="67"/>
        <v>1.4960899118586383E-12</v>
      </c>
      <c r="CX109" s="62">
        <f t="shared" si="68"/>
        <v>285.58891267092451</v>
      </c>
      <c r="CY109" s="62">
        <f ca="1">AVERAGE(OFFSET($CX$3,0,0,'Données projet'!$E$13+1,1))-AVERAGE(OFFSET($H$3,0,0,'Données projet'!$E$13+1,1))</f>
        <v>297.56177871222496</v>
      </c>
      <c r="CZ109" s="62">
        <f t="shared" si="96"/>
        <v>421.5717731815397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4.1141249948697638</v>
      </c>
      <c r="DH109" s="23">
        <f>EXP(-LN(2)/2)*DH108+(1-EXP(-LN(2)/2))/(LN(2)/2)*DB109*DE109*VLOOKUP('Données projet'!$B$13,Paramètres!$A$1:$I$89,3,0)*0.475*44/12</f>
        <v>5.9248120251803009E-11</v>
      </c>
      <c r="DI109" s="24">
        <f t="shared" si="69"/>
        <v>4.1141249949290115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752.99999999999977</v>
      </c>
      <c r="DP109" s="18">
        <f>DO109*VLOOKUP('Données projet'!$B$14,Paramètres!$A$1:$I$89,3,0)*VLOOKUP('Données projet'!$B$14,Paramètres!$A$1:$I$89,5,0)</f>
        <v>552.09959999999978</v>
      </c>
      <c r="DQ109" s="14">
        <f t="shared" si="97"/>
        <v>122.01091055125165</v>
      </c>
      <c r="DR109" s="22">
        <f t="shared" si="70"/>
        <v>1174.0758058767628</v>
      </c>
      <c r="DS109" s="62">
        <f t="shared" si="71"/>
        <v>1459.6647185476859</v>
      </c>
      <c r="DT109" s="62">
        <f ca="1">AVERAGE(OFFSET($DS$3,0,0,'Données projet'!$E$14+1,1))-AVERAGE(OFFSET($H$3,0,0,'Données projet'!$E$14+1,1))</f>
        <v>667.0152731006724</v>
      </c>
      <c r="DU109" s="62">
        <f t="shared" si="98"/>
        <v>567.40780872008088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2.8404821813206023</v>
      </c>
      <c r="EC109" s="23">
        <f>EXP(-LN(2)/2)*EC108+(1-EXP(-LN(2)/2))/(LN(2)/2)*DW109*DZ109*VLOOKUP('Données projet'!$B$14,Paramètres!$A$1:$I$89,3,0)*0.475*44/12</f>
        <v>5.3956266267280593E-11</v>
      </c>
      <c r="ED109" s="24">
        <f t="shared" si="72"/>
        <v>2.8404821813745587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301.76639999999992</v>
      </c>
      <c r="EL109" s="14">
        <f t="shared" si="99"/>
        <v>71.546642144235292</v>
      </c>
      <c r="EM109" s="22">
        <f t="shared" si="73"/>
        <v>650.18688173454302</v>
      </c>
      <c r="EN109" s="62">
        <f t="shared" si="74"/>
        <v>935.77579440546606</v>
      </c>
      <c r="EO109" s="62">
        <f ca="1">AVERAGE(OFFSET($EN$3,0,0,'Données projet'!$E$15+1,1))-AVERAGE(OFFSET($H$3,0,0,'Données projet'!$E$15+1,1))</f>
        <v>454.99849419289757</v>
      </c>
      <c r="EP109" s="62">
        <f t="shared" si="100"/>
        <v>288.86643267991928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67.887885273888102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2.7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23.78610000000004</v>
      </c>
      <c r="D110" s="12">
        <f t="shared" si="86"/>
        <v>7.58003620653915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67.956140047707223</v>
      </c>
      <c r="H110" s="70">
        <f t="shared" si="56"/>
        <v>271.69602055972246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904.41234694239688</v>
      </c>
      <c r="S110" s="62">
        <f ca="1">AVERAGE(OFFSET($R$3,0,0,'Données projet'!$E$9+1,1))-AVERAGE(OFFSET($H$3,0,0,'Données projet'!$E$9+1,1))</f>
        <v>427.57091071251745</v>
      </c>
      <c r="T110" s="62">
        <f t="shared" si="88"/>
        <v>272.62827206514726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977.32251268875143</v>
      </c>
      <c r="AN110" s="62">
        <f ca="1">AVERAGE(OFFSET($AM$3,0,0,'Données projet'!$E$10+1,1))-AVERAGE(OFFSET($H$3,0,0,'Données projet'!$E$10+1,1))</f>
        <v>475.54515523869958</v>
      </c>
      <c r="AO110" s="62">
        <f t="shared" si="90"/>
        <v>301.02979240961452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1.210053895794365</v>
      </c>
      <c r="AW110" s="23">
        <f>EXP(-LN(2)/2)*AW109+(1-EXP(-LN(2)/2))/(LN(2)/2)*AQ110*AT110*VLOOKUP('Données projet'!$B$10,Paramètres!$A$1:$I$89,3,0)*0.475*44/12</f>
        <v>4.2983483532002481E-11</v>
      </c>
      <c r="AX110" s="23">
        <f t="shared" si="60"/>
        <v>1.2100538958373483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6.3550942286383367E-14</v>
      </c>
      <c r="BF110" s="14">
        <f t="shared" si="91"/>
        <v>1.0064464192543978E-12</v>
      </c>
      <c r="BG110" s="22">
        <f t="shared" si="61"/>
        <v>1.8635787380168604E-12</v>
      </c>
      <c r="BH110" s="62">
        <f t="shared" si="62"/>
        <v>285.723261055487</v>
      </c>
      <c r="BI110" s="62">
        <f ca="1">AVERAGE(OFFSET($BH$3,0,0,'Données projet'!$E$11+1,1))-AVERAGE(OFFSET($H$3,0,0,'Données projet'!$E$11+1,1))</f>
        <v>381.71417599784968</v>
      </c>
      <c r="BJ110" s="62">
        <f t="shared" si="92"/>
        <v>350.49230135197979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7.0344311211818082</v>
      </c>
      <c r="BQ110" s="23">
        <f>EXP(-LN(2)/25)*BQ109+(1-EXP(-LN(2)/25))/(LN(2)/25)*Calculateur!BL110*Calculateur!BN110*VLOOKUP('Données projet'!$B$11,Paramètres!$A$1:$I$89,3,0)*0.475*44/12</f>
        <v>3.3238523687943542</v>
      </c>
      <c r="BR110" s="23">
        <f>EXP(-LN(2)/2)*BR109+(1-EXP(-LN(2)/2))/(LN(2)/2)*BL110*BO110*VLOOKUP('Données projet'!$B$11,Paramètres!$A$1:$I$89,3,0)*0.475*44/12</f>
        <v>1.7850267399287853E-10</v>
      </c>
      <c r="BS110" s="24">
        <f t="shared" si="63"/>
        <v>10.358283490154665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3.1036506698001178E-14</v>
      </c>
      <c r="CA110" s="14">
        <f t="shared" si="93"/>
        <v>5.3428243983771088E-13</v>
      </c>
      <c r="CB110" s="22">
        <f t="shared" si="64"/>
        <v>9.8459716521636505E-13</v>
      </c>
      <c r="CC110" s="62">
        <f t="shared" si="65"/>
        <v>285.72326105548609</v>
      </c>
      <c r="CD110" s="62">
        <f ca="1">AVERAGE(OFFSET($CC$3,0,0,'Données projet'!$E$12+1,1))-AVERAGE(OFFSET($H$3,0,0,'Données projet'!$E$12+1,1))</f>
        <v>202.72043399839748</v>
      </c>
      <c r="CE110" s="62">
        <f t="shared" si="94"/>
        <v>295.50255983395789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0.6910671882501519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0.6910671882501519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4.9658410716801891E-14</v>
      </c>
      <c r="CV110" s="14">
        <f t="shared" si="95"/>
        <v>8.0934058173791862E-13</v>
      </c>
      <c r="CW110" s="22">
        <f t="shared" si="67"/>
        <v>1.4960899118586383E-12</v>
      </c>
      <c r="CX110" s="62">
        <f t="shared" si="68"/>
        <v>285.7232610554866</v>
      </c>
      <c r="CY110" s="62">
        <f ca="1">AVERAGE(OFFSET($CX$3,0,0,'Données projet'!$E$13+1,1))-AVERAGE(OFFSET($H$3,0,0,'Données projet'!$E$13+1,1))</f>
        <v>297.56177871222496</v>
      </c>
      <c r="CZ110" s="62">
        <f t="shared" si="96"/>
        <v>421.5717731815397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4.0016240305326196</v>
      </c>
      <c r="DH110" s="23">
        <f>EXP(-LN(2)/2)*DH109+(1-EXP(-LN(2)/2))/(LN(2)/2)*DB110*DE110*VLOOKUP('Données projet'!$B$13,Paramètres!$A$1:$I$89,3,0)*0.475*44/12</f>
        <v>4.1894747602605927E-11</v>
      </c>
      <c r="DI110" s="24">
        <f t="shared" si="69"/>
        <v>4.0016240305745141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752.99999999999977</v>
      </c>
      <c r="DP110" s="18">
        <f>DO110*VLOOKUP('Données projet'!$B$14,Paramètres!$A$1:$I$89,3,0)*VLOOKUP('Données projet'!$B$14,Paramètres!$A$1:$I$89,5,0)</f>
        <v>552.09959999999978</v>
      </c>
      <c r="DQ110" s="14">
        <f t="shared" si="97"/>
        <v>122.01091055125165</v>
      </c>
      <c r="DR110" s="22">
        <f t="shared" si="70"/>
        <v>1174.0758058767628</v>
      </c>
      <c r="DS110" s="62">
        <f t="shared" si="71"/>
        <v>1459.799066932248</v>
      </c>
      <c r="DT110" s="62">
        <f ca="1">AVERAGE(OFFSET($DS$3,0,0,'Données projet'!$E$14+1,1))-AVERAGE(OFFSET($H$3,0,0,'Données projet'!$E$14+1,1))</f>
        <v>667.0152731006724</v>
      </c>
      <c r="DU110" s="62">
        <f t="shared" si="98"/>
        <v>567.40780872008088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2.7628090466979245</v>
      </c>
      <c r="EC110" s="23">
        <f>EXP(-LN(2)/2)*EC109+(1-EXP(-LN(2)/2))/(LN(2)/2)*DW110*DZ110*VLOOKUP('Données projet'!$B$14,Paramètres!$A$1:$I$89,3,0)*0.475*44/12</f>
        <v>3.8152841765101073E-11</v>
      </c>
      <c r="ED110" s="24">
        <f t="shared" si="72"/>
        <v>2.7628090467360775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306.60239999999993</v>
      </c>
      <c r="EL110" s="14">
        <f t="shared" si="99"/>
        <v>72.558821602115088</v>
      </c>
      <c r="EM110" s="22">
        <f t="shared" si="73"/>
        <v>660.37246095701687</v>
      </c>
      <c r="EN110" s="62">
        <f t="shared" si="74"/>
        <v>946.09572201250194</v>
      </c>
      <c r="EO110" s="62">
        <f ca="1">AVERAGE(OFFSET($EN$3,0,0,'Données projet'!$E$15+1,1))-AVERAGE(OFFSET($H$3,0,0,'Données projet'!$E$15+1,1))</f>
        <v>454.99849419289757</v>
      </c>
      <c r="EP110" s="62">
        <f t="shared" si="100"/>
        <v>288.86643267991928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67.924525742405024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2.7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24.008400000000041</v>
      </c>
      <c r="D111" s="12">
        <f t="shared" si="86"/>
        <v>7.6425977910347065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68.505872930067071</v>
      </c>
      <c r="H111" s="70">
        <f t="shared" si="56"/>
        <v>272.19215448605223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914.08261299223318</v>
      </c>
      <c r="S111" s="62">
        <f ca="1">AVERAGE(OFFSET($R$3,0,0,'Données projet'!$E$9+1,1))-AVERAGE(OFFSET($H$3,0,0,'Données projet'!$E$9+1,1))</f>
        <v>427.57091071251745</v>
      </c>
      <c r="T111" s="62">
        <f t="shared" si="88"/>
        <v>272.62827206514726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988.11945111127397</v>
      </c>
      <c r="AN111" s="62">
        <f ca="1">AVERAGE(OFFSET($AM$3,0,0,'Données projet'!$E$10+1,1))-AVERAGE(OFFSET($H$3,0,0,'Données projet'!$E$10+1,1))</f>
        <v>475.54515523869958</v>
      </c>
      <c r="AO111" s="62">
        <f t="shared" si="90"/>
        <v>301.02979240961452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1.1769649083798992</v>
      </c>
      <c r="AW111" s="23">
        <f>EXP(-LN(2)/2)*AW110+(1-EXP(-LN(2)/2))/(LN(2)/2)*AQ111*AT111*VLOOKUP('Données projet'!$B$10,Paramètres!$A$1:$I$89,3,0)*0.475*44/12</f>
        <v>3.0393912684499247E-11</v>
      </c>
      <c r="AX111" s="23">
        <f t="shared" si="60"/>
        <v>1.1769649084102931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6.3550942286383367E-14</v>
      </c>
      <c r="BF111" s="14">
        <f t="shared" si="91"/>
        <v>1.0064464192543978E-12</v>
      </c>
      <c r="BG111" s="22">
        <f t="shared" si="61"/>
        <v>1.8635787380168604E-12</v>
      </c>
      <c r="BH111" s="62">
        <f t="shared" si="62"/>
        <v>285.85527879593485</v>
      </c>
      <c r="BI111" s="62">
        <f ca="1">AVERAGE(OFFSET($BH$3,0,0,'Données projet'!$E$11+1,1))-AVERAGE(OFFSET($H$3,0,0,'Données projet'!$E$11+1,1))</f>
        <v>381.71417599784968</v>
      </c>
      <c r="BJ111" s="62">
        <f t="shared" si="92"/>
        <v>350.49230135197979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6.8964902174747573</v>
      </c>
      <c r="BQ111" s="23">
        <f>EXP(-LN(2)/25)*BQ110+(1-EXP(-LN(2)/25))/(LN(2)/25)*Calculateur!BL111*Calculateur!BN111*VLOOKUP('Données projet'!$B$11,Paramètres!$A$1:$I$89,3,0)*0.475*44/12</f>
        <v>3.2329614509758731</v>
      </c>
      <c r="BR111" s="23">
        <f>EXP(-LN(2)/2)*BR110+(1-EXP(-LN(2)/2))/(LN(2)/2)*BL111*BO111*VLOOKUP('Données projet'!$B$11,Paramètres!$A$1:$I$89,3,0)*0.475*44/12</f>
        <v>1.2622045124029598E-10</v>
      </c>
      <c r="BS111" s="24">
        <f t="shared" si="63"/>
        <v>10.129451668576852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3.1036506698001178E-14</v>
      </c>
      <c r="CA111" s="14">
        <f t="shared" si="93"/>
        <v>5.3428243983771088E-13</v>
      </c>
      <c r="CB111" s="22">
        <f t="shared" si="64"/>
        <v>9.8459716521636505E-13</v>
      </c>
      <c r="CC111" s="62">
        <f t="shared" si="65"/>
        <v>285.85527879593394</v>
      </c>
      <c r="CD111" s="62">
        <f ca="1">AVERAGE(OFFSET($CC$3,0,0,'Données projet'!$E$12+1,1))-AVERAGE(OFFSET($H$3,0,0,'Données projet'!$E$12+1,1))</f>
        <v>202.72043399839748</v>
      </c>
      <c r="CE111" s="62">
        <f t="shared" si="94"/>
        <v>295.50255983395789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0.67216991964580752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0.67216991964580752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4.9658410716801891E-14</v>
      </c>
      <c r="CV111" s="14">
        <f t="shared" si="95"/>
        <v>8.0934058173791862E-13</v>
      </c>
      <c r="CW111" s="22">
        <f t="shared" si="67"/>
        <v>1.4960899118586383E-12</v>
      </c>
      <c r="CX111" s="62">
        <f t="shared" si="68"/>
        <v>285.85527879593445</v>
      </c>
      <c r="CY111" s="62">
        <f ca="1">AVERAGE(OFFSET($CX$3,0,0,'Données projet'!$E$13+1,1))-AVERAGE(OFFSET($H$3,0,0,'Données projet'!$E$13+1,1))</f>
        <v>297.56177871222496</v>
      </c>
      <c r="CZ111" s="62">
        <f t="shared" si="96"/>
        <v>421.5717731815397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3.8921994109814433</v>
      </c>
      <c r="DH111" s="23">
        <f>EXP(-LN(2)/2)*DH110+(1-EXP(-LN(2)/2))/(LN(2)/2)*DB111*DE111*VLOOKUP('Données projet'!$B$13,Paramètres!$A$1:$I$89,3,0)*0.475*44/12</f>
        <v>2.9624060125901505E-11</v>
      </c>
      <c r="DI111" s="24">
        <f t="shared" si="69"/>
        <v>3.8921994110110671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752.99999999999977</v>
      </c>
      <c r="DP111" s="18">
        <f>DO111*VLOOKUP('Données projet'!$B$14,Paramètres!$A$1:$I$89,3,0)*VLOOKUP('Données projet'!$B$14,Paramètres!$A$1:$I$89,5,0)</f>
        <v>552.09959999999978</v>
      </c>
      <c r="DQ111" s="14">
        <f t="shared" si="97"/>
        <v>122.01091055125165</v>
      </c>
      <c r="DR111" s="22">
        <f t="shared" si="70"/>
        <v>1174.0758058767628</v>
      </c>
      <c r="DS111" s="62">
        <f t="shared" si="71"/>
        <v>1459.9310846726958</v>
      </c>
      <c r="DT111" s="62">
        <f ca="1">AVERAGE(OFFSET($DS$3,0,0,'Données projet'!$E$14+1,1))-AVERAGE(OFFSET($H$3,0,0,'Données projet'!$E$14+1,1))</f>
        <v>667.0152731006724</v>
      </c>
      <c r="DU111" s="62">
        <f t="shared" si="98"/>
        <v>567.40780872008088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2.6872598880261567</v>
      </c>
      <c r="EC111" s="23">
        <f>EXP(-LN(2)/2)*EC110+(1-EXP(-LN(2)/2))/(LN(2)/2)*DW111*DZ111*VLOOKUP('Données projet'!$B$14,Paramètres!$A$1:$I$89,3,0)*0.475*44/12</f>
        <v>2.6978133133640297E-11</v>
      </c>
      <c r="ED111" s="24">
        <f t="shared" si="72"/>
        <v>2.6872598880531346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311.43839999999989</v>
      </c>
      <c r="EL111" s="14">
        <f t="shared" si="99"/>
        <v>73.569144360291361</v>
      </c>
      <c r="EM111" s="22">
        <f t="shared" si="73"/>
        <v>670.55480642750729</v>
      </c>
      <c r="EN111" s="62">
        <f t="shared" si="74"/>
        <v>956.41008522344032</v>
      </c>
      <c r="EO111" s="62">
        <f ca="1">AVERAGE(OFFSET($EN$3,0,0,'Données projet'!$E$15+1,1))-AVERAGE(OFFSET($H$3,0,0,'Données projet'!$E$15+1,1))</f>
        <v>454.99849419289757</v>
      </c>
      <c r="EP111" s="62">
        <f t="shared" si="100"/>
        <v>288.86643267991928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67.960530580708991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2.7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24.230700000000041</v>
      </c>
      <c r="D112" s="12">
        <f t="shared" si="86"/>
        <v>7.7050919833491429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69.055475757340545</v>
      </c>
      <c r="H112" s="70">
        <f t="shared" si="56"/>
        <v>272.68817103766651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923.74759293850514</v>
      </c>
      <c r="S112" s="62">
        <f ca="1">AVERAGE(OFFSET($R$3,0,0,'Données projet'!$E$9+1,1))-AVERAGE(OFFSET($H$3,0,0,'Données projet'!$E$9+1,1))</f>
        <v>427.57091071251745</v>
      </c>
      <c r="T112" s="62">
        <f t="shared" si="88"/>
        <v>272.62827206514726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998.91078609360636</v>
      </c>
      <c r="AN112" s="62">
        <f ca="1">AVERAGE(OFFSET($AM$3,0,0,'Données projet'!$E$10+1,1))-AVERAGE(OFFSET($H$3,0,0,'Données projet'!$E$10+1,1))</f>
        <v>475.54515523869958</v>
      </c>
      <c r="AO112" s="62">
        <f t="shared" si="90"/>
        <v>301.02979240961452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1.1447807410663564</v>
      </c>
      <c r="AW112" s="23">
        <f>EXP(-LN(2)/2)*AW111+(1-EXP(-LN(2)/2))/(LN(2)/2)*AQ112*AT112*VLOOKUP('Données projet'!$B$10,Paramètres!$A$1:$I$89,3,0)*0.475*44/12</f>
        <v>2.1491741766001241E-11</v>
      </c>
      <c r="AX112" s="23">
        <f t="shared" si="60"/>
        <v>1.1447807410878481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6.3550942286383367E-14</v>
      </c>
      <c r="BF112" s="14">
        <f t="shared" si="91"/>
        <v>1.0064464192543978E-12</v>
      </c>
      <c r="BG112" s="22">
        <f t="shared" si="61"/>
        <v>1.8635787380168604E-12</v>
      </c>
      <c r="BH112" s="62">
        <f t="shared" si="62"/>
        <v>285.98500632373344</v>
      </c>
      <c r="BI112" s="62">
        <f ca="1">AVERAGE(OFFSET($BH$3,0,0,'Données projet'!$E$11+1,1))-AVERAGE(OFFSET($H$3,0,0,'Données projet'!$E$11+1,1))</f>
        <v>381.71417599784968</v>
      </c>
      <c r="BJ112" s="62">
        <f t="shared" si="92"/>
        <v>350.49230135197979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6.7612542507537583</v>
      </c>
      <c r="BQ112" s="23">
        <f>EXP(-LN(2)/25)*BQ111+(1-EXP(-LN(2)/25))/(LN(2)/25)*Calculateur!BL112*Calculateur!BN112*VLOOKUP('Données projet'!$B$11,Paramètres!$A$1:$I$89,3,0)*0.475*44/12</f>
        <v>3.1445559500848841</v>
      </c>
      <c r="BR112" s="23">
        <f>EXP(-LN(2)/2)*BR111+(1-EXP(-LN(2)/2))/(LN(2)/2)*BL112*BO112*VLOOKUP('Données projet'!$B$11,Paramètres!$A$1:$I$89,3,0)*0.475*44/12</f>
        <v>8.9251336996439264E-11</v>
      </c>
      <c r="BS112" s="24">
        <f t="shared" si="63"/>
        <v>9.9058102009278937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3.1036506698001178E-14</v>
      </c>
      <c r="CA112" s="14">
        <f t="shared" si="93"/>
        <v>5.3428243983771088E-13</v>
      </c>
      <c r="CB112" s="22">
        <f t="shared" si="64"/>
        <v>9.8459716521636505E-13</v>
      </c>
      <c r="CC112" s="62">
        <f t="shared" si="65"/>
        <v>285.98500632373253</v>
      </c>
      <c r="CD112" s="62">
        <f ca="1">AVERAGE(OFFSET($CC$3,0,0,'Données projet'!$E$12+1,1))-AVERAGE(OFFSET($H$3,0,0,'Données projet'!$E$12+1,1))</f>
        <v>202.72043399839748</v>
      </c>
      <c r="CE112" s="62">
        <f t="shared" si="94"/>
        <v>295.50255983395789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0.65378939784521306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0.65378939784521306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4.9658410716801891E-14</v>
      </c>
      <c r="CV112" s="14">
        <f t="shared" si="95"/>
        <v>8.0934058173791862E-13</v>
      </c>
      <c r="CW112" s="22">
        <f t="shared" si="67"/>
        <v>1.4960899118586383E-12</v>
      </c>
      <c r="CX112" s="62">
        <f t="shared" si="68"/>
        <v>285.98500632373305</v>
      </c>
      <c r="CY112" s="62">
        <f ca="1">AVERAGE(OFFSET($CX$3,0,0,'Données projet'!$E$13+1,1))-AVERAGE(OFFSET($H$3,0,0,'Données projet'!$E$13+1,1))</f>
        <v>297.56177871222496</v>
      </c>
      <c r="CZ112" s="62">
        <f t="shared" si="96"/>
        <v>421.5717731815397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3.7857670134062844</v>
      </c>
      <c r="DH112" s="23">
        <f>EXP(-LN(2)/2)*DH111+(1-EXP(-LN(2)/2))/(LN(2)/2)*DB112*DE112*VLOOKUP('Données projet'!$B$13,Paramètres!$A$1:$I$89,3,0)*0.475*44/12</f>
        <v>2.0947373801302963E-11</v>
      </c>
      <c r="DI112" s="24">
        <f t="shared" si="69"/>
        <v>3.7857670134272317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752.99999999999977</v>
      </c>
      <c r="DP112" s="18">
        <f>DO112*VLOOKUP('Données projet'!$B$14,Paramètres!$A$1:$I$89,3,0)*VLOOKUP('Données projet'!$B$14,Paramètres!$A$1:$I$89,5,0)</f>
        <v>552.09959999999978</v>
      </c>
      <c r="DQ112" s="14">
        <f t="shared" si="97"/>
        <v>122.01091055125165</v>
      </c>
      <c r="DR112" s="22">
        <f t="shared" si="70"/>
        <v>1174.0758058767628</v>
      </c>
      <c r="DS112" s="62">
        <f t="shared" si="71"/>
        <v>1460.0608122004944</v>
      </c>
      <c r="DT112" s="62">
        <f ca="1">AVERAGE(OFFSET($DS$3,0,0,'Données projet'!$E$14+1,1))-AVERAGE(OFFSET($H$3,0,0,'Données projet'!$E$14+1,1))</f>
        <v>667.0152731006724</v>
      </c>
      <c r="DU112" s="62">
        <f t="shared" si="98"/>
        <v>567.40780872008088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2.6137766250712255</v>
      </c>
      <c r="EC112" s="23">
        <f>EXP(-LN(2)/2)*EC111+(1-EXP(-LN(2)/2))/(LN(2)/2)*DW112*DZ112*VLOOKUP('Données projet'!$B$14,Paramètres!$A$1:$I$89,3,0)*0.475*44/12</f>
        <v>1.9076420882550537E-11</v>
      </c>
      <c r="ED112" s="24">
        <f t="shared" si="72"/>
        <v>2.6137766250903018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316.2743999999999</v>
      </c>
      <c r="EL112" s="14">
        <f t="shared" si="99"/>
        <v>74.577642578935567</v>
      </c>
      <c r="EM112" s="22">
        <f t="shared" si="73"/>
        <v>680.73397415831266</v>
      </c>
      <c r="EN112" s="62">
        <f t="shared" si="74"/>
        <v>966.71898048204423</v>
      </c>
      <c r="EO112" s="62">
        <f ca="1">AVERAGE(OFFSET($EN$3,0,0,'Données projet'!$E$15+1,1))-AVERAGE(OFFSET($H$3,0,0,'Données projet'!$E$15+1,1))</f>
        <v>454.99849419289757</v>
      </c>
      <c r="EP112" s="62">
        <f t="shared" si="100"/>
        <v>288.86643267991928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67.99591081556315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2.7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24.453000000000042</v>
      </c>
      <c r="D113" s="12">
        <f t="shared" si="86"/>
        <v>7.7675194733777913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69.604949860904597</v>
      </c>
      <c r="H113" s="70">
        <f t="shared" si="56"/>
        <v>273.18407141613307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933.40737761067476</v>
      </c>
      <c r="S113" s="62">
        <f ca="1">AVERAGE(OFFSET($R$3,0,0,'Données projet'!$E$9+1,1))-AVERAGE(OFFSET($H$3,0,0,'Données projet'!$E$9+1,1))</f>
        <v>427.57091071251745</v>
      </c>
      <c r="T113" s="62">
        <f t="shared" si="88"/>
        <v>272.62827206514726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1009.6966138778596</v>
      </c>
      <c r="AN113" s="62">
        <f ca="1">AVERAGE(OFFSET($AM$3,0,0,'Données projet'!$E$10+1,1))-AVERAGE(OFFSET($H$3,0,0,'Données projet'!$E$10+1,1))</f>
        <v>475.54515523869958</v>
      </c>
      <c r="AO113" s="62">
        <f t="shared" si="90"/>
        <v>301.02979240961452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1.1134766515004941</v>
      </c>
      <c r="AW113" s="23">
        <f>EXP(-LN(2)/2)*AW112+(1-EXP(-LN(2)/2))/(LN(2)/2)*AQ113*AT113*VLOOKUP('Données projet'!$B$10,Paramètres!$A$1:$I$89,3,0)*0.475*44/12</f>
        <v>1.5196956342249624E-11</v>
      </c>
      <c r="AX113" s="23">
        <f t="shared" si="60"/>
        <v>1.1134766515156911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6.3550942286383367E-14</v>
      </c>
      <c r="BF113" s="14">
        <f t="shared" si="91"/>
        <v>1.0064464192543978E-12</v>
      </c>
      <c r="BG113" s="22">
        <f t="shared" si="61"/>
        <v>1.8635787380168604E-12</v>
      </c>
      <c r="BH113" s="62">
        <f t="shared" si="62"/>
        <v>286.11248336895198</v>
      </c>
      <c r="BI113" s="62">
        <f ca="1">AVERAGE(OFFSET($BH$3,0,0,'Données projet'!$E$11+1,1))-AVERAGE(OFFSET($H$3,0,0,'Données projet'!$E$11+1,1))</f>
        <v>381.71417599784968</v>
      </c>
      <c r="BJ113" s="62">
        <f t="shared" si="92"/>
        <v>350.49230135197979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6.6286701788543629</v>
      </c>
      <c r="BQ113" s="23">
        <f>EXP(-LN(2)/25)*BQ112+(1-EXP(-LN(2)/25))/(LN(2)/25)*Calculateur!BL113*Calculateur!BN113*VLOOKUP('Données projet'!$B$11,Paramètres!$A$1:$I$89,3,0)*0.475*44/12</f>
        <v>3.0585679022648025</v>
      </c>
      <c r="BR113" s="23">
        <f>EXP(-LN(2)/2)*BR112+(1-EXP(-LN(2)/2))/(LN(2)/2)*BL113*BO113*VLOOKUP('Données projet'!$B$11,Paramètres!$A$1:$I$89,3,0)*0.475*44/12</f>
        <v>6.311022562014799E-11</v>
      </c>
      <c r="BS113" s="24">
        <f t="shared" si="63"/>
        <v>9.6872380811822758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3.1036506698001178E-14</v>
      </c>
      <c r="CA113" s="14">
        <f t="shared" si="93"/>
        <v>5.3428243983771088E-13</v>
      </c>
      <c r="CB113" s="22">
        <f t="shared" si="64"/>
        <v>9.8459716521636505E-13</v>
      </c>
      <c r="CC113" s="62">
        <f t="shared" si="65"/>
        <v>286.11248336895108</v>
      </c>
      <c r="CD113" s="62">
        <f ca="1">AVERAGE(OFFSET($CC$3,0,0,'Données projet'!$E$12+1,1))-AVERAGE(OFFSET($H$3,0,0,'Données projet'!$E$12+1,1))</f>
        <v>202.72043399839748</v>
      </c>
      <c r="CE113" s="62">
        <f t="shared" si="94"/>
        <v>295.50255983395789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0.63591149237984557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0.63591149237984557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4.9658410716801891E-14</v>
      </c>
      <c r="CV113" s="14">
        <f t="shared" si="95"/>
        <v>8.0934058173791862E-13</v>
      </c>
      <c r="CW113" s="22">
        <f t="shared" si="67"/>
        <v>1.4960899118586383E-12</v>
      </c>
      <c r="CX113" s="62">
        <f t="shared" si="68"/>
        <v>286.11248336895159</v>
      </c>
      <c r="CY113" s="62">
        <f ca="1">AVERAGE(OFFSET($CX$3,0,0,'Données projet'!$E$13+1,1))-AVERAGE(OFFSET($H$3,0,0,'Données projet'!$E$13+1,1))</f>
        <v>297.56177871222496</v>
      </c>
      <c r="CZ113" s="62">
        <f t="shared" si="96"/>
        <v>421.5717731815397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3.6822450153398547</v>
      </c>
      <c r="DH113" s="23">
        <f>EXP(-LN(2)/2)*DH112+(1-EXP(-LN(2)/2))/(LN(2)/2)*DB113*DE113*VLOOKUP('Données projet'!$B$13,Paramètres!$A$1:$I$89,3,0)*0.475*44/12</f>
        <v>1.4812030062950752E-11</v>
      </c>
      <c r="DI113" s="24">
        <f t="shared" si="69"/>
        <v>3.6822450153546669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752.99999999999977</v>
      </c>
      <c r="DP113" s="18">
        <f>DO113*VLOOKUP('Données projet'!$B$14,Paramètres!$A$1:$I$89,3,0)*VLOOKUP('Données projet'!$B$14,Paramètres!$A$1:$I$89,5,0)</f>
        <v>552.09959999999978</v>
      </c>
      <c r="DQ113" s="14">
        <f t="shared" si="97"/>
        <v>122.01091055125165</v>
      </c>
      <c r="DR113" s="22">
        <f t="shared" si="70"/>
        <v>1174.0758058767628</v>
      </c>
      <c r="DS113" s="62">
        <f t="shared" si="71"/>
        <v>1460.1882892457129</v>
      </c>
      <c r="DT113" s="62">
        <f ca="1">AVERAGE(OFFSET($DS$3,0,0,'Données projet'!$E$14+1,1))-AVERAGE(OFFSET($H$3,0,0,'Données projet'!$E$14+1,1))</f>
        <v>667.0152731006724</v>
      </c>
      <c r="DU113" s="62">
        <f t="shared" si="98"/>
        <v>567.40780872008088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2.5423027658061139</v>
      </c>
      <c r="EC113" s="23">
        <f>EXP(-LN(2)/2)*EC112+(1-EXP(-LN(2)/2))/(LN(2)/2)*DW113*DZ113*VLOOKUP('Données projet'!$B$14,Paramètres!$A$1:$I$89,3,0)*0.475*44/12</f>
        <v>1.3489066566820148E-11</v>
      </c>
      <c r="ED113" s="24">
        <f t="shared" si="72"/>
        <v>2.5423027658196031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321.11039999999986</v>
      </c>
      <c r="EL113" s="14">
        <f t="shared" si="99"/>
        <v>75.584347378293316</v>
      </c>
      <c r="EM113" s="22">
        <f t="shared" si="73"/>
        <v>690.91001835052737</v>
      </c>
      <c r="EN113" s="62">
        <f t="shared" si="74"/>
        <v>977.02250171947753</v>
      </c>
      <c r="EO113" s="62">
        <f ca="1">AVERAGE(OFFSET($EN$3,0,0,'Données projet'!$E$15+1,1))-AVERAGE(OFFSET($H$3,0,0,'Données projet'!$E$15+1,1))</f>
        <v>454.99849419289757</v>
      </c>
      <c r="EP113" s="62">
        <f t="shared" si="100"/>
        <v>288.86643267991928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68.030677282440934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2.7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24.675300000000043</v>
      </c>
      <c r="D114" s="12">
        <f t="shared" si="86"/>
        <v>7.8298809377488805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70.154296546533018</v>
      </c>
      <c r="H114" s="70">
        <f t="shared" si="56"/>
        <v>273.67985679991273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894.62210076511678</v>
      </c>
      <c r="S114" s="62">
        <f ca="1">AVERAGE(OFFSET($R$3,0,0,'Données projet'!$E$9+1,1))-AVERAGE(OFFSET($H$3,0,0,'Données projet'!$E$9+1,1))</f>
        <v>427.57091071251745</v>
      </c>
      <c r="T114" s="62">
        <f t="shared" si="88"/>
        <v>272.62827206514726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315.96239999999989</v>
      </c>
      <c r="AK114" s="14">
        <f t="shared" si="89"/>
        <v>74.512632625562503</v>
      </c>
      <c r="AL114" s="22">
        <f t="shared" si="58"/>
        <v>680.07734848952111</v>
      </c>
      <c r="AM114" s="62">
        <f t="shared" si="59"/>
        <v>966.31509746195115</v>
      </c>
      <c r="AN114" s="62">
        <f ca="1">AVERAGE(OFFSET($AM$3,0,0,'Données projet'!$E$10+1,1))-AVERAGE(OFFSET($H$3,0,0,'Données projet'!$E$10+1,1))</f>
        <v>475.54515523869958</v>
      </c>
      <c r="AO114" s="62">
        <f t="shared" si="90"/>
        <v>301.02979240961452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1.0830285739100209</v>
      </c>
      <c r="AW114" s="23">
        <f>EXP(-LN(2)/2)*AW113+(1-EXP(-LN(2)/2))/(LN(2)/2)*AQ114*AT114*VLOOKUP('Données projet'!$B$10,Paramètres!$A$1:$I$89,3,0)*0.475*44/12</f>
        <v>1.074587088300062E-11</v>
      </c>
      <c r="AX114" s="23">
        <f t="shared" si="60"/>
        <v>1.0830285739207668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6.3550942286383367E-14</v>
      </c>
      <c r="BF114" s="14">
        <f t="shared" si="91"/>
        <v>1.0064464192543978E-12</v>
      </c>
      <c r="BG114" s="22">
        <f t="shared" si="61"/>
        <v>1.8635787380168604E-12</v>
      </c>
      <c r="BH114" s="62">
        <f t="shared" si="62"/>
        <v>286.23774897243197</v>
      </c>
      <c r="BI114" s="62">
        <f ca="1">AVERAGE(OFFSET($BH$3,0,0,'Données projet'!$E$11+1,1))-AVERAGE(OFFSET($H$3,0,0,'Données projet'!$E$11+1,1))</f>
        <v>381.71417599784968</v>
      </c>
      <c r="BJ114" s="62">
        <f t="shared" si="92"/>
        <v>350.49230135197979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6.4986859997366162</v>
      </c>
      <c r="BQ114" s="23">
        <f>EXP(-LN(2)/25)*BQ113+(1-EXP(-LN(2)/25))/(LN(2)/25)*Calculateur!BL114*Calculateur!BN114*VLOOKUP('Données projet'!$B$11,Paramètres!$A$1:$I$89,3,0)*0.475*44/12</f>
        <v>2.9749312021342758</v>
      </c>
      <c r="BR114" s="23">
        <f>EXP(-LN(2)/2)*BR113+(1-EXP(-LN(2)/2))/(LN(2)/2)*BL114*BO114*VLOOKUP('Données projet'!$B$11,Paramètres!$A$1:$I$89,3,0)*0.475*44/12</f>
        <v>4.4625668498219632E-11</v>
      </c>
      <c r="BS114" s="24">
        <f t="shared" si="63"/>
        <v>9.473617201915518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3.1036506698001178E-14</v>
      </c>
      <c r="CA114" s="14">
        <f t="shared" si="93"/>
        <v>5.3428243983771088E-13</v>
      </c>
      <c r="CB114" s="22">
        <f t="shared" si="64"/>
        <v>9.8459716521636505E-13</v>
      </c>
      <c r="CC114" s="62">
        <f t="shared" si="65"/>
        <v>286.23774897243106</v>
      </c>
      <c r="CD114" s="62">
        <f ca="1">AVERAGE(OFFSET($CC$3,0,0,'Données projet'!$E$12+1,1))-AVERAGE(OFFSET($H$3,0,0,'Données projet'!$E$12+1,1))</f>
        <v>202.72043399839748</v>
      </c>
      <c r="CE114" s="62">
        <f t="shared" si="94"/>
        <v>295.50255983395789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0.6185224591795867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0.6185224591795867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4.9658410716801891E-14</v>
      </c>
      <c r="CV114" s="14">
        <f t="shared" si="95"/>
        <v>8.0934058173791862E-13</v>
      </c>
      <c r="CW114" s="22">
        <f t="shared" si="67"/>
        <v>1.4960899118586383E-12</v>
      </c>
      <c r="CX114" s="62">
        <f t="shared" si="68"/>
        <v>286.23774897243158</v>
      </c>
      <c r="CY114" s="62">
        <f ca="1">AVERAGE(OFFSET($CX$3,0,0,'Données projet'!$E$13+1,1))-AVERAGE(OFFSET($H$3,0,0,'Données projet'!$E$13+1,1))</f>
        <v>297.56177871222496</v>
      </c>
      <c r="CZ114" s="62">
        <f t="shared" si="96"/>
        <v>421.5717731815397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3.5815538317545368</v>
      </c>
      <c r="DH114" s="23">
        <f>EXP(-LN(2)/2)*DH113+(1-EXP(-LN(2)/2))/(LN(2)/2)*DB114*DE114*VLOOKUP('Données projet'!$B$13,Paramètres!$A$1:$I$89,3,0)*0.475*44/12</f>
        <v>1.0473686900651482E-11</v>
      </c>
      <c r="DI114" s="24">
        <f t="shared" si="69"/>
        <v>3.5815538317650106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752.99999999999977</v>
      </c>
      <c r="DP114" s="18">
        <f>DO114*VLOOKUP('Données projet'!$B$14,Paramètres!$A$1:$I$89,3,0)*VLOOKUP('Données projet'!$B$14,Paramètres!$A$1:$I$89,5,0)</f>
        <v>552.09959999999978</v>
      </c>
      <c r="DQ114" s="14">
        <f t="shared" si="97"/>
        <v>122.01091055125165</v>
      </c>
      <c r="DR114" s="22">
        <f t="shared" si="70"/>
        <v>1174.0758058767628</v>
      </c>
      <c r="DS114" s="62">
        <f t="shared" si="71"/>
        <v>1460.313554849193</v>
      </c>
      <c r="DT114" s="62">
        <f ca="1">AVERAGE(OFFSET($DS$3,0,0,'Données projet'!$E$14+1,1))-AVERAGE(OFFSET($H$3,0,0,'Données projet'!$E$14+1,1))</f>
        <v>667.0152731006724</v>
      </c>
      <c r="DU114" s="62">
        <f t="shared" si="98"/>
        <v>567.40780872008088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2.4727833629812537</v>
      </c>
      <c r="EC114" s="23">
        <f>EXP(-LN(2)/2)*EC113+(1-EXP(-LN(2)/2))/(LN(2)/2)*DW114*DZ114*VLOOKUP('Données projet'!$B$14,Paramètres!$A$1:$I$89,3,0)*0.475*44/12</f>
        <v>9.5382104412752683E-12</v>
      </c>
      <c r="ED114" s="24">
        <f t="shared" si="72"/>
        <v>2.4727833629907918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301.37951999999996</v>
      </c>
      <c r="EL114" s="14">
        <f t="shared" si="99"/>
        <v>71.465586589963848</v>
      </c>
      <c r="EM114" s="22">
        <f t="shared" si="73"/>
        <v>649.37189397752024</v>
      </c>
      <c r="EN114" s="62">
        <f t="shared" si="74"/>
        <v>935.60964294995028</v>
      </c>
      <c r="EO114" s="62">
        <f ca="1">AVERAGE(OFFSET($EN$3,0,0,'Données projet'!$E$15+1,1))-AVERAGE(OFFSET($H$3,0,0,'Données projet'!$E$15+1,1))</f>
        <v>454.99849419289757</v>
      </c>
      <c r="EP114" s="62">
        <f t="shared" si="100"/>
        <v>288.86643267991928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68.064840628844564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2.7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24.897600000000043</v>
      </c>
      <c r="D115" s="12">
        <f t="shared" si="86"/>
        <v>7.892177040195838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70.703517095114861</v>
      </c>
      <c r="H115" s="70">
        <f t="shared" si="56"/>
        <v>274.17552834500782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903.52352613282687</v>
      </c>
      <c r="S115" s="62">
        <f ca="1">AVERAGE(OFFSET($R$3,0,0,'Données projet'!$E$9+1,1))-AVERAGE(OFFSET($H$3,0,0,'Données projet'!$E$9+1,1))</f>
        <v>427.57091071251745</v>
      </c>
      <c r="T115" s="62">
        <f t="shared" si="88"/>
        <v>272.62827206514726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320.62679999999995</v>
      </c>
      <c r="AK115" s="14">
        <f t="shared" si="89"/>
        <v>75.483756735990909</v>
      </c>
      <c r="AL115" s="22">
        <f t="shared" si="58"/>
        <v>689.89255298185071</v>
      </c>
      <c r="AM115" s="62">
        <f t="shared" si="59"/>
        <v>976.25339447959232</v>
      </c>
      <c r="AN115" s="62">
        <f ca="1">AVERAGE(OFFSET($AM$3,0,0,'Données projet'!$E$10+1,1))-AVERAGE(OFFSET($H$3,0,0,'Données projet'!$E$10+1,1))</f>
        <v>475.54515523869958</v>
      </c>
      <c r="AO115" s="62">
        <f t="shared" si="90"/>
        <v>301.02979240961452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1.0534131006024541</v>
      </c>
      <c r="AW115" s="23">
        <f>EXP(-LN(2)/2)*AW114+(1-EXP(-LN(2)/2))/(LN(2)/2)*AQ115*AT115*VLOOKUP('Données projet'!$B$10,Paramètres!$A$1:$I$89,3,0)*0.475*44/12</f>
        <v>7.5984781711248118E-12</v>
      </c>
      <c r="AX115" s="23">
        <f t="shared" si="60"/>
        <v>1.0534131006100527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6.3550942286383367E-14</v>
      </c>
      <c r="BF115" s="14">
        <f t="shared" si="91"/>
        <v>1.0064464192543978E-12</v>
      </c>
      <c r="BG115" s="22">
        <f t="shared" si="61"/>
        <v>1.8635787380168604E-12</v>
      </c>
      <c r="BH115" s="62">
        <f t="shared" si="62"/>
        <v>286.36084149774348</v>
      </c>
      <c r="BI115" s="62">
        <f ca="1">AVERAGE(OFFSET($BH$3,0,0,'Données projet'!$E$11+1,1))-AVERAGE(OFFSET($H$3,0,0,'Données projet'!$E$11+1,1))</f>
        <v>381.71417599784968</v>
      </c>
      <c r="BJ115" s="62">
        <f t="shared" si="92"/>
        <v>350.49230135197979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6.371250731088848</v>
      </c>
      <c r="BQ115" s="23">
        <f>EXP(-LN(2)/25)*BQ114+(1-EXP(-LN(2)/25))/(LN(2)/25)*Calculateur!BL115*Calculateur!BN115*VLOOKUP('Données projet'!$B$11,Paramètres!$A$1:$I$89,3,0)*0.475*44/12</f>
        <v>2.8935815519670816</v>
      </c>
      <c r="BR115" s="23">
        <f>EXP(-LN(2)/2)*BR114+(1-EXP(-LN(2)/2))/(LN(2)/2)*BL115*BO115*VLOOKUP('Données projet'!$B$11,Paramètres!$A$1:$I$89,3,0)*0.475*44/12</f>
        <v>3.1555112810073995E-11</v>
      </c>
      <c r="BS115" s="24">
        <f t="shared" si="63"/>
        <v>9.2648322830874843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3.1036506698001178E-14</v>
      </c>
      <c r="CA115" s="14">
        <f t="shared" si="93"/>
        <v>5.3428243983771088E-13</v>
      </c>
      <c r="CB115" s="22">
        <f t="shared" si="64"/>
        <v>9.8459716521636505E-13</v>
      </c>
      <c r="CC115" s="62">
        <f t="shared" si="65"/>
        <v>286.36084149774257</v>
      </c>
      <c r="CD115" s="62">
        <f ca="1">AVERAGE(OFFSET($CC$3,0,0,'Données projet'!$E$12+1,1))-AVERAGE(OFFSET($H$3,0,0,'Données projet'!$E$12+1,1))</f>
        <v>202.72043399839748</v>
      </c>
      <c r="CE115" s="62">
        <f t="shared" si="94"/>
        <v>295.50255983395789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0.6016089300066384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0.6016089300066384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4.9658410716801891E-14</v>
      </c>
      <c r="CV115" s="14">
        <f t="shared" si="95"/>
        <v>8.0934058173791862E-13</v>
      </c>
      <c r="CW115" s="22">
        <f t="shared" si="67"/>
        <v>1.4960899118586383E-12</v>
      </c>
      <c r="CX115" s="62">
        <f t="shared" si="68"/>
        <v>286.36084149774308</v>
      </c>
      <c r="CY115" s="62">
        <f ca="1">AVERAGE(OFFSET($CX$3,0,0,'Données projet'!$E$13+1,1))-AVERAGE(OFFSET($H$3,0,0,'Données projet'!$E$13+1,1))</f>
        <v>297.56177871222496</v>
      </c>
      <c r="CZ115" s="62">
        <f t="shared" si="96"/>
        <v>421.5717731815397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3.4836160538794787</v>
      </c>
      <c r="DH115" s="23">
        <f>EXP(-LN(2)/2)*DH114+(1-EXP(-LN(2)/2))/(LN(2)/2)*DB115*DE115*VLOOKUP('Données projet'!$B$13,Paramètres!$A$1:$I$89,3,0)*0.475*44/12</f>
        <v>7.4060150314753762E-12</v>
      </c>
      <c r="DI115" s="24">
        <f t="shared" si="69"/>
        <v>3.4836160538868848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752.99999999999977</v>
      </c>
      <c r="DP115" s="18">
        <f>DO115*VLOOKUP('Données projet'!$B$14,Paramètres!$A$1:$I$89,3,0)*VLOOKUP('Données projet'!$B$14,Paramètres!$A$1:$I$89,5,0)</f>
        <v>552.09959999999978</v>
      </c>
      <c r="DQ115" s="14">
        <f t="shared" si="97"/>
        <v>122.01091055125165</v>
      </c>
      <c r="DR115" s="22">
        <f t="shared" si="70"/>
        <v>1174.0758058767628</v>
      </c>
      <c r="DS115" s="62">
        <f t="shared" si="71"/>
        <v>1460.4366473745044</v>
      </c>
      <c r="DT115" s="62">
        <f ca="1">AVERAGE(OFFSET($DS$3,0,0,'Données projet'!$E$14+1,1))-AVERAGE(OFFSET($H$3,0,0,'Données projet'!$E$14+1,1))</f>
        <v>667.0152731006724</v>
      </c>
      <c r="DU115" s="62">
        <f t="shared" si="98"/>
        <v>567.40780872008088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2.4051649718825057</v>
      </c>
      <c r="EC115" s="23">
        <f>EXP(-LN(2)/2)*EC114+(1-EXP(-LN(2)/2))/(LN(2)/2)*DW115*DZ115*VLOOKUP('Données projet'!$B$14,Paramètres!$A$1:$I$89,3,0)*0.475*44/12</f>
        <v>6.7445332834100741E-12</v>
      </c>
      <c r="ED115" s="24">
        <f t="shared" si="72"/>
        <v>2.40516497188925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305.82863999999995</v>
      </c>
      <c r="EL115" s="14">
        <f t="shared" si="99"/>
        <v>72.396998509767741</v>
      </c>
      <c r="EM115" s="22">
        <f t="shared" si="73"/>
        <v>658.74298707117862</v>
      </c>
      <c r="EN115" s="62">
        <f t="shared" si="74"/>
        <v>945.10382856892022</v>
      </c>
      <c r="EO115" s="62">
        <f ca="1">AVERAGE(OFFSET($EN$3,0,0,'Données projet'!$E$15+1,1))-AVERAGE(OFFSET($H$3,0,0,'Données projet'!$E$15+1,1))</f>
        <v>454.99849419289757</v>
      </c>
      <c r="EP115" s="62">
        <f t="shared" si="100"/>
        <v>288.86643267991928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68.09841131756589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2.7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25.119900000000044</v>
      </c>
      <c r="D116" s="12">
        <f t="shared" si="86"/>
        <v>7.9544084319159127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71.25261276334659</v>
      </c>
      <c r="H116" s="70">
        <f t="shared" si="56"/>
        <v>274.671087185587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912.42022843190421</v>
      </c>
      <c r="S116" s="62">
        <f ca="1">AVERAGE(OFFSET($R$3,0,0,'Données projet'!$E$9+1,1))-AVERAGE(OFFSET($H$3,0,0,'Données projet'!$E$9+1,1))</f>
        <v>427.57091071251745</v>
      </c>
      <c r="T116" s="62">
        <f t="shared" si="88"/>
        <v>272.62827206514726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325.2912</v>
      </c>
      <c r="AK116" s="14">
        <f t="shared" si="89"/>
        <v>76.453237715285965</v>
      </c>
      <c r="AL116" s="22">
        <f t="shared" si="58"/>
        <v>699.70489568745631</v>
      </c>
      <c r="AM116" s="62">
        <f t="shared" si="59"/>
        <v>986.18669433038895</v>
      </c>
      <c r="AN116" s="62">
        <f ca="1">AVERAGE(OFFSET($AM$3,0,0,'Données projet'!$E$10+1,1))-AVERAGE(OFFSET($H$3,0,0,'Données projet'!$E$10+1,1))</f>
        <v>475.54515523869958</v>
      </c>
      <c r="AO116" s="62">
        <f t="shared" si="90"/>
        <v>301.02979240961452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1.0246074639698926</v>
      </c>
      <c r="AW116" s="23">
        <f>EXP(-LN(2)/2)*AW115+(1-EXP(-LN(2)/2))/(LN(2)/2)*AQ116*AT116*VLOOKUP('Données projet'!$B$10,Paramètres!$A$1:$I$89,3,0)*0.475*44/12</f>
        <v>5.3729354415003102E-12</v>
      </c>
      <c r="AX116" s="23">
        <f t="shared" si="60"/>
        <v>1.0246074639752656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6.3550942286383367E-14</v>
      </c>
      <c r="BF116" s="14">
        <f t="shared" si="91"/>
        <v>1.0064464192543978E-12</v>
      </c>
      <c r="BG116" s="22">
        <f t="shared" si="61"/>
        <v>1.8635787380168604E-12</v>
      </c>
      <c r="BH116" s="62">
        <f t="shared" si="62"/>
        <v>286.48179864293456</v>
      </c>
      <c r="BI116" s="62">
        <f ca="1">AVERAGE(OFFSET($BH$3,0,0,'Données projet'!$E$11+1,1))-AVERAGE(OFFSET($H$3,0,0,'Données projet'!$E$11+1,1))</f>
        <v>381.71417599784968</v>
      </c>
      <c r="BJ116" s="62">
        <f t="shared" si="92"/>
        <v>350.49230135197979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6.2463143903314231</v>
      </c>
      <c r="BQ116" s="23">
        <f>EXP(-LN(2)/25)*BQ115+(1-EXP(-LN(2)/25))/(LN(2)/25)*Calculateur!BL116*Calculateur!BN116*VLOOKUP('Données projet'!$B$11,Paramètres!$A$1:$I$89,3,0)*0.475*44/12</f>
        <v>2.8144564122617011</v>
      </c>
      <c r="BR116" s="23">
        <f>EXP(-LN(2)/2)*BR115+(1-EXP(-LN(2)/2))/(LN(2)/2)*BL116*BO116*VLOOKUP('Données projet'!$B$11,Paramètres!$A$1:$I$89,3,0)*0.475*44/12</f>
        <v>2.2312834249109816E-11</v>
      </c>
      <c r="BS116" s="24">
        <f t="shared" si="63"/>
        <v>9.060770802615437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3.1036506698001178E-14</v>
      </c>
      <c r="CA116" s="14">
        <f t="shared" si="93"/>
        <v>5.3428243983771088E-13</v>
      </c>
      <c r="CB116" s="22">
        <f t="shared" si="64"/>
        <v>9.8459716521636505E-13</v>
      </c>
      <c r="CC116" s="62">
        <f t="shared" si="65"/>
        <v>286.48179864293365</v>
      </c>
      <c r="CD116" s="62">
        <f ca="1">AVERAGE(OFFSET($CC$3,0,0,'Données projet'!$E$12+1,1))-AVERAGE(OFFSET($H$3,0,0,'Données projet'!$E$12+1,1))</f>
        <v>202.72043399839748</v>
      </c>
      <c r="CE116" s="62">
        <f t="shared" si="94"/>
        <v>295.50255983395789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0.58515790217836827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0.58515790217836827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4.9658410716801891E-14</v>
      </c>
      <c r="CV116" s="14">
        <f t="shared" si="95"/>
        <v>8.0934058173791862E-13</v>
      </c>
      <c r="CW116" s="22">
        <f t="shared" si="67"/>
        <v>1.4960899118586383E-12</v>
      </c>
      <c r="CX116" s="62">
        <f t="shared" si="68"/>
        <v>286.48179864293417</v>
      </c>
      <c r="CY116" s="62">
        <f ca="1">AVERAGE(OFFSET($CX$3,0,0,'Données projet'!$E$13+1,1))-AVERAGE(OFFSET($H$3,0,0,'Données projet'!$E$13+1,1))</f>
        <v>297.56177871222496</v>
      </c>
      <c r="CZ116" s="62">
        <f t="shared" si="96"/>
        <v>421.5717731815397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3.3883563896907378</v>
      </c>
      <c r="DH116" s="23">
        <f>EXP(-LN(2)/2)*DH115+(1-EXP(-LN(2)/2))/(LN(2)/2)*DB116*DE116*VLOOKUP('Données projet'!$B$13,Paramètres!$A$1:$I$89,3,0)*0.475*44/12</f>
        <v>5.2368434503257408E-12</v>
      </c>
      <c r="DI116" s="24">
        <f t="shared" si="69"/>
        <v>3.3883563896959745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752.99999999999977</v>
      </c>
      <c r="DP116" s="18">
        <f>DO116*VLOOKUP('Données projet'!$B$14,Paramètres!$A$1:$I$89,3,0)*VLOOKUP('Données projet'!$B$14,Paramètres!$A$1:$I$89,5,0)</f>
        <v>552.09959999999978</v>
      </c>
      <c r="DQ116" s="14">
        <f t="shared" si="97"/>
        <v>122.01091055125165</v>
      </c>
      <c r="DR116" s="22">
        <f t="shared" si="70"/>
        <v>1174.0758058767628</v>
      </c>
      <c r="DS116" s="62">
        <f t="shared" si="71"/>
        <v>1460.5576045196956</v>
      </c>
      <c r="DT116" s="62">
        <f ca="1">AVERAGE(OFFSET($DS$3,0,0,'Données projet'!$E$14+1,1))-AVERAGE(OFFSET($H$3,0,0,'Données projet'!$E$14+1,1))</f>
        <v>667.0152731006724</v>
      </c>
      <c r="DU116" s="62">
        <f t="shared" si="98"/>
        <v>567.40780872008088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2.3393956092442498</v>
      </c>
      <c r="EC116" s="23">
        <f>EXP(-LN(2)/2)*EC115+(1-EXP(-LN(2)/2))/(LN(2)/2)*DW116*DZ116*VLOOKUP('Données projet'!$B$14,Paramètres!$A$1:$I$89,3,0)*0.475*44/12</f>
        <v>4.7691052206376342E-12</v>
      </c>
      <c r="ED116" s="24">
        <f t="shared" si="72"/>
        <v>2.3393956092490189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310.27775999999994</v>
      </c>
      <c r="EL116" s="14">
        <f t="shared" si="99"/>
        <v>73.326834491020819</v>
      </c>
      <c r="EM116" s="22">
        <f t="shared" si="73"/>
        <v>668.11133540519438</v>
      </c>
      <c r="EN116" s="62">
        <f t="shared" si="74"/>
        <v>954.59313404812701</v>
      </c>
      <c r="EO116" s="62">
        <f ca="1">AVERAGE(OFFSET($EN$3,0,0,'Données projet'!$E$15+1,1))-AVERAGE(OFFSET($H$3,0,0,'Données projet'!$E$15+1,1))</f>
        <v>454.99849419289757</v>
      </c>
      <c r="EP116" s="62">
        <f t="shared" si="100"/>
        <v>288.86643267991928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68.131399629890723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2.7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25.342200000000044</v>
      </c>
      <c r="D117" s="12">
        <f t="shared" si="86"/>
        <v>8.0165757519157701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71.801584784398955</v>
      </c>
      <c r="H117" s="70">
        <f t="shared" si="56"/>
        <v>275.16653443458677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921.31228609903576</v>
      </c>
      <c r="S117" s="62">
        <f ca="1">AVERAGE(OFFSET($R$3,0,0,'Données projet'!$E$9+1,1))-AVERAGE(OFFSET($H$3,0,0,'Données projet'!$E$9+1,1))</f>
        <v>427.57091071251745</v>
      </c>
      <c r="T117" s="62">
        <f t="shared" si="88"/>
        <v>272.62827206514726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329.9556</v>
      </c>
      <c r="AK117" s="14">
        <f t="shared" si="89"/>
        <v>77.421101846941795</v>
      </c>
      <c r="AL117" s="22">
        <f t="shared" si="58"/>
        <v>709.51442238342361</v>
      </c>
      <c r="AM117" s="62">
        <f t="shared" si="59"/>
        <v>996.11507983549791</v>
      </c>
      <c r="AN117" s="62">
        <f ca="1">AVERAGE(OFFSET($AM$3,0,0,'Données projet'!$E$10+1,1))-AVERAGE(OFFSET($H$3,0,0,'Données projet'!$E$10+1,1))</f>
        <v>475.54515523869958</v>
      </c>
      <c r="AO117" s="62">
        <f t="shared" si="90"/>
        <v>301.02979240961452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0.99658951898587111</v>
      </c>
      <c r="AW117" s="23">
        <f>EXP(-LN(2)/2)*AW116+(1-EXP(-LN(2)/2))/(LN(2)/2)*AQ117*AT117*VLOOKUP('Données projet'!$B$10,Paramètres!$A$1:$I$89,3,0)*0.475*44/12</f>
        <v>3.7992390855624059E-12</v>
      </c>
      <c r="AX117" s="23">
        <f t="shared" si="60"/>
        <v>0.99658951898967041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6.3550942286383367E-14</v>
      </c>
      <c r="BF117" s="14">
        <f t="shared" si="91"/>
        <v>1.0064464192543978E-12</v>
      </c>
      <c r="BG117" s="22">
        <f t="shared" si="61"/>
        <v>1.8635787380168604E-12</v>
      </c>
      <c r="BH117" s="62">
        <f t="shared" si="62"/>
        <v>286.60065745207618</v>
      </c>
      <c r="BI117" s="62">
        <f ca="1">AVERAGE(OFFSET($BH$3,0,0,'Données projet'!$E$11+1,1))-AVERAGE(OFFSET($H$3,0,0,'Données projet'!$E$11+1,1))</f>
        <v>381.71417599784968</v>
      </c>
      <c r="BJ117" s="62">
        <f t="shared" si="92"/>
        <v>350.49230135197979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6.1238279750126079</v>
      </c>
      <c r="BQ117" s="23">
        <f>EXP(-LN(2)/25)*BQ116+(1-EXP(-LN(2)/25))/(LN(2)/25)*Calculateur!BL117*Calculateur!BN117*VLOOKUP('Données projet'!$B$11,Paramètres!$A$1:$I$89,3,0)*0.475*44/12</f>
        <v>2.7374949536625746</v>
      </c>
      <c r="BR117" s="23">
        <f>EXP(-LN(2)/2)*BR116+(1-EXP(-LN(2)/2))/(LN(2)/2)*BL117*BO117*VLOOKUP('Données projet'!$B$11,Paramètres!$A$1:$I$89,3,0)*0.475*44/12</f>
        <v>1.5777556405036998E-11</v>
      </c>
      <c r="BS117" s="24">
        <f t="shared" si="63"/>
        <v>8.8613229286909601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3.1036506698001178E-14</v>
      </c>
      <c r="CA117" s="14">
        <f t="shared" si="93"/>
        <v>5.3428243983771088E-13</v>
      </c>
      <c r="CB117" s="22">
        <f t="shared" si="64"/>
        <v>9.8459716521636505E-13</v>
      </c>
      <c r="CC117" s="62">
        <f t="shared" si="65"/>
        <v>286.60065745207527</v>
      </c>
      <c r="CD117" s="62">
        <f ca="1">AVERAGE(OFFSET($CC$3,0,0,'Données projet'!$E$12+1,1))-AVERAGE(OFFSET($H$3,0,0,'Données projet'!$E$12+1,1))</f>
        <v>202.72043399839748</v>
      </c>
      <c r="CE117" s="62">
        <f t="shared" si="94"/>
        <v>295.50255983395789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0.56915672857118416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0.56915672857118416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4.9658410716801891E-14</v>
      </c>
      <c r="CV117" s="14">
        <f t="shared" si="95"/>
        <v>8.0934058173791862E-13</v>
      </c>
      <c r="CW117" s="22">
        <f t="shared" si="67"/>
        <v>1.4960899118586383E-12</v>
      </c>
      <c r="CX117" s="62">
        <f t="shared" si="68"/>
        <v>286.60065745207578</v>
      </c>
      <c r="CY117" s="62">
        <f ca="1">AVERAGE(OFFSET($CX$3,0,0,'Données projet'!$E$13+1,1))-AVERAGE(OFFSET($H$3,0,0,'Données projet'!$E$13+1,1))</f>
        <v>297.56177871222496</v>
      </c>
      <c r="CZ117" s="62">
        <f t="shared" si="96"/>
        <v>421.5717731815397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3.2957016060287261</v>
      </c>
      <c r="DH117" s="23">
        <f>EXP(-LN(2)/2)*DH116+(1-EXP(-LN(2)/2))/(LN(2)/2)*DB117*DE117*VLOOKUP('Données projet'!$B$13,Paramètres!$A$1:$I$89,3,0)*0.475*44/12</f>
        <v>3.7030075157376881E-12</v>
      </c>
      <c r="DI117" s="24">
        <f t="shared" si="69"/>
        <v>3.2957016060324289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752.99999999999977</v>
      </c>
      <c r="DP117" s="18">
        <f>DO117*VLOOKUP('Données projet'!$B$14,Paramètres!$A$1:$I$89,3,0)*VLOOKUP('Données projet'!$B$14,Paramètres!$A$1:$I$89,5,0)</f>
        <v>552.09959999999978</v>
      </c>
      <c r="DQ117" s="14">
        <f t="shared" si="97"/>
        <v>122.01091055125165</v>
      </c>
      <c r="DR117" s="22">
        <f t="shared" si="70"/>
        <v>1174.0758058767628</v>
      </c>
      <c r="DS117" s="62">
        <f t="shared" si="71"/>
        <v>1460.6764633288371</v>
      </c>
      <c r="DT117" s="62">
        <f ca="1">AVERAGE(OFFSET($DS$3,0,0,'Données projet'!$E$14+1,1))-AVERAGE(OFFSET($H$3,0,0,'Données projet'!$E$14+1,1))</f>
        <v>667.0152731006724</v>
      </c>
      <c r="DU117" s="62">
        <f t="shared" si="98"/>
        <v>567.40780872008088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2.2754247132859975</v>
      </c>
      <c r="EC117" s="23">
        <f>EXP(-LN(2)/2)*EC116+(1-EXP(-LN(2)/2))/(LN(2)/2)*DW117*DZ117*VLOOKUP('Données projet'!$B$14,Paramètres!$A$1:$I$89,3,0)*0.475*44/12</f>
        <v>3.3722666417050371E-12</v>
      </c>
      <c r="ED117" s="24">
        <f t="shared" si="72"/>
        <v>2.2754247132893699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314.72687999999999</v>
      </c>
      <c r="EL117" s="14">
        <f t="shared" si="99"/>
        <v>74.255119742405697</v>
      </c>
      <c r="EM117" s="22">
        <f t="shared" si="73"/>
        <v>677.47698288468996</v>
      </c>
      <c r="EN117" s="62">
        <f t="shared" si="74"/>
        <v>964.07764033676426</v>
      </c>
      <c r="EO117" s="62">
        <f ca="1">AVERAGE(OFFSET($EN$3,0,0,'Données projet'!$E$15+1,1))-AVERAGE(OFFSET($H$3,0,0,'Données projet'!$E$15+1,1))</f>
        <v>454.99849419289757</v>
      </c>
      <c r="EP117" s="62">
        <f t="shared" si="100"/>
        <v>288.86643267991928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68.163815668747532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2.7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25.564500000000045</v>
      </c>
      <c r="D118" s="12">
        <f t="shared" si="86"/>
        <v>8.0786796273445702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72.350434368559789</v>
      </c>
      <c r="H118" s="70">
        <f t="shared" si="56"/>
        <v>275.6618711842919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930.19977569077241</v>
      </c>
      <c r="S118" s="62">
        <f ca="1">AVERAGE(OFFSET($R$3,0,0,'Données projet'!$E$9+1,1))-AVERAGE(OFFSET($H$3,0,0,'Données projet'!$E$9+1,1))</f>
        <v>427.57091071251745</v>
      </c>
      <c r="T118" s="62">
        <f t="shared" si="88"/>
        <v>272.62827206514726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334.62</v>
      </c>
      <c r="AK118" s="14">
        <f t="shared" si="89"/>
        <v>78.387374628661505</v>
      </c>
      <c r="AL118" s="22">
        <f t="shared" si="58"/>
        <v>719.32117747825214</v>
      </c>
      <c r="AM118" s="62">
        <f t="shared" si="59"/>
        <v>1006.0386318048579</v>
      </c>
      <c r="AN118" s="62">
        <f ca="1">AVERAGE(OFFSET($AM$3,0,0,'Données projet'!$E$10+1,1))-AVERAGE(OFFSET($H$3,0,0,'Données projet'!$E$10+1,1))</f>
        <v>475.54515523869958</v>
      </c>
      <c r="AO118" s="62">
        <f t="shared" si="90"/>
        <v>301.02979240961452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0.96933772618083736</v>
      </c>
      <c r="AW118" s="23">
        <f>EXP(-LN(2)/2)*AW117+(1-EXP(-LN(2)/2))/(LN(2)/2)*AQ118*AT118*VLOOKUP('Données projet'!$B$10,Paramètres!$A$1:$I$89,3,0)*0.475*44/12</f>
        <v>2.6864677207501551E-12</v>
      </c>
      <c r="AX118" s="23">
        <f t="shared" si="60"/>
        <v>0.96933772618352387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6.3550942286383367E-14</v>
      </c>
      <c r="BF118" s="14">
        <f t="shared" si="91"/>
        <v>1.0064464192543978E-12</v>
      </c>
      <c r="BG118" s="22">
        <f t="shared" si="61"/>
        <v>1.8635787380168604E-12</v>
      </c>
      <c r="BH118" s="62">
        <f t="shared" si="62"/>
        <v>286.71745432660771</v>
      </c>
      <c r="BI118" s="62">
        <f ca="1">AVERAGE(OFFSET($BH$3,0,0,'Données projet'!$E$11+1,1))-AVERAGE(OFFSET($H$3,0,0,'Données projet'!$E$11+1,1))</f>
        <v>381.71417599784968</v>
      </c>
      <c r="BJ118" s="62">
        <f t="shared" si="92"/>
        <v>350.49230135197979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6.0037434435888581</v>
      </c>
      <c r="BQ118" s="23">
        <f>EXP(-LN(2)/25)*BQ117+(1-EXP(-LN(2)/25))/(LN(2)/25)*Calculateur!BL118*Calculateur!BN118*VLOOKUP('Données projet'!$B$11,Paramètres!$A$1:$I$89,3,0)*0.475*44/12</f>
        <v>2.6626380101960683</v>
      </c>
      <c r="BR118" s="23">
        <f>EXP(-LN(2)/2)*BR117+(1-EXP(-LN(2)/2))/(LN(2)/2)*BL118*BO118*VLOOKUP('Données projet'!$B$11,Paramètres!$A$1:$I$89,3,0)*0.475*44/12</f>
        <v>1.1156417124554908E-11</v>
      </c>
      <c r="BS118" s="24">
        <f t="shared" si="63"/>
        <v>8.6663814537960828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3.1036506698001178E-14</v>
      </c>
      <c r="CA118" s="14">
        <f t="shared" si="93"/>
        <v>5.3428243983771088E-13</v>
      </c>
      <c r="CB118" s="22">
        <f t="shared" si="64"/>
        <v>9.8459716521636505E-13</v>
      </c>
      <c r="CC118" s="62">
        <f t="shared" si="65"/>
        <v>286.7174543266068</v>
      </c>
      <c r="CD118" s="62">
        <f ca="1">AVERAGE(OFFSET($CC$3,0,0,'Données projet'!$E$12+1,1))-AVERAGE(OFFSET($H$3,0,0,'Données projet'!$E$12+1,1))</f>
        <v>202.72043399839748</v>
      </c>
      <c r="CE118" s="62">
        <f t="shared" si="94"/>
        <v>295.50255983395789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0.55359310789775362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0.55359310789775362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4.9658410716801891E-14</v>
      </c>
      <c r="CV118" s="14">
        <f t="shared" si="95"/>
        <v>8.0934058173791862E-13</v>
      </c>
      <c r="CW118" s="22">
        <f t="shared" si="67"/>
        <v>1.4960899118586383E-12</v>
      </c>
      <c r="CX118" s="62">
        <f t="shared" si="68"/>
        <v>286.71745432660731</v>
      </c>
      <c r="CY118" s="62">
        <f ca="1">AVERAGE(OFFSET($CX$3,0,0,'Données projet'!$E$13+1,1))-AVERAGE(OFFSET($H$3,0,0,'Données projet'!$E$13+1,1))</f>
        <v>297.56177871222496</v>
      </c>
      <c r="CZ118" s="62">
        <f t="shared" si="96"/>
        <v>421.5717731815397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3.2055804722984553</v>
      </c>
      <c r="DH118" s="23">
        <f>EXP(-LN(2)/2)*DH117+(1-EXP(-LN(2)/2))/(LN(2)/2)*DB118*DE118*VLOOKUP('Données projet'!$B$13,Paramètres!$A$1:$I$89,3,0)*0.475*44/12</f>
        <v>2.6184217251628704E-12</v>
      </c>
      <c r="DI118" s="24">
        <f t="shared" si="69"/>
        <v>3.2055804723010737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752.99999999999977</v>
      </c>
      <c r="DP118" s="18">
        <f>DO118*VLOOKUP('Données projet'!$B$14,Paramètres!$A$1:$I$89,3,0)*VLOOKUP('Données projet'!$B$14,Paramètres!$A$1:$I$89,5,0)</f>
        <v>552.09959999999978</v>
      </c>
      <c r="DQ118" s="14">
        <f t="shared" si="97"/>
        <v>122.01091055125165</v>
      </c>
      <c r="DR118" s="22">
        <f t="shared" si="70"/>
        <v>1174.0758058767628</v>
      </c>
      <c r="DS118" s="62">
        <f t="shared" si="71"/>
        <v>1460.7932602033686</v>
      </c>
      <c r="DT118" s="62">
        <f ca="1">AVERAGE(OFFSET($DS$3,0,0,'Données projet'!$E$14+1,1))-AVERAGE(OFFSET($H$3,0,0,'Données projet'!$E$14+1,1))</f>
        <v>667.0152731006724</v>
      </c>
      <c r="DU118" s="62">
        <f t="shared" si="98"/>
        <v>567.40780872008088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2.2132031048418068</v>
      </c>
      <c r="EC118" s="23">
        <f>EXP(-LN(2)/2)*EC117+(1-EXP(-LN(2)/2))/(LN(2)/2)*DW118*DZ118*VLOOKUP('Données projet'!$B$14,Paramètres!$A$1:$I$89,3,0)*0.475*44/12</f>
        <v>2.3845526103188171E-12</v>
      </c>
      <c r="ED118" s="24">
        <f t="shared" si="72"/>
        <v>2.2132031048441916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319.17599999999999</v>
      </c>
      <c r="EL118" s="14">
        <f t="shared" si="99"/>
        <v>75.181878718947672</v>
      </c>
      <c r="EM118" s="22">
        <f t="shared" si="73"/>
        <v>686.83997210216705</v>
      </c>
      <c r="EN118" s="62">
        <f t="shared" si="74"/>
        <v>973.55742642877294</v>
      </c>
      <c r="EO118" s="62">
        <f ca="1">AVERAGE(OFFSET($EN$3,0,0,'Données projet'!$E$15+1,1))-AVERAGE(OFFSET($H$3,0,0,'Données projet'!$E$15+1,1))</f>
        <v>454.99849419289757</v>
      </c>
      <c r="EP118" s="62">
        <f t="shared" si="100"/>
        <v>288.86643267991928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68.195669361801592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2.7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25.786800000000046</v>
      </c>
      <c r="D119" s="12">
        <f t="shared" si="86"/>
        <v>8.1407206738151441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72.899162703853875</v>
      </c>
      <c r="H119" s="70">
        <f t="shared" si="56"/>
        <v>276.15709850689484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427.57091071251745</v>
      </c>
      <c r="T119" s="62">
        <f t="shared" si="88"/>
        <v>272.62827206514726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475.54515523869958</v>
      </c>
      <c r="AO119" s="62">
        <f t="shared" si="90"/>
        <v>301.02979240961452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0.94283113508316674</v>
      </c>
      <c r="AW119" s="23">
        <f>EXP(-LN(2)/2)*AW118+(1-EXP(-LN(2)/2))/(LN(2)/2)*AQ119*AT119*VLOOKUP('Données projet'!$B$10,Paramètres!$A$1:$I$89,3,0)*0.475*44/12</f>
        <v>1.899619542781203E-12</v>
      </c>
      <c r="AX119" s="23">
        <f t="shared" si="60"/>
        <v>0.94283113508506633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6.3550942286383367E-14</v>
      </c>
      <c r="BF119" s="14">
        <f t="shared" si="91"/>
        <v>1.0064464192543978E-12</v>
      </c>
      <c r="BG119" s="22">
        <f t="shared" si="61"/>
        <v>1.8635787380168604E-12</v>
      </c>
      <c r="BH119" s="62">
        <f t="shared" si="62"/>
        <v>286.83222503648477</v>
      </c>
      <c r="BI119" s="62">
        <f ca="1">AVERAGE(OFFSET($BH$3,0,0,'Données projet'!$E$11+1,1))-AVERAGE(OFFSET($H$3,0,0,'Données projet'!$E$11+1,1))</f>
        <v>381.71417599784968</v>
      </c>
      <c r="BJ119" s="62">
        <f t="shared" si="92"/>
        <v>350.49230135197979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5.8860136965819967</v>
      </c>
      <c r="BQ119" s="23">
        <f>EXP(-LN(2)/25)*BQ118+(1-EXP(-LN(2)/25))/(LN(2)/25)*Calculateur!BL119*Calculateur!BN119*VLOOKUP('Données projet'!$B$11,Paramètres!$A$1:$I$89,3,0)*0.475*44/12</f>
        <v>2.5898280337852095</v>
      </c>
      <c r="BR119" s="23">
        <f>EXP(-LN(2)/2)*BR118+(1-EXP(-LN(2)/2))/(LN(2)/2)*BL119*BO119*VLOOKUP('Données projet'!$B$11,Paramètres!$A$1:$I$89,3,0)*0.475*44/12</f>
        <v>7.8887782025184988E-12</v>
      </c>
      <c r="BS119" s="24">
        <f t="shared" si="63"/>
        <v>8.4758417303750946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3.1036506698001178E-14</v>
      </c>
      <c r="CA119" s="14">
        <f t="shared" si="93"/>
        <v>5.3428243983771088E-13</v>
      </c>
      <c r="CB119" s="22">
        <f t="shared" si="64"/>
        <v>9.8459716521636505E-13</v>
      </c>
      <c r="CC119" s="62">
        <f t="shared" si="65"/>
        <v>286.83222503648386</v>
      </c>
      <c r="CD119" s="62">
        <f ca="1">AVERAGE(OFFSET($CC$3,0,0,'Données projet'!$E$12+1,1))-AVERAGE(OFFSET($H$3,0,0,'Données projet'!$E$12+1,1))</f>
        <v>202.72043399839748</v>
      </c>
      <c r="CE119" s="62">
        <f t="shared" si="94"/>
        <v>295.50255983395789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0.53845507525009328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0.53845507525009328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4.9658410716801891E-14</v>
      </c>
      <c r="CV119" s="14">
        <f t="shared" si="95"/>
        <v>8.0934058173791862E-13</v>
      </c>
      <c r="CW119" s="22">
        <f t="shared" si="67"/>
        <v>1.4960899118586383E-12</v>
      </c>
      <c r="CX119" s="62">
        <f t="shared" si="68"/>
        <v>286.83222503648437</v>
      </c>
      <c r="CY119" s="62">
        <f ca="1">AVERAGE(OFFSET($CX$3,0,0,'Données projet'!$E$13+1,1))-AVERAGE(OFFSET($H$3,0,0,'Données projet'!$E$13+1,1))</f>
        <v>297.56177871222496</v>
      </c>
      <c r="CZ119" s="62">
        <f t="shared" si="96"/>
        <v>421.5717731815397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3.1179237057093037</v>
      </c>
      <c r="DH119" s="23">
        <f>EXP(-LN(2)/2)*DH118+(1-EXP(-LN(2)/2))/(LN(2)/2)*DB119*DE119*VLOOKUP('Données projet'!$B$13,Paramètres!$A$1:$I$89,3,0)*0.475*44/12</f>
        <v>1.851503757868844E-12</v>
      </c>
      <c r="DI119" s="24">
        <f t="shared" si="69"/>
        <v>3.1179237057111551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752.99999999999977</v>
      </c>
      <c r="DP119" s="18">
        <f>DO119*VLOOKUP('Données projet'!$B$14,Paramètres!$A$1:$I$89,3,0)*VLOOKUP('Données projet'!$B$14,Paramètres!$A$1:$I$89,5,0)</f>
        <v>552.09959999999978</v>
      </c>
      <c r="DQ119" s="14">
        <f t="shared" si="97"/>
        <v>122.01091055125165</v>
      </c>
      <c r="DR119" s="22">
        <f t="shared" si="70"/>
        <v>1174.0758058767628</v>
      </c>
      <c r="DS119" s="62">
        <f t="shared" si="71"/>
        <v>1460.9080309132457</v>
      </c>
      <c r="DT119" s="62">
        <f ca="1">AVERAGE(OFFSET($DS$3,0,0,'Données projet'!$E$14+1,1))-AVERAGE(OFFSET($H$3,0,0,'Données projet'!$E$14+1,1))</f>
        <v>667.0152731006724</v>
      </c>
      <c r="DU119" s="62">
        <f t="shared" si="98"/>
        <v>567.40780872008088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2.1526829495526147</v>
      </c>
      <c r="EC119" s="23">
        <f>EXP(-LN(2)/2)*EC118+(1-EXP(-LN(2)/2))/(LN(2)/2)*DW119*DZ119*VLOOKUP('Données projet'!$B$14,Paramètres!$A$1:$I$89,3,0)*0.475*44/12</f>
        <v>1.6861333208525185E-12</v>
      </c>
      <c r="ED119" s="24">
        <f t="shared" si="72"/>
        <v>2.152682949554301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454.99849419289757</v>
      </c>
      <c r="EP119" s="62">
        <f t="shared" si="100"/>
        <v>288.86643267991928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68.226970464495338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2.7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26.009100000000046</v>
      </c>
      <c r="D120" s="12">
        <f t="shared" si="86"/>
        <v>8.2026994957138122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73.447770956640795</v>
      </c>
      <c r="H120" s="70">
        <f t="shared" si="56"/>
        <v>276.65221745503499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427.57091071251745</v>
      </c>
      <c r="T120" s="62">
        <f t="shared" si="88"/>
        <v>272.62827206514726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475.54515523869958</v>
      </c>
      <c r="AO120" s="62">
        <f t="shared" si="90"/>
        <v>301.02979240961452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0.91704936811298299</v>
      </c>
      <c r="AW120" s="23">
        <f>EXP(-LN(2)/2)*AW119+(1-EXP(-LN(2)/2))/(LN(2)/2)*AQ120*AT120*VLOOKUP('Données projet'!$B$10,Paramètres!$A$1:$I$89,3,0)*0.475*44/12</f>
        <v>1.3432338603750775E-12</v>
      </c>
      <c r="AX120" s="23">
        <f t="shared" si="60"/>
        <v>0.91704936811432625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6.3550942286383367E-14</v>
      </c>
      <c r="BF120" s="14">
        <f t="shared" si="91"/>
        <v>1.0064464192543978E-12</v>
      </c>
      <c r="BG120" s="22">
        <f t="shared" si="61"/>
        <v>1.8635787380168604E-12</v>
      </c>
      <c r="BH120" s="62">
        <f t="shared" si="62"/>
        <v>286.94500473113442</v>
      </c>
      <c r="BI120" s="62">
        <f ca="1">AVERAGE(OFFSET($BH$3,0,0,'Données projet'!$E$11+1,1))-AVERAGE(OFFSET($H$3,0,0,'Données projet'!$E$11+1,1))</f>
        <v>381.71417599784968</v>
      </c>
      <c r="BJ120" s="62">
        <f t="shared" si="92"/>
        <v>350.49230135197979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5.7705925581058848</v>
      </c>
      <c r="BQ120" s="23">
        <f>EXP(-LN(2)/25)*BQ119+(1-EXP(-LN(2)/25))/(LN(2)/25)*Calculateur!BL120*Calculateur!BN120*VLOOKUP('Données projet'!$B$11,Paramètres!$A$1:$I$89,3,0)*0.475*44/12</f>
        <v>2.5190090500082158</v>
      </c>
      <c r="BR120" s="23">
        <f>EXP(-LN(2)/2)*BR119+(1-EXP(-LN(2)/2))/(LN(2)/2)*BL120*BO120*VLOOKUP('Données projet'!$B$11,Paramètres!$A$1:$I$89,3,0)*0.475*44/12</f>
        <v>5.578208562277454E-12</v>
      </c>
      <c r="BS120" s="24">
        <f t="shared" si="63"/>
        <v>8.2896016081196784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3.1036506698001178E-14</v>
      </c>
      <c r="CA120" s="14">
        <f t="shared" si="93"/>
        <v>5.3428243983771088E-13</v>
      </c>
      <c r="CB120" s="22">
        <f t="shared" si="64"/>
        <v>9.8459716521636505E-13</v>
      </c>
      <c r="CC120" s="62">
        <f t="shared" si="65"/>
        <v>286.94500473113351</v>
      </c>
      <c r="CD120" s="62">
        <f ca="1">AVERAGE(OFFSET($CC$3,0,0,'Données projet'!$E$12+1,1))-AVERAGE(OFFSET($H$3,0,0,'Données projet'!$E$12+1,1))</f>
        <v>202.72043399839748</v>
      </c>
      <c r="CE120" s="62">
        <f t="shared" si="94"/>
        <v>295.50255983395789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0.52373099290125769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0.52373099290125769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4.9658410716801891E-14</v>
      </c>
      <c r="CV120" s="14">
        <f t="shared" si="95"/>
        <v>8.0934058173791862E-13</v>
      </c>
      <c r="CW120" s="22">
        <f t="shared" si="67"/>
        <v>1.4960899118586383E-12</v>
      </c>
      <c r="CX120" s="62">
        <f t="shared" si="68"/>
        <v>286.94500473113402</v>
      </c>
      <c r="CY120" s="62">
        <f ca="1">AVERAGE(OFFSET($CX$3,0,0,'Données projet'!$E$13+1,1))-AVERAGE(OFFSET($H$3,0,0,'Données projet'!$E$13+1,1))</f>
        <v>297.56177871222496</v>
      </c>
      <c r="CZ120" s="62">
        <f t="shared" si="96"/>
        <v>421.5717731815397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3.0326639180122013</v>
      </c>
      <c r="DH120" s="23">
        <f>EXP(-LN(2)/2)*DH119+(1-EXP(-LN(2)/2))/(LN(2)/2)*DB120*DE120*VLOOKUP('Données projet'!$B$13,Paramètres!$A$1:$I$89,3,0)*0.475*44/12</f>
        <v>1.3092108625814352E-12</v>
      </c>
      <c r="DI120" s="24">
        <f t="shared" si="69"/>
        <v>3.0326639180135104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752.99999999999977</v>
      </c>
      <c r="DP120" s="18">
        <f>DO120*VLOOKUP('Données projet'!$B$14,Paramètres!$A$1:$I$89,3,0)*VLOOKUP('Données projet'!$B$14,Paramètres!$A$1:$I$89,5,0)</f>
        <v>552.09959999999978</v>
      </c>
      <c r="DQ120" s="14">
        <f t="shared" si="97"/>
        <v>122.01091055125165</v>
      </c>
      <c r="DR120" s="22">
        <f t="shared" si="70"/>
        <v>1174.0758058767628</v>
      </c>
      <c r="DS120" s="62">
        <f t="shared" si="71"/>
        <v>1461.0208106078953</v>
      </c>
      <c r="DT120" s="62">
        <f ca="1">AVERAGE(OFFSET($DS$3,0,0,'Données projet'!$E$14+1,1))-AVERAGE(OFFSET($H$3,0,0,'Données projet'!$E$14+1,1))</f>
        <v>667.0152731006724</v>
      </c>
      <c r="DU120" s="62">
        <f t="shared" si="98"/>
        <v>567.40780872008088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2.0938177210924223</v>
      </c>
      <c r="EC120" s="23">
        <f>EXP(-LN(2)/2)*EC119+(1-EXP(-LN(2)/2))/(LN(2)/2)*DW120*DZ120*VLOOKUP('Données projet'!$B$14,Paramètres!$A$1:$I$89,3,0)*0.475*44/12</f>
        <v>1.1922763051594085E-12</v>
      </c>
      <c r="ED120" s="24">
        <f t="shared" si="72"/>
        <v>2.0938177210936146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454.99849419289757</v>
      </c>
      <c r="EP120" s="62">
        <f t="shared" si="100"/>
        <v>288.86643267991928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68.257728563036153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2.7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26.231400000000047</v>
      </c>
      <c r="D121" s="12">
        <f t="shared" si="86"/>
        <v>8.264616686499247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73.99626027219162</v>
      </c>
      <c r="H121" s="70">
        <f t="shared" si="56"/>
        <v>277.14722906231964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427.57091071251745</v>
      </c>
      <c r="T121" s="62">
        <f t="shared" si="88"/>
        <v>272.62827206514726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475.54515523869958</v>
      </c>
      <c r="AO121" s="62">
        <f t="shared" si="90"/>
        <v>301.02979240961452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0.89197260491640318</v>
      </c>
      <c r="AW121" s="23">
        <f>EXP(-LN(2)/2)*AW120+(1-EXP(-LN(2)/2))/(LN(2)/2)*AQ121*AT121*VLOOKUP('Données projet'!$B$10,Paramètres!$A$1:$I$89,3,0)*0.475*44/12</f>
        <v>9.4980977139060148E-13</v>
      </c>
      <c r="AX121" s="23">
        <f t="shared" si="60"/>
        <v>0.89197260491735297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6.3550942286383367E-14</v>
      </c>
      <c r="BF121" s="14">
        <f t="shared" si="91"/>
        <v>1.0064464192543978E-12</v>
      </c>
      <c r="BG121" s="22">
        <f t="shared" si="61"/>
        <v>1.8635787380168604E-12</v>
      </c>
      <c r="BH121" s="62">
        <f t="shared" si="62"/>
        <v>287.05582795021945</v>
      </c>
      <c r="BI121" s="62">
        <f ca="1">AVERAGE(OFFSET($BH$3,0,0,'Données projet'!$E$11+1,1))-AVERAGE(OFFSET($H$3,0,0,'Données projet'!$E$11+1,1))</f>
        <v>381.71417599784968</v>
      </c>
      <c r="BJ121" s="62">
        <f t="shared" si="92"/>
        <v>350.49230135197979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5.6574347577553459</v>
      </c>
      <c r="BQ121" s="23">
        <f>EXP(-LN(2)/25)*BQ120+(1-EXP(-LN(2)/25))/(LN(2)/25)*Calculateur!BL121*Calculateur!BN121*VLOOKUP('Données projet'!$B$11,Paramètres!$A$1:$I$89,3,0)*0.475*44/12</f>
        <v>2.4501266150668126</v>
      </c>
      <c r="BR121" s="23">
        <f>EXP(-LN(2)/2)*BR120+(1-EXP(-LN(2)/2))/(LN(2)/2)*BL121*BO121*VLOOKUP('Données projet'!$B$11,Paramètres!$A$1:$I$89,3,0)*0.475*44/12</f>
        <v>3.9443891012592494E-12</v>
      </c>
      <c r="BS121" s="24">
        <f t="shared" si="63"/>
        <v>8.1075613728261011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3.1036506698001178E-14</v>
      </c>
      <c r="CA121" s="14">
        <f t="shared" si="93"/>
        <v>5.3428243983771088E-13</v>
      </c>
      <c r="CB121" s="22">
        <f t="shared" si="64"/>
        <v>9.8459716521636505E-13</v>
      </c>
      <c r="CC121" s="62">
        <f t="shared" si="65"/>
        <v>287.05582795021854</v>
      </c>
      <c r="CD121" s="62">
        <f ca="1">AVERAGE(OFFSET($CC$3,0,0,'Données projet'!$E$12+1,1))-AVERAGE(OFFSET($H$3,0,0,'Données projet'!$E$12+1,1))</f>
        <v>202.72043399839748</v>
      </c>
      <c r="CE121" s="62">
        <f t="shared" si="94"/>
        <v>295.50255983395789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0.50940954135855687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0.50940954135855687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4.9658410716801891E-14</v>
      </c>
      <c r="CV121" s="14">
        <f t="shared" si="95"/>
        <v>8.0934058173791862E-13</v>
      </c>
      <c r="CW121" s="22">
        <f t="shared" si="67"/>
        <v>1.4960899118586383E-12</v>
      </c>
      <c r="CX121" s="62">
        <f t="shared" si="68"/>
        <v>287.05582795021905</v>
      </c>
      <c r="CY121" s="62">
        <f ca="1">AVERAGE(OFFSET($CX$3,0,0,'Données projet'!$E$13+1,1))-AVERAGE(OFFSET($H$3,0,0,'Données projet'!$E$13+1,1))</f>
        <v>297.56177871222496</v>
      </c>
      <c r="CZ121" s="62">
        <f t="shared" si="96"/>
        <v>421.5717731815397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2.9497355636932934</v>
      </c>
      <c r="DH121" s="23">
        <f>EXP(-LN(2)/2)*DH120+(1-EXP(-LN(2)/2))/(LN(2)/2)*DB121*DE121*VLOOKUP('Données projet'!$B$13,Paramètres!$A$1:$I$89,3,0)*0.475*44/12</f>
        <v>9.2575187893442202E-13</v>
      </c>
      <c r="DI121" s="24">
        <f t="shared" si="69"/>
        <v>2.9497355636942193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752.99999999999977</v>
      </c>
      <c r="DP121" s="18">
        <f>DO121*VLOOKUP('Données projet'!$B$14,Paramètres!$A$1:$I$89,3,0)*VLOOKUP('Données projet'!$B$14,Paramètres!$A$1:$I$89,5,0)</f>
        <v>552.09959999999978</v>
      </c>
      <c r="DQ121" s="14">
        <f t="shared" si="97"/>
        <v>122.01091055125165</v>
      </c>
      <c r="DR121" s="22">
        <f t="shared" si="70"/>
        <v>1174.0758058767628</v>
      </c>
      <c r="DS121" s="62">
        <f t="shared" si="71"/>
        <v>1461.1316338269803</v>
      </c>
      <c r="DT121" s="62">
        <f ca="1">AVERAGE(OFFSET($DS$3,0,0,'Données projet'!$E$14+1,1))-AVERAGE(OFFSET($H$3,0,0,'Données projet'!$E$14+1,1))</f>
        <v>667.0152731006724</v>
      </c>
      <c r="DU121" s="62">
        <f t="shared" si="98"/>
        <v>567.40780872008088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2.0365621654000616</v>
      </c>
      <c r="EC121" s="23">
        <f>EXP(-LN(2)/2)*EC120+(1-EXP(-LN(2)/2))/(LN(2)/2)*DW121*DZ121*VLOOKUP('Données projet'!$B$14,Paramètres!$A$1:$I$89,3,0)*0.475*44/12</f>
        <v>8.4306666042625927E-13</v>
      </c>
      <c r="ED121" s="24">
        <f t="shared" si="72"/>
        <v>2.0365621654009045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454.99849419289757</v>
      </c>
      <c r="EP121" s="62">
        <f t="shared" si="100"/>
        <v>288.86643267991928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68.287953077332062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2.7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26.453700000000048</v>
      </c>
      <c r="D122" s="12">
        <f t="shared" si="86"/>
        <v>8.3264728289909602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74.54463177524579</v>
      </c>
      <c r="H122" s="70">
        <f t="shared" si="56"/>
        <v>277.642134343826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427.57091071251745</v>
      </c>
      <c r="T122" s="62">
        <f t="shared" si="88"/>
        <v>272.62827206514726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475.54515523869958</v>
      </c>
      <c r="AO122" s="62">
        <f t="shared" si="90"/>
        <v>301.02979240961452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0.86758156712816348</v>
      </c>
      <c r="AW122" s="23">
        <f>EXP(-LN(2)/2)*AW121+(1-EXP(-LN(2)/2))/(LN(2)/2)*AQ122*AT122*VLOOKUP('Données projet'!$B$10,Paramètres!$A$1:$I$89,3,0)*0.475*44/12</f>
        <v>6.7161693018753877E-13</v>
      </c>
      <c r="AX122" s="23">
        <f t="shared" si="60"/>
        <v>0.86758156712883505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6.3550942286383367E-14</v>
      </c>
      <c r="BF122" s="14">
        <f t="shared" si="91"/>
        <v>1.0064464192543978E-12</v>
      </c>
      <c r="BG122" s="22">
        <f t="shared" si="61"/>
        <v>1.8635787380168604E-12</v>
      </c>
      <c r="BH122" s="62">
        <f t="shared" si="62"/>
        <v>287.164728634217</v>
      </c>
      <c r="BI122" s="62">
        <f ca="1">AVERAGE(OFFSET($BH$3,0,0,'Données projet'!$E$11+1,1))-AVERAGE(OFFSET($H$3,0,0,'Données projet'!$E$11+1,1))</f>
        <v>381.71417599784968</v>
      </c>
      <c r="BJ122" s="62">
        <f t="shared" si="92"/>
        <v>350.49230135197979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5.5464959128502382</v>
      </c>
      <c r="BQ122" s="23">
        <f>EXP(-LN(2)/25)*BQ121+(1-EXP(-LN(2)/25))/(LN(2)/25)*Calculateur!BL122*Calculateur!BN122*VLOOKUP('Données projet'!$B$11,Paramètres!$A$1:$I$89,3,0)*0.475*44/12</f>
        <v>2.383127773931252</v>
      </c>
      <c r="BR122" s="23">
        <f>EXP(-LN(2)/2)*BR121+(1-EXP(-LN(2)/2))/(LN(2)/2)*BL122*BO122*VLOOKUP('Données projet'!$B$11,Paramètres!$A$1:$I$89,3,0)*0.475*44/12</f>
        <v>2.789104281138727E-12</v>
      </c>
      <c r="BS122" s="24">
        <f t="shared" si="63"/>
        <v>7.9296236867842786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3.1036506698001178E-14</v>
      </c>
      <c r="CA122" s="14">
        <f t="shared" si="93"/>
        <v>5.3428243983771088E-13</v>
      </c>
      <c r="CB122" s="22">
        <f t="shared" si="64"/>
        <v>9.8459716521636505E-13</v>
      </c>
      <c r="CC122" s="62">
        <f t="shared" si="65"/>
        <v>287.16472863421609</v>
      </c>
      <c r="CD122" s="62">
        <f ca="1">AVERAGE(OFFSET($CC$3,0,0,'Données projet'!$E$12+1,1))-AVERAGE(OFFSET($H$3,0,0,'Données projet'!$E$12+1,1))</f>
        <v>202.72043399839748</v>
      </c>
      <c r="CE122" s="62">
        <f t="shared" si="94"/>
        <v>295.50255983395789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0.4954797106614236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0.4954797106614236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4.9658410716801891E-14</v>
      </c>
      <c r="CV122" s="14">
        <f t="shared" si="95"/>
        <v>8.0934058173791862E-13</v>
      </c>
      <c r="CW122" s="22">
        <f t="shared" si="67"/>
        <v>1.4960899118586383E-12</v>
      </c>
      <c r="CX122" s="62">
        <f t="shared" si="68"/>
        <v>287.1647286342166</v>
      </c>
      <c r="CY122" s="62">
        <f ca="1">AVERAGE(OFFSET($CX$3,0,0,'Données projet'!$E$13+1,1))-AVERAGE(OFFSET($H$3,0,0,'Données projet'!$E$13+1,1))</f>
        <v>297.56177871222496</v>
      </c>
      <c r="CZ122" s="62">
        <f t="shared" si="96"/>
        <v>421.5717731815397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2.8690748895842488</v>
      </c>
      <c r="DH122" s="23">
        <f>EXP(-LN(2)/2)*DH121+(1-EXP(-LN(2)/2))/(LN(2)/2)*DB122*DE122*VLOOKUP('Données projet'!$B$13,Paramètres!$A$1:$I$89,3,0)*0.475*44/12</f>
        <v>6.546054312907176E-13</v>
      </c>
      <c r="DI122" s="24">
        <f t="shared" si="69"/>
        <v>2.8690748895849034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752.99999999999977</v>
      </c>
      <c r="DP122" s="18">
        <f>DO122*VLOOKUP('Données projet'!$B$14,Paramètres!$A$1:$I$89,3,0)*VLOOKUP('Données projet'!$B$14,Paramètres!$A$1:$I$89,5,0)</f>
        <v>552.09959999999978</v>
      </c>
      <c r="DQ122" s="14">
        <f t="shared" si="97"/>
        <v>122.01091055125165</v>
      </c>
      <c r="DR122" s="22">
        <f t="shared" si="70"/>
        <v>1174.0758058767628</v>
      </c>
      <c r="DS122" s="62">
        <f t="shared" si="71"/>
        <v>1461.240534510978</v>
      </c>
      <c r="DT122" s="62">
        <f ca="1">AVERAGE(OFFSET($DS$3,0,0,'Données projet'!$E$14+1,1))-AVERAGE(OFFSET($H$3,0,0,'Données projet'!$E$14+1,1))</f>
        <v>667.0152731006724</v>
      </c>
      <c r="DU122" s="62">
        <f t="shared" si="98"/>
        <v>567.40780872008088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1.9808722658890472</v>
      </c>
      <c r="EC122" s="23">
        <f>EXP(-LN(2)/2)*EC121+(1-EXP(-LN(2)/2))/(LN(2)/2)*DW122*DZ122*VLOOKUP('Données projet'!$B$14,Paramètres!$A$1:$I$89,3,0)*0.475*44/12</f>
        <v>5.9613815257970427E-13</v>
      </c>
      <c r="ED122" s="24">
        <f t="shared" si="72"/>
        <v>1.9808722658896434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454.99849419289757</v>
      </c>
      <c r="EP122" s="62">
        <f t="shared" si="100"/>
        <v>288.86643267991928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68.317653263876849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2.7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26.676000000000048</v>
      </c>
      <c r="D123" s="12">
        <f t="shared" si="86"/>
        <v>8.3882684956477984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75.092886570548472</v>
      </c>
      <c r="H123" s="70">
        <f t="shared" si="56"/>
        <v>278.13693429658667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427.57091071251745</v>
      </c>
      <c r="T123" s="62">
        <f t="shared" si="88"/>
        <v>272.62827206514726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475.54515523869958</v>
      </c>
      <c r="AO123" s="62">
        <f t="shared" si="90"/>
        <v>301.02979240961452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0.84385750355091216</v>
      </c>
      <c r="AW123" s="23">
        <f>EXP(-LN(2)/2)*AW122+(1-EXP(-LN(2)/2))/(LN(2)/2)*AQ123*AT123*VLOOKUP('Données projet'!$B$10,Paramètres!$A$1:$I$89,3,0)*0.475*44/12</f>
        <v>4.7490488569530074E-13</v>
      </c>
      <c r="AX123" s="23">
        <f t="shared" si="60"/>
        <v>0.84385750355138711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6.3550942286383367E-14</v>
      </c>
      <c r="BF123" s="14">
        <f t="shared" si="91"/>
        <v>1.0064464192543978E-12</v>
      </c>
      <c r="BG123" s="22">
        <f t="shared" si="61"/>
        <v>1.8635787380168604E-12</v>
      </c>
      <c r="BH123" s="62">
        <f t="shared" si="62"/>
        <v>287.2717401348126</v>
      </c>
      <c r="BI123" s="62">
        <f ca="1">AVERAGE(OFFSET($BH$3,0,0,'Données projet'!$E$11+1,1))-AVERAGE(OFFSET($H$3,0,0,'Données projet'!$E$11+1,1))</f>
        <v>381.71417599784968</v>
      </c>
      <c r="BJ123" s="62">
        <f t="shared" si="92"/>
        <v>350.49230135197979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5.4377325110277059</v>
      </c>
      <c r="BQ123" s="23">
        <f>EXP(-LN(2)/25)*BQ122+(1-EXP(-LN(2)/25))/(LN(2)/25)*Calculateur!BL123*Calculateur!BN123*VLOOKUP('Données projet'!$B$11,Paramètres!$A$1:$I$89,3,0)*0.475*44/12</f>
        <v>2.317961019629859</v>
      </c>
      <c r="BR123" s="23">
        <f>EXP(-LN(2)/2)*BR122+(1-EXP(-LN(2)/2))/(LN(2)/2)*BL123*BO123*VLOOKUP('Données projet'!$B$11,Paramètres!$A$1:$I$89,3,0)*0.475*44/12</f>
        <v>1.9721945506296247E-12</v>
      </c>
      <c r="BS123" s="24">
        <f t="shared" si="63"/>
        <v>7.7556935306595367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3.1036506698001178E-14</v>
      </c>
      <c r="CA123" s="14">
        <f t="shared" si="93"/>
        <v>5.3428243983771088E-13</v>
      </c>
      <c r="CB123" s="22">
        <f t="shared" si="64"/>
        <v>9.8459716521636505E-13</v>
      </c>
      <c r="CC123" s="62">
        <f t="shared" si="65"/>
        <v>287.27174013481169</v>
      </c>
      <c r="CD123" s="62">
        <f ca="1">AVERAGE(OFFSET($CC$3,0,0,'Données projet'!$E$12+1,1))-AVERAGE(OFFSET($H$3,0,0,'Données projet'!$E$12+1,1))</f>
        <v>202.72043399839748</v>
      </c>
      <c r="CE123" s="62">
        <f t="shared" si="94"/>
        <v>295.50255983395789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0.48193079191724142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0.48193079191724142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4.9658410716801891E-14</v>
      </c>
      <c r="CV123" s="14">
        <f t="shared" si="95"/>
        <v>8.0934058173791862E-13</v>
      </c>
      <c r="CW123" s="22">
        <f t="shared" si="67"/>
        <v>1.4960899118586383E-12</v>
      </c>
      <c r="CX123" s="62">
        <f t="shared" si="68"/>
        <v>287.27174013481221</v>
      </c>
      <c r="CY123" s="62">
        <f ca="1">AVERAGE(OFFSET($CX$3,0,0,'Données projet'!$E$13+1,1))-AVERAGE(OFFSET($H$3,0,0,'Données projet'!$E$13+1,1))</f>
        <v>297.56177871222496</v>
      </c>
      <c r="CZ123" s="62">
        <f t="shared" si="96"/>
        <v>421.5717731815397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2.7906198858504765</v>
      </c>
      <c r="DH123" s="23">
        <f>EXP(-LN(2)/2)*DH122+(1-EXP(-LN(2)/2))/(LN(2)/2)*DB123*DE123*VLOOKUP('Données projet'!$B$13,Paramètres!$A$1:$I$89,3,0)*0.475*44/12</f>
        <v>4.6287593946721101E-13</v>
      </c>
      <c r="DI123" s="24">
        <f t="shared" si="69"/>
        <v>2.7906198858509392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752.99999999999977</v>
      </c>
      <c r="DP123" s="18">
        <f>DO123*VLOOKUP('Données projet'!$B$14,Paramètres!$A$1:$I$89,3,0)*VLOOKUP('Données projet'!$B$14,Paramètres!$A$1:$I$89,5,0)</f>
        <v>552.09959999999978</v>
      </c>
      <c r="DQ123" s="14">
        <f t="shared" si="97"/>
        <v>122.01091055125165</v>
      </c>
      <c r="DR123" s="22">
        <f t="shared" si="70"/>
        <v>1174.0758058767628</v>
      </c>
      <c r="DS123" s="62">
        <f t="shared" si="71"/>
        <v>1461.3475460115735</v>
      </c>
      <c r="DT123" s="62">
        <f ca="1">AVERAGE(OFFSET($DS$3,0,0,'Données projet'!$E$14+1,1))-AVERAGE(OFFSET($H$3,0,0,'Données projet'!$E$14+1,1))</f>
        <v>667.0152731006724</v>
      </c>
      <c r="DU123" s="62">
        <f t="shared" si="98"/>
        <v>567.40780872008088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1.926705209608766</v>
      </c>
      <c r="EC123" s="23">
        <f>EXP(-LN(2)/2)*EC122+(1-EXP(-LN(2)/2))/(LN(2)/2)*DW123*DZ123*VLOOKUP('Données projet'!$B$14,Paramètres!$A$1:$I$89,3,0)*0.475*44/12</f>
        <v>4.2153333021312963E-13</v>
      </c>
      <c r="ED123" s="24">
        <f t="shared" si="72"/>
        <v>1.9267052096091875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454.99849419289757</v>
      </c>
      <c r="EP123" s="62">
        <f t="shared" si="100"/>
        <v>288.86643267991928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68.346838218584736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2.7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26.898300000000049</v>
      </c>
      <c r="D124" s="12">
        <f t="shared" si="86"/>
        <v>8.4500042488369012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75.641025743369568</v>
      </c>
      <c r="H124" s="70">
        <f t="shared" si="56"/>
        <v>278.6316299000577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427.57091071251745</v>
      </c>
      <c r="T124" s="62">
        <f t="shared" si="88"/>
        <v>272.62827206514726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475.54515523869958</v>
      </c>
      <c r="AO124" s="62">
        <f t="shared" si="90"/>
        <v>301.02979240961452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0.82078217573977497</v>
      </c>
      <c r="AW124" s="23">
        <f>EXP(-LN(2)/2)*AW123+(1-EXP(-LN(2)/2))/(LN(2)/2)*AQ124*AT124*VLOOKUP('Données projet'!$B$10,Paramètres!$A$1:$I$89,3,0)*0.475*44/12</f>
        <v>3.3580846509376939E-13</v>
      </c>
      <c r="AX124" s="23">
        <f t="shared" si="60"/>
        <v>0.82078217574011081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6.3550942286383367E-14</v>
      </c>
      <c r="BF124" s="14">
        <f t="shared" si="91"/>
        <v>1.0064464192543978E-12</v>
      </c>
      <c r="BG124" s="22">
        <f t="shared" si="61"/>
        <v>1.8635787380168604E-12</v>
      </c>
      <c r="BH124" s="62">
        <f t="shared" si="62"/>
        <v>287.37689522511482</v>
      </c>
      <c r="BI124" s="62">
        <f ca="1">AVERAGE(OFFSET($BH$3,0,0,'Données projet'!$E$11+1,1))-AVERAGE(OFFSET($H$3,0,0,'Données projet'!$E$11+1,1))</f>
        <v>381.71417599784968</v>
      </c>
      <c r="BJ124" s="62">
        <f t="shared" si="92"/>
        <v>350.49230135197979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5.3311018931757888</v>
      </c>
      <c r="BQ124" s="23">
        <f>EXP(-LN(2)/25)*BQ123+(1-EXP(-LN(2)/25))/(LN(2)/25)*Calculateur!BL124*Calculateur!BN124*VLOOKUP('Données projet'!$B$11,Paramètres!$A$1:$I$89,3,0)*0.475*44/12</f>
        <v>2.2545762536518081</v>
      </c>
      <c r="BR124" s="23">
        <f>EXP(-LN(2)/2)*BR123+(1-EXP(-LN(2)/2))/(LN(2)/2)*BL124*BO124*VLOOKUP('Données projet'!$B$11,Paramètres!$A$1:$I$89,3,0)*0.475*44/12</f>
        <v>1.3945521405693635E-12</v>
      </c>
      <c r="BS124" s="24">
        <f t="shared" si="63"/>
        <v>7.5856781468289913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3.1036506698001178E-14</v>
      </c>
      <c r="CA124" s="14">
        <f t="shared" si="93"/>
        <v>5.3428243983771088E-13</v>
      </c>
      <c r="CB124" s="22">
        <f t="shared" si="64"/>
        <v>9.8459716521636505E-13</v>
      </c>
      <c r="CC124" s="62">
        <f t="shared" si="65"/>
        <v>287.37689522511391</v>
      </c>
      <c r="CD124" s="62">
        <f ca="1">AVERAGE(OFFSET($CC$3,0,0,'Données projet'!$E$12+1,1))-AVERAGE(OFFSET($H$3,0,0,'Données projet'!$E$12+1,1))</f>
        <v>202.72043399839748</v>
      </c>
      <c r="CE124" s="62">
        <f t="shared" si="94"/>
        <v>295.50255983395789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0.46875236906862555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0.46875236906862555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4.9658410716801891E-14</v>
      </c>
      <c r="CV124" s="14">
        <f t="shared" si="95"/>
        <v>8.0934058173791862E-13</v>
      </c>
      <c r="CW124" s="22">
        <f t="shared" si="67"/>
        <v>1.4960899118586383E-12</v>
      </c>
      <c r="CX124" s="62">
        <f t="shared" si="68"/>
        <v>287.37689522511442</v>
      </c>
      <c r="CY124" s="62">
        <f ca="1">AVERAGE(OFFSET($CX$3,0,0,'Données projet'!$E$13+1,1))-AVERAGE(OFFSET($H$3,0,0,'Données projet'!$E$13+1,1))</f>
        <v>297.56177871222496</v>
      </c>
      <c r="CZ124" s="62">
        <f t="shared" si="96"/>
        <v>421.5717731815397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2.7143102383195736</v>
      </c>
      <c r="DH124" s="23">
        <f>EXP(-LN(2)/2)*DH123+(1-EXP(-LN(2)/2))/(LN(2)/2)*DB124*DE124*VLOOKUP('Données projet'!$B$13,Paramètres!$A$1:$I$89,3,0)*0.475*44/12</f>
        <v>3.273027156453588E-13</v>
      </c>
      <c r="DI124" s="24">
        <f t="shared" si="69"/>
        <v>2.7143102383199009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752.99999999999977</v>
      </c>
      <c r="DP124" s="18">
        <f>DO124*VLOOKUP('Données projet'!$B$14,Paramètres!$A$1:$I$89,3,0)*VLOOKUP('Données projet'!$B$14,Paramètres!$A$1:$I$89,5,0)</f>
        <v>552.09959999999978</v>
      </c>
      <c r="DQ124" s="14">
        <f t="shared" si="97"/>
        <v>122.01091055125165</v>
      </c>
      <c r="DR124" s="22">
        <f t="shared" si="70"/>
        <v>1174.0758058767628</v>
      </c>
      <c r="DS124" s="62">
        <f t="shared" si="71"/>
        <v>1461.4527011018758</v>
      </c>
      <c r="DT124" s="62">
        <f ca="1">AVERAGE(OFFSET($DS$3,0,0,'Données projet'!$E$14+1,1))-AVERAGE(OFFSET($H$3,0,0,'Données projet'!$E$14+1,1))</f>
        <v>667.0152731006724</v>
      </c>
      <c r="DU124" s="62">
        <f t="shared" si="98"/>
        <v>567.40780872008088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1.8740193543309909</v>
      </c>
      <c r="EC124" s="23">
        <f>EXP(-LN(2)/2)*EC123+(1-EXP(-LN(2)/2))/(LN(2)/2)*DW124*DZ124*VLOOKUP('Données projet'!$B$14,Paramètres!$A$1:$I$89,3,0)*0.475*44/12</f>
        <v>2.9806907628985214E-13</v>
      </c>
      <c r="ED124" s="24">
        <f t="shared" si="72"/>
        <v>1.8740193543312889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454.99849419289757</v>
      </c>
      <c r="EP124" s="62">
        <f t="shared" si="100"/>
        <v>288.86643267991928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68.375516879576253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2.7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27.120600000000049</v>
      </c>
      <c r="D125" s="12">
        <f t="shared" si="86"/>
        <v>8.5116806410934771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76.189050360005055</v>
      </c>
      <c r="H125" s="70">
        <f t="shared" si="56"/>
        <v>279.12622211657128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427.57091071251745</v>
      </c>
      <c r="T125" s="62">
        <f t="shared" si="88"/>
        <v>272.62827206514726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475.54515523869958</v>
      </c>
      <c r="AO125" s="62">
        <f t="shared" si="90"/>
        <v>301.02979240961452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0.79833784398111207</v>
      </c>
      <c r="AW125" s="23">
        <f>EXP(-LN(2)/2)*AW124+(1-EXP(-LN(2)/2))/(LN(2)/2)*AQ125*AT125*VLOOKUP('Données projet'!$B$10,Paramètres!$A$1:$I$89,3,0)*0.475*44/12</f>
        <v>2.3745244284765037E-13</v>
      </c>
      <c r="AX125" s="23">
        <f t="shared" si="60"/>
        <v>0.79833784398134955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6.3550942286383367E-14</v>
      </c>
      <c r="BF125" s="14">
        <f t="shared" si="91"/>
        <v>1.0064464192543978E-12</v>
      </c>
      <c r="BG125" s="22">
        <f t="shared" si="61"/>
        <v>1.8635787380168604E-12</v>
      </c>
      <c r="BH125" s="62">
        <f t="shared" si="62"/>
        <v>287.48022610969173</v>
      </c>
      <c r="BI125" s="62">
        <f ca="1">AVERAGE(OFFSET($BH$3,0,0,'Données projet'!$E$11+1,1))-AVERAGE(OFFSET($H$3,0,0,'Données projet'!$E$11+1,1))</f>
        <v>381.71417599784968</v>
      </c>
      <c r="BJ125" s="62">
        <f t="shared" si="92"/>
        <v>350.49230135197979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5.2265622367016924</v>
      </c>
      <c r="BQ125" s="23">
        <f>EXP(-LN(2)/25)*BQ124+(1-EXP(-LN(2)/25))/(LN(2)/25)*Calculateur!BL125*Calculateur!BN125*VLOOKUP('Données projet'!$B$11,Paramètres!$A$1:$I$89,3,0)*0.475*44/12</f>
        <v>2.1929247474326869</v>
      </c>
      <c r="BR125" s="23">
        <f>EXP(-LN(2)/2)*BR124+(1-EXP(-LN(2)/2))/(LN(2)/2)*BL125*BO125*VLOOKUP('Données projet'!$B$11,Paramètres!$A$1:$I$89,3,0)*0.475*44/12</f>
        <v>9.8609727531481235E-13</v>
      </c>
      <c r="BS125" s="24">
        <f t="shared" si="63"/>
        <v>7.4194869841353652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3.1036506698001178E-14</v>
      </c>
      <c r="CA125" s="14">
        <f t="shared" si="93"/>
        <v>5.3428243983771088E-13</v>
      </c>
      <c r="CB125" s="22">
        <f t="shared" si="64"/>
        <v>9.8459716521636505E-13</v>
      </c>
      <c r="CC125" s="62">
        <f t="shared" si="65"/>
        <v>287.48022610969082</v>
      </c>
      <c r="CD125" s="62">
        <f ca="1">AVERAGE(OFFSET($CC$3,0,0,'Données projet'!$E$12+1,1))-AVERAGE(OFFSET($H$3,0,0,'Données projet'!$E$12+1,1))</f>
        <v>202.72043399839748</v>
      </c>
      <c r="CE125" s="62">
        <f t="shared" si="94"/>
        <v>295.50255983395789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0.45593431088582825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0.45593431088582825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4.9658410716801891E-14</v>
      </c>
      <c r="CV125" s="14">
        <f t="shared" si="95"/>
        <v>8.0934058173791862E-13</v>
      </c>
      <c r="CW125" s="22">
        <f t="shared" si="67"/>
        <v>1.4960899118586383E-12</v>
      </c>
      <c r="CX125" s="62">
        <f t="shared" si="68"/>
        <v>287.48022610969133</v>
      </c>
      <c r="CY125" s="62">
        <f ca="1">AVERAGE(OFFSET($CX$3,0,0,'Données projet'!$E$13+1,1))-AVERAGE(OFFSET($H$3,0,0,'Données projet'!$E$13+1,1))</f>
        <v>297.56177871222496</v>
      </c>
      <c r="CZ125" s="62">
        <f t="shared" si="96"/>
        <v>421.5717731815397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2.640087282113353</v>
      </c>
      <c r="DH125" s="23">
        <f>EXP(-LN(2)/2)*DH124+(1-EXP(-LN(2)/2))/(LN(2)/2)*DB125*DE125*VLOOKUP('Données projet'!$B$13,Paramètres!$A$1:$I$89,3,0)*0.475*44/12</f>
        <v>2.3143796973360551E-13</v>
      </c>
      <c r="DI125" s="24">
        <f t="shared" si="69"/>
        <v>2.6400872821135843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752.99999999999977</v>
      </c>
      <c r="DP125" s="18">
        <f>DO125*VLOOKUP('Données projet'!$B$14,Paramètres!$A$1:$I$89,3,0)*VLOOKUP('Données projet'!$B$14,Paramètres!$A$1:$I$89,5,0)</f>
        <v>552.09959999999978</v>
      </c>
      <c r="DQ125" s="14">
        <f t="shared" si="97"/>
        <v>122.01091055125165</v>
      </c>
      <c r="DR125" s="22">
        <f t="shared" si="70"/>
        <v>1174.0758058767628</v>
      </c>
      <c r="DS125" s="62">
        <f t="shared" si="71"/>
        <v>1461.5560319864526</v>
      </c>
      <c r="DT125" s="62">
        <f ca="1">AVERAGE(OFFSET($DS$3,0,0,'Données projet'!$E$14+1,1))-AVERAGE(OFFSET($H$3,0,0,'Données projet'!$E$14+1,1))</f>
        <v>667.0152731006724</v>
      </c>
      <c r="DU125" s="62">
        <f t="shared" si="98"/>
        <v>567.40780872008088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1.8227741965364153</v>
      </c>
      <c r="EC125" s="23">
        <f>EXP(-LN(2)/2)*EC124+(1-EXP(-LN(2)/2))/(LN(2)/2)*DW125*DZ125*VLOOKUP('Données projet'!$B$14,Paramètres!$A$1:$I$89,3,0)*0.475*44/12</f>
        <v>2.1076666510656482E-13</v>
      </c>
      <c r="ED125" s="24">
        <f t="shared" si="72"/>
        <v>1.822774196536626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454.99849419289757</v>
      </c>
      <c r="EP125" s="62">
        <f t="shared" si="100"/>
        <v>288.86643267991928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68.403698029915418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2.7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27.34290000000005</v>
      </c>
      <c r="D126" s="12">
        <f t="shared" si="86"/>
        <v>8.5732982153718709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76.736961468261597</v>
      </c>
      <c r="H126" s="70">
        <f t="shared" si="56"/>
        <v>279.62071189177277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427.57091071251745</v>
      </c>
      <c r="T126" s="62">
        <f t="shared" si="88"/>
        <v>272.62827206514726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475.54515523869958</v>
      </c>
      <c r="AO126" s="62">
        <f t="shared" si="90"/>
        <v>301.02979240961452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0.77650725365468598</v>
      </c>
      <c r="AW126" s="23">
        <f>EXP(-LN(2)/2)*AW125+(1-EXP(-LN(2)/2))/(LN(2)/2)*AQ126*AT126*VLOOKUP('Données projet'!$B$10,Paramètres!$A$1:$I$89,3,0)*0.475*44/12</f>
        <v>1.6790423254688469E-13</v>
      </c>
      <c r="AX126" s="23">
        <f t="shared" si="60"/>
        <v>0.77650725365485385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6.3550942286383367E-14</v>
      </c>
      <c r="BF126" s="14">
        <f t="shared" si="91"/>
        <v>1.0064464192543978E-12</v>
      </c>
      <c r="BG126" s="22">
        <f t="shared" si="61"/>
        <v>1.8635787380168604E-12</v>
      </c>
      <c r="BH126" s="62">
        <f t="shared" si="62"/>
        <v>287.58176443443455</v>
      </c>
      <c r="BI126" s="62">
        <f ca="1">AVERAGE(OFFSET($BH$3,0,0,'Données projet'!$E$11+1,1))-AVERAGE(OFFSET($H$3,0,0,'Données projet'!$E$11+1,1))</f>
        <v>381.71417599784968</v>
      </c>
      <c r="BJ126" s="62">
        <f t="shared" si="92"/>
        <v>350.49230135197979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5.124072539128159</v>
      </c>
      <c r="BQ126" s="23">
        <f>EXP(-LN(2)/25)*BQ125+(1-EXP(-LN(2)/25))/(LN(2)/25)*Calculateur!BL126*Calculateur!BN126*VLOOKUP('Données projet'!$B$11,Paramètres!$A$1:$I$89,3,0)*0.475*44/12</f>
        <v>2.1329591048932395</v>
      </c>
      <c r="BR126" s="23">
        <f>EXP(-LN(2)/2)*BR125+(1-EXP(-LN(2)/2))/(LN(2)/2)*BL126*BO126*VLOOKUP('Données projet'!$B$11,Paramètres!$A$1:$I$89,3,0)*0.475*44/12</f>
        <v>6.9727607028468175E-13</v>
      </c>
      <c r="BS126" s="24">
        <f t="shared" si="63"/>
        <v>7.2570316440220957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3.1036506698001178E-14</v>
      </c>
      <c r="CA126" s="14">
        <f t="shared" si="93"/>
        <v>5.3428243983771088E-13</v>
      </c>
      <c r="CB126" s="22">
        <f t="shared" si="64"/>
        <v>9.8459716521636505E-13</v>
      </c>
      <c r="CC126" s="62">
        <f t="shared" si="65"/>
        <v>287.58176443443364</v>
      </c>
      <c r="CD126" s="62">
        <f ca="1">AVERAGE(OFFSET($CC$3,0,0,'Données projet'!$E$12+1,1))-AVERAGE(OFFSET($H$3,0,0,'Données projet'!$E$12+1,1))</f>
        <v>202.72043399839748</v>
      </c>
      <c r="CE126" s="62">
        <f t="shared" si="94"/>
        <v>295.50255983395789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0.4434667631781119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0.4434667631781119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4.9658410716801891E-14</v>
      </c>
      <c r="CV126" s="14">
        <f t="shared" si="95"/>
        <v>8.0934058173791862E-13</v>
      </c>
      <c r="CW126" s="22">
        <f t="shared" si="67"/>
        <v>1.4960899118586383E-12</v>
      </c>
      <c r="CX126" s="62">
        <f t="shared" si="68"/>
        <v>287.58176443443415</v>
      </c>
      <c r="CY126" s="62">
        <f ca="1">AVERAGE(OFFSET($CX$3,0,0,'Données projet'!$E$13+1,1))-AVERAGE(OFFSET($H$3,0,0,'Données projet'!$E$13+1,1))</f>
        <v>297.56177871222496</v>
      </c>
      <c r="CZ126" s="62">
        <f t="shared" si="96"/>
        <v>421.5717731815397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2.5678939565478074</v>
      </c>
      <c r="DH126" s="23">
        <f>EXP(-LN(2)/2)*DH125+(1-EXP(-LN(2)/2))/(LN(2)/2)*DB126*DE126*VLOOKUP('Données projet'!$B$13,Paramètres!$A$1:$I$89,3,0)*0.475*44/12</f>
        <v>1.636513578226794E-13</v>
      </c>
      <c r="DI126" s="24">
        <f t="shared" si="69"/>
        <v>2.5678939565479713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752.99999999999977</v>
      </c>
      <c r="DP126" s="18">
        <f>DO126*VLOOKUP('Données projet'!$B$14,Paramètres!$A$1:$I$89,3,0)*VLOOKUP('Données projet'!$B$14,Paramètres!$A$1:$I$89,5,0)</f>
        <v>552.09959999999978</v>
      </c>
      <c r="DQ126" s="14">
        <f t="shared" si="97"/>
        <v>122.01091055125165</v>
      </c>
      <c r="DR126" s="22">
        <f t="shared" si="70"/>
        <v>1174.0758058767628</v>
      </c>
      <c r="DS126" s="62">
        <f t="shared" si="71"/>
        <v>1461.6575703111955</v>
      </c>
      <c r="DT126" s="62">
        <f ca="1">AVERAGE(OFFSET($DS$3,0,0,'Données projet'!$E$14+1,1))-AVERAGE(OFFSET($H$3,0,0,'Données projet'!$E$14+1,1))</f>
        <v>667.0152731006724</v>
      </c>
      <c r="DU126" s="62">
        <f t="shared" si="98"/>
        <v>567.40780872008088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1.7729303402765979</v>
      </c>
      <c r="EC126" s="23">
        <f>EXP(-LN(2)/2)*EC125+(1-EXP(-LN(2)/2))/(LN(2)/2)*DW126*DZ126*VLOOKUP('Données projet'!$B$14,Paramètres!$A$1:$I$89,3,0)*0.475*44/12</f>
        <v>1.4903453814492607E-13</v>
      </c>
      <c r="ED126" s="24">
        <f t="shared" si="72"/>
        <v>1.7729303402767469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454.99849419289757</v>
      </c>
      <c r="EP126" s="62">
        <f t="shared" si="100"/>
        <v>288.86643267991928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68.431390300299825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2.7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27.565200000000051</v>
      </c>
      <c r="D127" s="12">
        <f t="shared" si="86"/>
        <v>8.6348575052881902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77.284760097924675</v>
      </c>
      <c r="H127" s="70">
        <f t="shared" si="56"/>
        <v>280.11510015504371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427.57091071251745</v>
      </c>
      <c r="T127" s="62">
        <f t="shared" si="88"/>
        <v>272.62827206514726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475.54515523869958</v>
      </c>
      <c r="AO127" s="62">
        <f t="shared" si="90"/>
        <v>301.02979240961452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0.7552736219687568</v>
      </c>
      <c r="AW127" s="23">
        <f>EXP(-LN(2)/2)*AW126+(1-EXP(-LN(2)/2))/(LN(2)/2)*AQ127*AT127*VLOOKUP('Données projet'!$B$10,Paramètres!$A$1:$I$89,3,0)*0.475*44/12</f>
        <v>1.1872622142382518E-13</v>
      </c>
      <c r="AX127" s="23">
        <f t="shared" si="60"/>
        <v>0.75527362196887549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6.3550942286383367E-14</v>
      </c>
      <c r="BF127" s="14">
        <f t="shared" si="91"/>
        <v>1.0064464192543978E-12</v>
      </c>
      <c r="BG127" s="22">
        <f t="shared" si="61"/>
        <v>1.8635787380168604E-12</v>
      </c>
      <c r="BH127" s="62">
        <f t="shared" si="62"/>
        <v>287.68154129624884</v>
      </c>
      <c r="BI127" s="62">
        <f ca="1">AVERAGE(OFFSET($BH$3,0,0,'Données projet'!$E$11+1,1))-AVERAGE(OFFSET($H$3,0,0,'Données projet'!$E$11+1,1))</f>
        <v>381.71417599784968</v>
      </c>
      <c r="BJ127" s="62">
        <f t="shared" si="92"/>
        <v>350.49230135197979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5.0235926020114992</v>
      </c>
      <c r="BQ127" s="23">
        <f>EXP(-LN(2)/25)*BQ126+(1-EXP(-LN(2)/25))/(LN(2)/25)*Calculateur!BL127*Calculateur!BN127*VLOOKUP('Données projet'!$B$11,Paramètres!$A$1:$I$89,3,0)*0.475*44/12</f>
        <v>2.0746332260024896</v>
      </c>
      <c r="BR127" s="23">
        <f>EXP(-LN(2)/2)*BR126+(1-EXP(-LN(2)/2))/(LN(2)/2)*BL127*BO127*VLOOKUP('Données projet'!$B$11,Paramètres!$A$1:$I$89,3,0)*0.475*44/12</f>
        <v>4.9304863765740618E-13</v>
      </c>
      <c r="BS127" s="24">
        <f t="shared" si="63"/>
        <v>7.0982258280144821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3.1036506698001178E-14</v>
      </c>
      <c r="CA127" s="14">
        <f t="shared" si="93"/>
        <v>5.3428243983771088E-13</v>
      </c>
      <c r="CB127" s="22">
        <f t="shared" si="64"/>
        <v>9.8459716521636505E-13</v>
      </c>
      <c r="CC127" s="62">
        <f t="shared" si="65"/>
        <v>287.68154129624793</v>
      </c>
      <c r="CD127" s="62">
        <f ca="1">AVERAGE(OFFSET($CC$3,0,0,'Données projet'!$E$12+1,1))-AVERAGE(OFFSET($H$3,0,0,'Données projet'!$E$12+1,1))</f>
        <v>202.72043399839748</v>
      </c>
      <c r="CE127" s="62">
        <f t="shared" si="94"/>
        <v>295.50255983395789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0.43134014121810293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0.43134014121810293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4.9658410716801891E-14</v>
      </c>
      <c r="CV127" s="14">
        <f t="shared" si="95"/>
        <v>8.0934058173791862E-13</v>
      </c>
      <c r="CW127" s="22">
        <f t="shared" si="67"/>
        <v>1.4960899118586383E-12</v>
      </c>
      <c r="CX127" s="62">
        <f t="shared" si="68"/>
        <v>287.68154129624844</v>
      </c>
      <c r="CY127" s="62">
        <f ca="1">AVERAGE(OFFSET($CX$3,0,0,'Données projet'!$E$13+1,1))-AVERAGE(OFFSET($H$3,0,0,'Données projet'!$E$13+1,1))</f>
        <v>297.56177871222496</v>
      </c>
      <c r="CZ127" s="62">
        <f t="shared" si="96"/>
        <v>421.5717731815397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2.4976747612663335</v>
      </c>
      <c r="DH127" s="23">
        <f>EXP(-LN(2)/2)*DH126+(1-EXP(-LN(2)/2))/(LN(2)/2)*DB127*DE127*VLOOKUP('Données projet'!$B$13,Paramètres!$A$1:$I$89,3,0)*0.475*44/12</f>
        <v>1.1571898486680275E-13</v>
      </c>
      <c r="DI127" s="24">
        <f t="shared" si="69"/>
        <v>2.4976747612664494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752.99999999999977</v>
      </c>
      <c r="DP127" s="18">
        <f>DO127*VLOOKUP('Données projet'!$B$14,Paramètres!$A$1:$I$89,3,0)*VLOOKUP('Données projet'!$B$14,Paramètres!$A$1:$I$89,5,0)</f>
        <v>552.09959999999978</v>
      </c>
      <c r="DQ127" s="14">
        <f t="shared" si="97"/>
        <v>122.01091055125165</v>
      </c>
      <c r="DR127" s="22">
        <f t="shared" si="70"/>
        <v>1174.0758058767628</v>
      </c>
      <c r="DS127" s="62">
        <f t="shared" si="71"/>
        <v>1461.7573471730097</v>
      </c>
      <c r="DT127" s="62">
        <f ca="1">AVERAGE(OFFSET($DS$3,0,0,'Données projet'!$E$14+1,1))-AVERAGE(OFFSET($H$3,0,0,'Données projet'!$E$14+1,1))</f>
        <v>667.0152731006724</v>
      </c>
      <c r="DU127" s="62">
        <f t="shared" si="98"/>
        <v>567.40780872008088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1.7244494668873798</v>
      </c>
      <c r="EC127" s="23">
        <f>EXP(-LN(2)/2)*EC126+(1-EXP(-LN(2)/2))/(LN(2)/2)*DW127*DZ127*VLOOKUP('Données projet'!$B$14,Paramètres!$A$1:$I$89,3,0)*0.475*44/12</f>
        <v>1.0538333255328241E-13</v>
      </c>
      <c r="ED127" s="24">
        <f t="shared" si="72"/>
        <v>1.7244494668874852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454.99849419289757</v>
      </c>
      <c r="EP127" s="62">
        <f t="shared" si="100"/>
        <v>288.86643267991928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68.458602171703717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2.7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27.787500000000051</v>
      </c>
      <c r="D128" s="12">
        <f t="shared" si="86"/>
        <v>8.6963590353549058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77.832447261211314</v>
      </c>
      <c r="H128" s="70">
        <f t="shared" si="56"/>
        <v>280.6093878199099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427.57091071251745</v>
      </c>
      <c r="T128" s="62">
        <f t="shared" si="88"/>
        <v>272.62827206514726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475.54515523869958</v>
      </c>
      <c r="AO128" s="62">
        <f t="shared" si="90"/>
        <v>301.02979240961452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0.73462062505790759</v>
      </c>
      <c r="AW128" s="23">
        <f>EXP(-LN(2)/2)*AW127+(1-EXP(-LN(2)/2))/(LN(2)/2)*AQ128*AT128*VLOOKUP('Données projet'!$B$10,Paramètres!$A$1:$I$89,3,0)*0.475*44/12</f>
        <v>8.3952116273442347E-14</v>
      </c>
      <c r="AX128" s="23">
        <f t="shared" si="60"/>
        <v>0.73462062505799153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6.3550942286383367E-14</v>
      </c>
      <c r="BF128" s="14">
        <f t="shared" si="91"/>
        <v>1.0064464192543978E-12</v>
      </c>
      <c r="BG128" s="22">
        <f t="shared" si="61"/>
        <v>1.8635787380168604E-12</v>
      </c>
      <c r="BH128" s="62">
        <f t="shared" si="62"/>
        <v>287.77958725257821</v>
      </c>
      <c r="BI128" s="62">
        <f ca="1">AVERAGE(OFFSET($BH$3,0,0,'Données projet'!$E$11+1,1))-AVERAGE(OFFSET($H$3,0,0,'Données projet'!$E$11+1,1))</f>
        <v>381.71417599784968</v>
      </c>
      <c r="BJ128" s="62">
        <f t="shared" si="92"/>
        <v>350.49230135197979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4.9250830151749874</v>
      </c>
      <c r="BQ128" s="23">
        <f>EXP(-LN(2)/25)*BQ127+(1-EXP(-LN(2)/25))/(LN(2)/25)*Calculateur!BL128*Calculateur!BN128*VLOOKUP('Données projet'!$B$11,Paramètres!$A$1:$I$89,3,0)*0.475*44/12</f>
        <v>2.0179022713372317</v>
      </c>
      <c r="BR128" s="23">
        <f>EXP(-LN(2)/2)*BR127+(1-EXP(-LN(2)/2))/(LN(2)/2)*BL128*BO128*VLOOKUP('Données projet'!$B$11,Paramètres!$A$1:$I$89,3,0)*0.475*44/12</f>
        <v>3.4863803514234087E-13</v>
      </c>
      <c r="BS128" s="24">
        <f t="shared" si="63"/>
        <v>6.9429852865125676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3.1036506698001178E-14</v>
      </c>
      <c r="CA128" s="14">
        <f t="shared" si="93"/>
        <v>5.3428243983771088E-13</v>
      </c>
      <c r="CB128" s="22">
        <f t="shared" si="64"/>
        <v>9.8459716521636505E-13</v>
      </c>
      <c r="CC128" s="62">
        <f t="shared" si="65"/>
        <v>287.7795872525773</v>
      </c>
      <c r="CD128" s="62">
        <f ca="1">AVERAGE(OFFSET($CC$3,0,0,'Données projet'!$E$12+1,1))-AVERAGE(OFFSET($H$3,0,0,'Données projet'!$E$12+1,1))</f>
        <v>202.72043399839748</v>
      </c>
      <c r="CE128" s="62">
        <f t="shared" si="94"/>
        <v>295.50255983395789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0.41954512237330172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0.41954512237330172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4.9658410716801891E-14</v>
      </c>
      <c r="CV128" s="14">
        <f t="shared" si="95"/>
        <v>8.0934058173791862E-13</v>
      </c>
      <c r="CW128" s="22">
        <f t="shared" si="67"/>
        <v>1.4960899118586383E-12</v>
      </c>
      <c r="CX128" s="62">
        <f t="shared" si="68"/>
        <v>287.77958725257781</v>
      </c>
      <c r="CY128" s="62">
        <f ca="1">AVERAGE(OFFSET($CX$3,0,0,'Données projet'!$E$13+1,1))-AVERAGE(OFFSET($H$3,0,0,'Données projet'!$E$13+1,1))</f>
        <v>297.56177871222496</v>
      </c>
      <c r="CZ128" s="62">
        <f t="shared" si="96"/>
        <v>421.5717731815397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2.4293757135724983</v>
      </c>
      <c r="DH128" s="23">
        <f>EXP(-LN(2)/2)*DH127+(1-EXP(-LN(2)/2))/(LN(2)/2)*DB128*DE128*VLOOKUP('Données projet'!$B$13,Paramètres!$A$1:$I$89,3,0)*0.475*44/12</f>
        <v>8.1825678911339701E-14</v>
      </c>
      <c r="DI128" s="24">
        <f t="shared" si="69"/>
        <v>2.42937571357258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752.99999999999977</v>
      </c>
      <c r="DP128" s="18">
        <f>DO128*VLOOKUP('Données projet'!$B$14,Paramètres!$A$1:$I$89,3,0)*VLOOKUP('Données projet'!$B$14,Paramètres!$A$1:$I$89,5,0)</f>
        <v>552.09959999999978</v>
      </c>
      <c r="DQ128" s="14">
        <f t="shared" si="97"/>
        <v>122.01091055125165</v>
      </c>
      <c r="DR128" s="22">
        <f t="shared" si="70"/>
        <v>1174.0758058767628</v>
      </c>
      <c r="DS128" s="62">
        <f t="shared" si="71"/>
        <v>1461.8553931293391</v>
      </c>
      <c r="DT128" s="62">
        <f ca="1">AVERAGE(OFFSET($DS$3,0,0,'Données projet'!$E$14+1,1))-AVERAGE(OFFSET($H$3,0,0,'Données projet'!$E$14+1,1))</f>
        <v>667.0152731006724</v>
      </c>
      <c r="DU128" s="62">
        <f t="shared" si="98"/>
        <v>567.40780872008088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1.6772943055304881</v>
      </c>
      <c r="EC128" s="23">
        <f>EXP(-LN(2)/2)*EC127+(1-EXP(-LN(2)/2))/(LN(2)/2)*DW128*DZ128*VLOOKUP('Données projet'!$B$14,Paramètres!$A$1:$I$89,3,0)*0.475*44/12</f>
        <v>7.4517269072463034E-14</v>
      </c>
      <c r="ED128" s="24">
        <f t="shared" si="72"/>
        <v>1.6772943055305627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454.99849419289757</v>
      </c>
      <c r="EP128" s="62">
        <f t="shared" si="100"/>
        <v>288.86643267991928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68.485341977975366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2.7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28.009800000000052</v>
      </c>
      <c r="D129" s="12">
        <f t="shared" si="86"/>
        <v>8.7578033212077102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78.380023953207953</v>
      </c>
      <c r="H129" s="70">
        <f t="shared" si="56"/>
        <v>281.10357578443688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427.57091071251745</v>
      </c>
      <c r="T129" s="62">
        <f t="shared" si="88"/>
        <v>272.62827206514726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475.54515523869958</v>
      </c>
      <c r="AO129" s="62">
        <f t="shared" si="90"/>
        <v>301.02979240961452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0.71453238543367947</v>
      </c>
      <c r="AW129" s="23">
        <f>EXP(-LN(2)/2)*AW128+(1-EXP(-LN(2)/2))/(LN(2)/2)*AQ129*AT129*VLOOKUP('Données projet'!$B$10,Paramètres!$A$1:$I$89,3,0)*0.475*44/12</f>
        <v>5.9363110711912592E-14</v>
      </c>
      <c r="AX129" s="23">
        <f t="shared" si="60"/>
        <v>0.71453238543373887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6.3550942286383367E-14</v>
      </c>
      <c r="BF129" s="14">
        <f t="shared" si="91"/>
        <v>1.0064464192543978E-12</v>
      </c>
      <c r="BG129" s="22">
        <f t="shared" si="61"/>
        <v>1.8635787380168604E-12</v>
      </c>
      <c r="BH129" s="62">
        <f t="shared" si="62"/>
        <v>287.87593233076313</v>
      </c>
      <c r="BI129" s="62">
        <f ca="1">AVERAGE(OFFSET($BH$3,0,0,'Données projet'!$E$11+1,1))-AVERAGE(OFFSET($H$3,0,0,'Données projet'!$E$11+1,1))</f>
        <v>381.71417599784968</v>
      </c>
      <c r="BJ129" s="62">
        <f t="shared" si="92"/>
        <v>350.49230135197979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4.8285051412514246</v>
      </c>
      <c r="BQ129" s="23">
        <f>EXP(-LN(2)/25)*BQ128+(1-EXP(-LN(2)/25))/(LN(2)/25)*Calculateur!BL129*Calculateur!BN129*VLOOKUP('Données projet'!$B$11,Paramètres!$A$1:$I$89,3,0)*0.475*44/12</f>
        <v>1.9627226276106466</v>
      </c>
      <c r="BR129" s="23">
        <f>EXP(-LN(2)/2)*BR128+(1-EXP(-LN(2)/2))/(LN(2)/2)*BL129*BO129*VLOOKUP('Données projet'!$B$11,Paramètres!$A$1:$I$89,3,0)*0.475*44/12</f>
        <v>2.4652431882870309E-13</v>
      </c>
      <c r="BS129" s="24">
        <f t="shared" si="63"/>
        <v>6.7912277688623179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3.1036506698001178E-14</v>
      </c>
      <c r="CA129" s="14">
        <f t="shared" si="93"/>
        <v>5.3428243983771088E-13</v>
      </c>
      <c r="CB129" s="22">
        <f t="shared" si="64"/>
        <v>9.8459716521636505E-13</v>
      </c>
      <c r="CC129" s="62">
        <f t="shared" si="65"/>
        <v>287.87593233076223</v>
      </c>
      <c r="CD129" s="62">
        <f ca="1">AVERAGE(OFFSET($CC$3,0,0,'Données projet'!$E$12+1,1))-AVERAGE(OFFSET($H$3,0,0,'Données projet'!$E$12+1,1))</f>
        <v>202.72043399839748</v>
      </c>
      <c r="CE129" s="62">
        <f t="shared" si="94"/>
        <v>295.50255983395789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0.40807263893908469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0.40807263893908469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4.9658410716801891E-14</v>
      </c>
      <c r="CV129" s="14">
        <f t="shared" si="95"/>
        <v>8.0934058173791862E-13</v>
      </c>
      <c r="CW129" s="22">
        <f t="shared" si="67"/>
        <v>1.4960899118586383E-12</v>
      </c>
      <c r="CX129" s="62">
        <f t="shared" si="68"/>
        <v>287.87593233076274</v>
      </c>
      <c r="CY129" s="62">
        <f ca="1">AVERAGE(OFFSET($CX$3,0,0,'Données projet'!$E$13+1,1))-AVERAGE(OFFSET($H$3,0,0,'Données projet'!$E$13+1,1))</f>
        <v>297.56177871222496</v>
      </c>
      <c r="CZ129" s="62">
        <f t="shared" si="96"/>
        <v>421.5717731815397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2.3629443069295419</v>
      </c>
      <c r="DH129" s="23">
        <f>EXP(-LN(2)/2)*DH128+(1-EXP(-LN(2)/2))/(LN(2)/2)*DB129*DE129*VLOOKUP('Données projet'!$B$13,Paramètres!$A$1:$I$89,3,0)*0.475*44/12</f>
        <v>5.7859492433401376E-14</v>
      </c>
      <c r="DI129" s="24">
        <f t="shared" si="69"/>
        <v>2.3629443069295997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752.99999999999977</v>
      </c>
      <c r="DP129" s="18">
        <f>DO129*VLOOKUP('Données projet'!$B$14,Paramètres!$A$1:$I$89,3,0)*VLOOKUP('Données projet'!$B$14,Paramètres!$A$1:$I$89,5,0)</f>
        <v>552.09959999999978</v>
      </c>
      <c r="DQ129" s="14">
        <f t="shared" si="97"/>
        <v>122.01091055125165</v>
      </c>
      <c r="DR129" s="22">
        <f t="shared" si="70"/>
        <v>1174.0758058767628</v>
      </c>
      <c r="DS129" s="62">
        <f t="shared" si="71"/>
        <v>1461.9517382075242</v>
      </c>
      <c r="DT129" s="62">
        <f ca="1">AVERAGE(OFFSET($DS$3,0,0,'Données projet'!$E$14+1,1))-AVERAGE(OFFSET($H$3,0,0,'Données projet'!$E$14+1,1))</f>
        <v>667.0152731006724</v>
      </c>
      <c r="DU129" s="62">
        <f t="shared" si="98"/>
        <v>567.40780872008088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1.6314286045406829</v>
      </c>
      <c r="EC129" s="23">
        <f>EXP(-LN(2)/2)*EC128+(1-EXP(-LN(2)/2))/(LN(2)/2)*DW129*DZ129*VLOOKUP('Données projet'!$B$14,Paramètres!$A$1:$I$89,3,0)*0.475*44/12</f>
        <v>5.2691666276641204E-14</v>
      </c>
      <c r="ED129" s="24">
        <f t="shared" si="72"/>
        <v>1.6314286045407356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454.99849419289757</v>
      </c>
      <c r="EP129" s="62">
        <f t="shared" si="100"/>
        <v>288.86643267991928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68.511617908389439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2.7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28.232100000000052</v>
      </c>
      <c r="D130" s="12">
        <f t="shared" si="86"/>
        <v>8.819190869824995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78.927491152293953</v>
      </c>
      <c r="H130" s="70">
        <f t="shared" si="56"/>
        <v>281.59766493161197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427.57091071251745</v>
      </c>
      <c r="T130" s="62">
        <f t="shared" si="88"/>
        <v>272.62827206514726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475.54515523869958</v>
      </c>
      <c r="AO130" s="62">
        <f t="shared" si="90"/>
        <v>301.02979240961452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0.69499345977837046</v>
      </c>
      <c r="AW130" s="23">
        <f>EXP(-LN(2)/2)*AW129+(1-EXP(-LN(2)/2))/(LN(2)/2)*AQ130*AT130*VLOOKUP('Données projet'!$B$10,Paramètres!$A$1:$I$89,3,0)*0.475*44/12</f>
        <v>4.1976058136721173E-14</v>
      </c>
      <c r="AX130" s="23">
        <f t="shared" si="60"/>
        <v>0.69499345977841243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6.3550942286383367E-14</v>
      </c>
      <c r="BF130" s="14">
        <f t="shared" si="91"/>
        <v>1.0064464192543978E-12</v>
      </c>
      <c r="BG130" s="22">
        <f t="shared" si="61"/>
        <v>1.8635787380168604E-12</v>
      </c>
      <c r="BH130" s="62">
        <f t="shared" si="62"/>
        <v>287.97060603723696</v>
      </c>
      <c r="BI130" s="62">
        <f ca="1">AVERAGE(OFFSET($BH$3,0,0,'Données projet'!$E$11+1,1))-AVERAGE(OFFSET($H$3,0,0,'Données projet'!$E$11+1,1))</f>
        <v>381.71417599784968</v>
      </c>
      <c r="BJ130" s="62">
        <f t="shared" si="92"/>
        <v>350.49230135197979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4.7338211005288162</v>
      </c>
      <c r="BQ130" s="23">
        <f>EXP(-LN(2)/25)*BQ129+(1-EXP(-LN(2)/25))/(LN(2)/25)*Calculateur!BL130*Calculateur!BN130*VLOOKUP('Données projet'!$B$11,Paramètres!$A$1:$I$89,3,0)*0.475*44/12</f>
        <v>1.9090518741435363</v>
      </c>
      <c r="BR130" s="23">
        <f>EXP(-LN(2)/2)*BR129+(1-EXP(-LN(2)/2))/(LN(2)/2)*BL130*BO130*VLOOKUP('Données projet'!$B$11,Paramètres!$A$1:$I$89,3,0)*0.475*44/12</f>
        <v>1.7431901757117044E-13</v>
      </c>
      <c r="BS130" s="24">
        <f t="shared" si="63"/>
        <v>6.6428729746725264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3.1036506698001178E-14</v>
      </c>
      <c r="CA130" s="14">
        <f t="shared" si="93"/>
        <v>5.3428243983771088E-13</v>
      </c>
      <c r="CB130" s="22">
        <f t="shared" si="64"/>
        <v>9.8459716521636505E-13</v>
      </c>
      <c r="CC130" s="62">
        <f t="shared" si="65"/>
        <v>287.97060603723605</v>
      </c>
      <c r="CD130" s="62">
        <f ca="1">AVERAGE(OFFSET($CC$3,0,0,'Données projet'!$E$12+1,1))-AVERAGE(OFFSET($H$3,0,0,'Données projet'!$E$12+1,1))</f>
        <v>202.72043399839748</v>
      </c>
      <c r="CE130" s="62">
        <f t="shared" si="94"/>
        <v>295.50255983395789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0.396913871167688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0.396913871167688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4.9658410716801891E-14</v>
      </c>
      <c r="CV130" s="14">
        <f t="shared" si="95"/>
        <v>8.0934058173791862E-13</v>
      </c>
      <c r="CW130" s="22">
        <f t="shared" si="67"/>
        <v>1.4960899118586383E-12</v>
      </c>
      <c r="CX130" s="62">
        <f t="shared" si="68"/>
        <v>287.97060603723656</v>
      </c>
      <c r="CY130" s="62">
        <f ca="1">AVERAGE(OFFSET($CX$3,0,0,'Données projet'!$E$13+1,1))-AVERAGE(OFFSET($H$3,0,0,'Données projet'!$E$13+1,1))</f>
        <v>297.56177871222496</v>
      </c>
      <c r="CZ130" s="62">
        <f t="shared" si="96"/>
        <v>421.5717731815397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2.2983294705947133</v>
      </c>
      <c r="DH130" s="23">
        <f>EXP(-LN(2)/2)*DH129+(1-EXP(-LN(2)/2))/(LN(2)/2)*DB130*DE130*VLOOKUP('Données projet'!$B$13,Paramètres!$A$1:$I$89,3,0)*0.475*44/12</f>
        <v>4.091283945566985E-14</v>
      </c>
      <c r="DI130" s="24">
        <f t="shared" si="69"/>
        <v>2.2983294705947541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752.99999999999977</v>
      </c>
      <c r="DP130" s="18">
        <f>DO130*VLOOKUP('Données projet'!$B$14,Paramètres!$A$1:$I$89,3,0)*VLOOKUP('Données projet'!$B$14,Paramètres!$A$1:$I$89,5,0)</f>
        <v>552.09959999999978</v>
      </c>
      <c r="DQ130" s="14">
        <f t="shared" si="97"/>
        <v>122.01091055125165</v>
      </c>
      <c r="DR130" s="22">
        <f t="shared" si="70"/>
        <v>1174.0758058767628</v>
      </c>
      <c r="DS130" s="62">
        <f t="shared" si="71"/>
        <v>1462.0464119139979</v>
      </c>
      <c r="DT130" s="62">
        <f ca="1">AVERAGE(OFFSET($DS$3,0,0,'Données projet'!$E$14+1,1))-AVERAGE(OFFSET($H$3,0,0,'Données projet'!$E$14+1,1))</f>
        <v>667.0152731006724</v>
      </c>
      <c r="DU130" s="62">
        <f t="shared" si="98"/>
        <v>567.40780872008088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1.5868171035564163</v>
      </c>
      <c r="EC130" s="23">
        <f>EXP(-LN(2)/2)*EC129+(1-EXP(-LN(2)/2))/(LN(2)/2)*DW130*DZ130*VLOOKUP('Données projet'!$B$14,Paramètres!$A$1:$I$89,3,0)*0.475*44/12</f>
        <v>3.7258634536231517E-14</v>
      </c>
      <c r="ED130" s="24">
        <f t="shared" si="72"/>
        <v>1.5868171035564536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454.99849419289757</v>
      </c>
      <c r="EP130" s="62">
        <f t="shared" si="100"/>
        <v>288.86643267991928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68.537438010155029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2.7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28.454400000000053</v>
      </c>
      <c r="D131" s="12">
        <f t="shared" si="86"/>
        <v>8.8805221797401774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79.474849820551327</v>
      </c>
      <c r="H131" s="70">
        <f t="shared" si="56"/>
        <v>282.09165612971424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427.57091071251745</v>
      </c>
      <c r="T131" s="62">
        <f t="shared" si="88"/>
        <v>272.62827206514726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475.54515523869958</v>
      </c>
      <c r="AO131" s="62">
        <f t="shared" si="90"/>
        <v>301.02979240961452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0.67598882707261332</v>
      </c>
      <c r="AW131" s="23">
        <f>EXP(-LN(2)/2)*AW130+(1-EXP(-LN(2)/2))/(LN(2)/2)*AQ131*AT131*VLOOKUP('Données projet'!$B$10,Paramètres!$A$1:$I$89,3,0)*0.475*44/12</f>
        <v>2.9681555355956296E-14</v>
      </c>
      <c r="AX131" s="23">
        <f t="shared" si="60"/>
        <v>0.67598882707264296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6.3550942286383367E-14</v>
      </c>
      <c r="BF131" s="14">
        <f t="shared" si="91"/>
        <v>1.0064464192543978E-12</v>
      </c>
      <c r="BG131" s="22">
        <f t="shared" si="61"/>
        <v>1.8635787380168604E-12</v>
      </c>
      <c r="BH131" s="62">
        <f t="shared" si="62"/>
        <v>288.0636373665622</v>
      </c>
      <c r="BI131" s="62">
        <f ca="1">AVERAGE(OFFSET($BH$3,0,0,'Données projet'!$E$11+1,1))-AVERAGE(OFFSET($H$3,0,0,'Données projet'!$E$11+1,1))</f>
        <v>381.71417599784968</v>
      </c>
      <c r="BJ131" s="62">
        <f t="shared" si="92"/>
        <v>350.49230135197979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4.6409937560932155</v>
      </c>
      <c r="BQ131" s="23">
        <f>EXP(-LN(2)/25)*BQ130+(1-EXP(-LN(2)/25))/(LN(2)/25)*Calculateur!BL131*Calculateur!BN131*VLOOKUP('Données projet'!$B$11,Paramètres!$A$1:$I$89,3,0)*0.475*44/12</f>
        <v>1.8568487502524065</v>
      </c>
      <c r="BR131" s="23">
        <f>EXP(-LN(2)/2)*BR130+(1-EXP(-LN(2)/2))/(LN(2)/2)*BL131*BO131*VLOOKUP('Données projet'!$B$11,Paramètres!$A$1:$I$89,3,0)*0.475*44/12</f>
        <v>1.2326215941435154E-13</v>
      </c>
      <c r="BS131" s="24">
        <f t="shared" si="63"/>
        <v>6.4978425063457452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3.1036506698001178E-14</v>
      </c>
      <c r="CA131" s="14">
        <f t="shared" si="93"/>
        <v>5.3428243983771088E-13</v>
      </c>
      <c r="CB131" s="22">
        <f t="shared" si="64"/>
        <v>9.8459716521636505E-13</v>
      </c>
      <c r="CC131" s="62">
        <f t="shared" si="65"/>
        <v>288.0636373665613</v>
      </c>
      <c r="CD131" s="62">
        <f ca="1">AVERAGE(OFFSET($CC$3,0,0,'Données projet'!$E$12+1,1))-AVERAGE(OFFSET($H$3,0,0,'Données projet'!$E$12+1,1))</f>
        <v>202.72043399839748</v>
      </c>
      <c r="CE131" s="62">
        <f t="shared" si="94"/>
        <v>295.50255983395789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0.38606024048781423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0.38606024048781423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4.9658410716801891E-14</v>
      </c>
      <c r="CV131" s="14">
        <f t="shared" si="95"/>
        <v>8.0934058173791862E-13</v>
      </c>
      <c r="CW131" s="22">
        <f t="shared" si="67"/>
        <v>1.4960899118586383E-12</v>
      </c>
      <c r="CX131" s="62">
        <f t="shared" si="68"/>
        <v>288.06363736656181</v>
      </c>
      <c r="CY131" s="62">
        <f ca="1">AVERAGE(OFFSET($CX$3,0,0,'Données projet'!$E$13+1,1))-AVERAGE(OFFSET($H$3,0,0,'Données projet'!$E$13+1,1))</f>
        <v>297.56177871222496</v>
      </c>
      <c r="CZ131" s="62">
        <f t="shared" si="96"/>
        <v>421.5717731815397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2.2354815303574069</v>
      </c>
      <c r="DH131" s="23">
        <f>EXP(-LN(2)/2)*DH130+(1-EXP(-LN(2)/2))/(LN(2)/2)*DB131*DE131*VLOOKUP('Données projet'!$B$13,Paramètres!$A$1:$I$89,3,0)*0.475*44/12</f>
        <v>2.8929746216700688E-14</v>
      </c>
      <c r="DI131" s="24">
        <f t="shared" si="69"/>
        <v>2.2354815303574358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752.99999999999977</v>
      </c>
      <c r="DP131" s="18">
        <f>DO131*VLOOKUP('Données projet'!$B$14,Paramètres!$A$1:$I$89,3,0)*VLOOKUP('Données projet'!$B$14,Paramètres!$A$1:$I$89,5,0)</f>
        <v>552.09959999999978</v>
      </c>
      <c r="DQ131" s="14">
        <f t="shared" si="97"/>
        <v>122.01091055125165</v>
      </c>
      <c r="DR131" s="22">
        <f t="shared" si="70"/>
        <v>1174.0758058767628</v>
      </c>
      <c r="DS131" s="62">
        <f t="shared" si="71"/>
        <v>1462.1394432433231</v>
      </c>
      <c r="DT131" s="62">
        <f ca="1">AVERAGE(OFFSET($DS$3,0,0,'Données projet'!$E$14+1,1))-AVERAGE(OFFSET($H$3,0,0,'Données projet'!$E$14+1,1))</f>
        <v>667.0152731006724</v>
      </c>
      <c r="DU131" s="62">
        <f t="shared" si="98"/>
        <v>567.40780872008088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1.5434255064125812</v>
      </c>
      <c r="EC131" s="23">
        <f>EXP(-LN(2)/2)*EC130+(1-EXP(-LN(2)/2))/(LN(2)/2)*DW131*DZ131*VLOOKUP('Données projet'!$B$14,Paramètres!$A$1:$I$89,3,0)*0.475*44/12</f>
        <v>2.6345833138320602E-14</v>
      </c>
      <c r="ED131" s="24">
        <f t="shared" si="72"/>
        <v>1.5434255064126077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454.99849419289757</v>
      </c>
      <c r="EP131" s="62">
        <f t="shared" si="100"/>
        <v>288.86643267991928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68.562810190880086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2.7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28.676700000000054</v>
      </c>
      <c r="D132" s="12">
        <f t="shared" si="86"/>
        <v>8.9417977412472336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80.022100904161434</v>
      </c>
      <c r="H132" s="70">
        <f t="shared" ref="H132:H195" si="110">(B132+E132+F132)*44/12+(C132+D132)*0.475*44/12</f>
        <v>282.5855502326724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427.57091071251745</v>
      </c>
      <c r="T132" s="62">
        <f t="shared" si="88"/>
        <v>272.62827206514726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475.54515523869958</v>
      </c>
      <c r="AO132" s="62">
        <f t="shared" si="90"/>
        <v>301.02979240961452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0.65750387704760527</v>
      </c>
      <c r="AW132" s="23">
        <f>EXP(-LN(2)/2)*AW131+(1-EXP(-LN(2)/2))/(LN(2)/2)*AQ132*AT132*VLOOKUP('Données projet'!$B$10,Paramètres!$A$1:$I$89,3,0)*0.475*44/12</f>
        <v>2.0988029068360587E-14</v>
      </c>
      <c r="AX132" s="23">
        <f t="shared" ref="AX132:AX153" si="114">SUM(AU132:AW132)</f>
        <v>0.65750387704762625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6.3550942286383367E-14</v>
      </c>
      <c r="BF132" s="14">
        <f t="shared" si="91"/>
        <v>1.0064464192543978E-12</v>
      </c>
      <c r="BG132" s="22">
        <f t="shared" ref="BG132:BG153" si="115">(BE132+BF132)*0.475*44/12</f>
        <v>1.8635787380168604E-12</v>
      </c>
      <c r="BH132" s="62">
        <f t="shared" ref="BH132:BH195" si="116">BG132+(AY132+AZ132)*44/12</f>
        <v>288.15505481031045</v>
      </c>
      <c r="BI132" s="62">
        <f ca="1">AVERAGE(OFFSET($BH$3,0,0,'Données projet'!$E$11+1,1))-AVERAGE(OFFSET($H$3,0,0,'Données projet'!$E$11+1,1))</f>
        <v>381.71417599784968</v>
      </c>
      <c r="BJ132" s="62">
        <f t="shared" si="92"/>
        <v>350.49230135197979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4.5499866992629077</v>
      </c>
      <c r="BQ132" s="23">
        <f>EXP(-LN(2)/25)*BQ131+(1-EXP(-LN(2)/25))/(LN(2)/25)*Calculateur!BL132*Calculateur!BN132*VLOOKUP('Données projet'!$B$11,Paramètres!$A$1:$I$89,3,0)*0.475*44/12</f>
        <v>1.8060731235293226</v>
      </c>
      <c r="BR132" s="23">
        <f>EXP(-LN(2)/2)*BR131+(1-EXP(-LN(2)/2))/(LN(2)/2)*BL132*BO132*VLOOKUP('Données projet'!$B$11,Paramètres!$A$1:$I$89,3,0)*0.475*44/12</f>
        <v>8.7159508785585218E-14</v>
      </c>
      <c r="BS132" s="24">
        <f t="shared" ref="BS132:BS153" si="117">SUM(BP132:BR132)</f>
        <v>6.3560598227923171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3.1036506698001178E-14</v>
      </c>
      <c r="CA132" s="14">
        <f t="shared" si="93"/>
        <v>5.3428243983771088E-13</v>
      </c>
      <c r="CB132" s="22">
        <f t="shared" ref="CB132:CB153" si="118">(BZ132+CA132)*0.475*44/12</f>
        <v>9.8459716521636505E-13</v>
      </c>
      <c r="CC132" s="62">
        <f t="shared" ref="CC132:CC195" si="119">CB132+(BT132+BU132)*44/12</f>
        <v>288.15505481030954</v>
      </c>
      <c r="CD132" s="62">
        <f ca="1">AVERAGE(OFFSET($CC$3,0,0,'Données projet'!$E$12+1,1))-AVERAGE(OFFSET($H$3,0,0,'Données projet'!$E$12+1,1))</f>
        <v>202.72043399839748</v>
      </c>
      <c r="CE132" s="62">
        <f t="shared" si="94"/>
        <v>295.50255983395789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0.37550340290964923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0.37550340290964923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4.9658410716801891E-14</v>
      </c>
      <c r="CV132" s="14">
        <f t="shared" si="95"/>
        <v>8.0934058173791862E-13</v>
      </c>
      <c r="CW132" s="22">
        <f t="shared" ref="CW132:CW153" si="121">(CU132+CV132)*0.475*44/12</f>
        <v>1.4960899118586383E-12</v>
      </c>
      <c r="CX132" s="62">
        <f t="shared" ref="CX132:CX195" si="122">CW132+(CO132+CP132)*44/12</f>
        <v>288.15505481031005</v>
      </c>
      <c r="CY132" s="62">
        <f ca="1">AVERAGE(OFFSET($CX$3,0,0,'Données projet'!$E$13+1,1))-AVERAGE(OFFSET($H$3,0,0,'Données projet'!$E$13+1,1))</f>
        <v>297.56177871222496</v>
      </c>
      <c r="CZ132" s="62">
        <f t="shared" si="96"/>
        <v>421.5717731815397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2.1743521703509194</v>
      </c>
      <c r="DH132" s="23">
        <f>EXP(-LN(2)/2)*DH131+(1-EXP(-LN(2)/2))/(LN(2)/2)*DB132*DE132*VLOOKUP('Données projet'!$B$13,Paramètres!$A$1:$I$89,3,0)*0.475*44/12</f>
        <v>2.0456419727834925E-14</v>
      </c>
      <c r="DI132" s="24">
        <f t="shared" ref="DI132:DI153" si="123">SUM(DF132:DH132)</f>
        <v>2.1743521703509399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752.99999999999977</v>
      </c>
      <c r="DP132" s="18">
        <f>DO132*VLOOKUP('Données projet'!$B$14,Paramètres!$A$1:$I$89,3,0)*VLOOKUP('Données projet'!$B$14,Paramètres!$A$1:$I$89,5,0)</f>
        <v>552.09959999999978</v>
      </c>
      <c r="DQ132" s="14">
        <f t="shared" si="97"/>
        <v>122.01091055125165</v>
      </c>
      <c r="DR132" s="22">
        <f t="shared" ref="DR132:DR153" si="124">(DP132+DQ132)*0.475*44/12</f>
        <v>1174.0758058767628</v>
      </c>
      <c r="DS132" s="62">
        <f t="shared" ref="DS132:DS195" si="125">DR132+(DJ132+DK132)*44/12</f>
        <v>1462.2308606870715</v>
      </c>
      <c r="DT132" s="62">
        <f ca="1">AVERAGE(OFFSET($DS$3,0,0,'Données projet'!$E$14+1,1))-AVERAGE(OFFSET($H$3,0,0,'Données projet'!$E$14+1,1))</f>
        <v>667.0152731006724</v>
      </c>
      <c r="DU132" s="62">
        <f t="shared" si="98"/>
        <v>567.40780872008088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1.5012204547745094</v>
      </c>
      <c r="EC132" s="23">
        <f>EXP(-LN(2)/2)*EC131+(1-EXP(-LN(2)/2))/(LN(2)/2)*DW132*DZ132*VLOOKUP('Données projet'!$B$14,Paramètres!$A$1:$I$89,3,0)*0.475*44/12</f>
        <v>1.8629317268115758E-14</v>
      </c>
      <c r="ED132" s="24">
        <f t="shared" ref="ED132:ED153" si="126">SUM(EA132:EC132)</f>
        <v>1.501220454774528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454.99849419289757</v>
      </c>
      <c r="EP132" s="62">
        <f t="shared" si="100"/>
        <v>288.86643267991928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68.587742220993249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2.7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28.899000000000054</v>
      </c>
      <c r="D133" s="12">
        <f t="shared" ref="D133:D196" si="140">IFERROR(EXP(-1.0587+0.8836*LN(C133)+0.284),0)</f>
        <v>9.0030180365996699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80.569245333788956</v>
      </c>
      <c r="H133" s="70">
        <f t="shared" si="110"/>
        <v>283.07934808041119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427.57091071251745</v>
      </c>
      <c r="T133" s="62">
        <f t="shared" ref="T133:T196" si="142">$T$3</f>
        <v>272.62827206514726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475.54515523869958</v>
      </c>
      <c r="AO133" s="62">
        <f t="shared" ref="AO133:AO196" si="144">$AO$3</f>
        <v>301.02979240961452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0.63952439895311231</v>
      </c>
      <c r="AW133" s="23">
        <f>EXP(-LN(2)/2)*AW132+(1-EXP(-LN(2)/2))/(LN(2)/2)*AQ133*AT133*VLOOKUP('Données projet'!$B$10,Paramètres!$A$1:$I$89,3,0)*0.475*44/12</f>
        <v>1.4840777677978148E-14</v>
      </c>
      <c r="AX133" s="23">
        <f t="shared" si="114"/>
        <v>0.63952439895312718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6.3550942286383367E-14</v>
      </c>
      <c r="BF133" s="14">
        <f t="shared" ref="BF133:BF153" si="145">EXP(-1.0587+0.8836*LN(BE133)+0.284)</f>
        <v>1.0064464192543978E-12</v>
      </c>
      <c r="BG133" s="22">
        <f t="shared" si="115"/>
        <v>1.8635787380168604E-12</v>
      </c>
      <c r="BH133" s="62">
        <f t="shared" si="116"/>
        <v>288.24488636578855</v>
      </c>
      <c r="BI133" s="62">
        <f ca="1">AVERAGE(OFFSET($BH$3,0,0,'Données projet'!$E$11+1,1))-AVERAGE(OFFSET($H$3,0,0,'Données projet'!$E$11+1,1))</f>
        <v>381.71417599784968</v>
      </c>
      <c r="BJ133" s="62">
        <f t="shared" ref="BJ133:BJ196" si="146">$BJ$3</f>
        <v>350.49230135197979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4.4607642353082184</v>
      </c>
      <c r="BQ133" s="23">
        <f>EXP(-LN(2)/25)*BQ132+(1-EXP(-LN(2)/25))/(LN(2)/25)*Calculateur!BL133*Calculateur!BN133*VLOOKUP('Données projet'!$B$11,Paramètres!$A$1:$I$89,3,0)*0.475*44/12</f>
        <v>1.7566859589891555</v>
      </c>
      <c r="BR133" s="23">
        <f>EXP(-LN(2)/2)*BR132+(1-EXP(-LN(2)/2))/(LN(2)/2)*BL133*BO133*VLOOKUP('Données projet'!$B$11,Paramètres!$A$1:$I$89,3,0)*0.475*44/12</f>
        <v>6.1631079707175772E-14</v>
      </c>
      <c r="BS133" s="24">
        <f t="shared" si="117"/>
        <v>6.2174501942974354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3.1036506698001178E-14</v>
      </c>
      <c r="CA133" s="14">
        <f t="shared" ref="CA133:CA153" si="147">EXP(-1.0587+0.8836*LN(BZ133)+0.284)</f>
        <v>5.3428243983771088E-13</v>
      </c>
      <c r="CB133" s="22">
        <f t="shared" si="118"/>
        <v>9.8459716521636505E-13</v>
      </c>
      <c r="CC133" s="62">
        <f t="shared" si="119"/>
        <v>288.24488636578764</v>
      </c>
      <c r="CD133" s="62">
        <f ca="1">AVERAGE(OFFSET($CC$3,0,0,'Données projet'!$E$12+1,1))-AVERAGE(OFFSET($H$3,0,0,'Données projet'!$E$12+1,1))</f>
        <v>202.72043399839748</v>
      </c>
      <c r="CE133" s="62">
        <f t="shared" ref="CE133:CE196" si="148">$CE$3</f>
        <v>295.50255983395789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0.36523524261021911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0.36523524261021911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4.9658410716801891E-14</v>
      </c>
      <c r="CV133" s="14">
        <f t="shared" ref="CV133:CV153" si="149">EXP(-1.0587+0.8836*LN(CU133)+0.284)</f>
        <v>8.0934058173791862E-13</v>
      </c>
      <c r="CW133" s="22">
        <f t="shared" si="121"/>
        <v>1.4960899118586383E-12</v>
      </c>
      <c r="CX133" s="62">
        <f t="shared" si="122"/>
        <v>288.24488636578815</v>
      </c>
      <c r="CY133" s="62">
        <f ca="1">AVERAGE(OFFSET($CX$3,0,0,'Données projet'!$E$13+1,1))-AVERAGE(OFFSET($H$3,0,0,'Données projet'!$E$13+1,1))</f>
        <v>297.56177871222496</v>
      </c>
      <c r="CZ133" s="62">
        <f t="shared" ref="CZ133:CZ196" si="150">$CZ$3</f>
        <v>421.5717731815397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2.1148943959084625</v>
      </c>
      <c r="DH133" s="23">
        <f>EXP(-LN(2)/2)*DH132+(1-EXP(-LN(2)/2))/(LN(2)/2)*DB133*DE133*VLOOKUP('Données projet'!$B$13,Paramètres!$A$1:$I$89,3,0)*0.475*44/12</f>
        <v>1.4464873108350344E-14</v>
      </c>
      <c r="DI133" s="24">
        <f t="shared" si="123"/>
        <v>2.1148943959084772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752.99999999999977</v>
      </c>
      <c r="DP133" s="18">
        <f>DO133*VLOOKUP('Données projet'!$B$14,Paramètres!$A$1:$I$89,3,0)*VLOOKUP('Données projet'!$B$14,Paramètres!$A$1:$I$89,5,0)</f>
        <v>552.09959999999978</v>
      </c>
      <c r="DQ133" s="14">
        <f t="shared" ref="DQ133:DQ153" si="151">EXP(-1.0587+0.8836*LN(DP133)+0.284)</f>
        <v>122.01091055125165</v>
      </c>
      <c r="DR133" s="22">
        <f t="shared" si="124"/>
        <v>1174.0758058767628</v>
      </c>
      <c r="DS133" s="62">
        <f t="shared" si="125"/>
        <v>1462.3206922425495</v>
      </c>
      <c r="DT133" s="62">
        <f ca="1">AVERAGE(OFFSET($DS$3,0,0,'Données projet'!$E$14+1,1))-AVERAGE(OFFSET($H$3,0,0,'Données projet'!$E$14+1,1))</f>
        <v>667.0152731006724</v>
      </c>
      <c r="DU133" s="62">
        <f t="shared" ref="DU133:DU196" si="152">$DU$3</f>
        <v>567.40780872008088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1.4601695024929477</v>
      </c>
      <c r="EC133" s="23">
        <f>EXP(-LN(2)/2)*EC132+(1-EXP(-LN(2)/2))/(LN(2)/2)*DW133*DZ133*VLOOKUP('Données projet'!$B$14,Paramètres!$A$1:$I$89,3,0)*0.475*44/12</f>
        <v>1.3172916569160301E-14</v>
      </c>
      <c r="ED133" s="24">
        <f t="shared" si="126"/>
        <v>1.4601695024929608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454.99849419289757</v>
      </c>
      <c r="EP133" s="62">
        <f t="shared" ref="EP133:EP196" si="154">$EP$3</f>
        <v>288.86643267991928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68.612241736123636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2.7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29.121300000000055</v>
      </c>
      <c r="D134" s="12">
        <f t="shared" si="140"/>
        <v>9.0641835402031958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81.116284024953643</v>
      </c>
      <c r="H134" s="70">
        <f t="shared" si="110"/>
        <v>283.57305049918739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427.57091071251745</v>
      </c>
      <c r="T134" s="62">
        <f t="shared" si="142"/>
        <v>272.62827206514726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475.54515523869958</v>
      </c>
      <c r="AO134" s="62">
        <f t="shared" si="144"/>
        <v>301.02979240961452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0.62203657063261297</v>
      </c>
      <c r="AW134" s="23">
        <f>EXP(-LN(2)/2)*AW133+(1-EXP(-LN(2)/2))/(LN(2)/2)*AQ134*AT134*VLOOKUP('Données projet'!$B$10,Paramètres!$A$1:$I$89,3,0)*0.475*44/12</f>
        <v>1.0494014534180293E-14</v>
      </c>
      <c r="AX134" s="23">
        <f t="shared" si="114"/>
        <v>0.62203657063262352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6.3550942286383367E-14</v>
      </c>
      <c r="BF134" s="14">
        <f t="shared" si="145"/>
        <v>1.0064464192543978E-12</v>
      </c>
      <c r="BG134" s="22">
        <f t="shared" si="115"/>
        <v>1.8635787380168604E-12</v>
      </c>
      <c r="BH134" s="62">
        <f t="shared" si="116"/>
        <v>288.33315954461233</v>
      </c>
      <c r="BI134" s="62">
        <f ca="1">AVERAGE(OFFSET($BH$3,0,0,'Données projet'!$E$11+1,1))-AVERAGE(OFFSET($H$3,0,0,'Données projet'!$E$11+1,1))</f>
        <v>381.71417599784968</v>
      </c>
      <c r="BJ134" s="62">
        <f t="shared" si="146"/>
        <v>350.49230135197979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4.3732913694513513</v>
      </c>
      <c r="BQ134" s="23">
        <f>EXP(-LN(2)/25)*BQ133+(1-EXP(-LN(2)/25))/(LN(2)/25)*Calculateur!BL134*Calculateur!BN134*VLOOKUP('Données projet'!$B$11,Paramètres!$A$1:$I$89,3,0)*0.475*44/12</f>
        <v>1.7086492890604974</v>
      </c>
      <c r="BR134" s="23">
        <f>EXP(-LN(2)/2)*BR133+(1-EXP(-LN(2)/2))/(LN(2)/2)*BL134*BO134*VLOOKUP('Données projet'!$B$11,Paramètres!$A$1:$I$89,3,0)*0.475*44/12</f>
        <v>4.3579754392792609E-14</v>
      </c>
      <c r="BS134" s="24">
        <f t="shared" si="117"/>
        <v>6.0819406585118925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3.1036506698001178E-14</v>
      </c>
      <c r="CA134" s="14">
        <f t="shared" si="147"/>
        <v>5.3428243983771088E-13</v>
      </c>
      <c r="CB134" s="22">
        <f t="shared" si="118"/>
        <v>9.8459716521636505E-13</v>
      </c>
      <c r="CC134" s="62">
        <f t="shared" si="119"/>
        <v>288.33315954461142</v>
      </c>
      <c r="CD134" s="62">
        <f ca="1">AVERAGE(OFFSET($CC$3,0,0,'Données projet'!$E$12+1,1))-AVERAGE(OFFSET($H$3,0,0,'Données projet'!$E$12+1,1))</f>
        <v>202.72043399839748</v>
      </c>
      <c r="CE134" s="62">
        <f t="shared" si="148"/>
        <v>295.50255983395789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0.35524786569415601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0.35524786569415601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4.9658410716801891E-14</v>
      </c>
      <c r="CV134" s="14">
        <f t="shared" si="149"/>
        <v>8.0934058173791862E-13</v>
      </c>
      <c r="CW134" s="22">
        <f t="shared" si="121"/>
        <v>1.4960899118586383E-12</v>
      </c>
      <c r="CX134" s="62">
        <f t="shared" si="122"/>
        <v>288.33315954461193</v>
      </c>
      <c r="CY134" s="62">
        <f ca="1">AVERAGE(OFFSET($CX$3,0,0,'Données projet'!$E$13+1,1))-AVERAGE(OFFSET($H$3,0,0,'Données projet'!$E$13+1,1))</f>
        <v>297.56177871222496</v>
      </c>
      <c r="CZ134" s="62">
        <f t="shared" si="150"/>
        <v>421.5717731815397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2.0570624974348828</v>
      </c>
      <c r="DH134" s="23">
        <f>EXP(-LN(2)/2)*DH133+(1-EXP(-LN(2)/2))/(LN(2)/2)*DB134*DE134*VLOOKUP('Données projet'!$B$13,Paramètres!$A$1:$I$89,3,0)*0.475*44/12</f>
        <v>1.0228209863917463E-14</v>
      </c>
      <c r="DI134" s="24">
        <f t="shared" si="123"/>
        <v>2.057062497434893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752.99999999999977</v>
      </c>
      <c r="DP134" s="18">
        <f>DO134*VLOOKUP('Données projet'!$B$14,Paramètres!$A$1:$I$89,3,0)*VLOOKUP('Données projet'!$B$14,Paramètres!$A$1:$I$89,5,0)</f>
        <v>552.09959999999978</v>
      </c>
      <c r="DQ134" s="14">
        <f t="shared" si="151"/>
        <v>122.01091055125165</v>
      </c>
      <c r="DR134" s="22">
        <f t="shared" si="124"/>
        <v>1174.0758058767628</v>
      </c>
      <c r="DS134" s="62">
        <f t="shared" si="125"/>
        <v>1462.4089654213733</v>
      </c>
      <c r="DT134" s="62">
        <f ca="1">AVERAGE(OFFSET($DS$3,0,0,'Données projet'!$E$14+1,1))-AVERAGE(OFFSET($H$3,0,0,'Données projet'!$E$14+1,1))</f>
        <v>667.0152731006724</v>
      </c>
      <c r="DU134" s="62">
        <f t="shared" si="152"/>
        <v>567.40780872008088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1.4202410906603011</v>
      </c>
      <c r="EC134" s="23">
        <f>EXP(-LN(2)/2)*EC133+(1-EXP(-LN(2)/2))/(LN(2)/2)*DW134*DZ134*VLOOKUP('Données projet'!$B$14,Paramètres!$A$1:$I$89,3,0)*0.475*44/12</f>
        <v>9.3146586340578792E-15</v>
      </c>
      <c r="ED134" s="24">
        <f t="shared" si="126"/>
        <v>1.4202410906603105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454.99849419289757</v>
      </c>
      <c r="EP134" s="62">
        <f t="shared" si="154"/>
        <v>288.86643267991928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68.636316239439211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2.7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29.343600000000055</v>
      </c>
      <c r="D135" s="12">
        <f t="shared" si="140"/>
        <v>9.1252947188023299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81.663217878390583</v>
      </c>
      <c r="H135" s="70">
        <f t="shared" si="110"/>
        <v>284.06665830191417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427.57091071251745</v>
      </c>
      <c r="T135" s="62">
        <f t="shared" si="142"/>
        <v>272.62827206514726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475.54515523869958</v>
      </c>
      <c r="AO135" s="62">
        <f t="shared" si="144"/>
        <v>301.02979240961452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0.60502694789718259</v>
      </c>
      <c r="AW135" s="23">
        <f>EXP(-LN(2)/2)*AW134+(1-EXP(-LN(2)/2))/(LN(2)/2)*AQ135*AT135*VLOOKUP('Données projet'!$B$10,Paramètres!$A$1:$I$89,3,0)*0.475*44/12</f>
        <v>7.420388838989074E-15</v>
      </c>
      <c r="AX135" s="23">
        <f t="shared" si="114"/>
        <v>0.60502694789719003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6.3550942286383367E-14</v>
      </c>
      <c r="BF135" s="14">
        <f t="shared" si="145"/>
        <v>1.0064464192543978E-12</v>
      </c>
      <c r="BG135" s="22">
        <f t="shared" si="115"/>
        <v>1.8635787380168604E-12</v>
      </c>
      <c r="BH135" s="62">
        <f t="shared" si="116"/>
        <v>288.41990138113277</v>
      </c>
      <c r="BI135" s="62">
        <f ca="1">AVERAGE(OFFSET($BH$3,0,0,'Données projet'!$E$11+1,1))-AVERAGE(OFFSET($H$3,0,0,'Données projet'!$E$11+1,1))</f>
        <v>381.71417599784968</v>
      </c>
      <c r="BJ135" s="62">
        <f t="shared" si="146"/>
        <v>350.49230135197979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4.2875337931407573</v>
      </c>
      <c r="BQ135" s="23">
        <f>EXP(-LN(2)/25)*BQ134+(1-EXP(-LN(2)/25))/(LN(2)/25)*Calculateur!BL135*Calculateur!BN135*VLOOKUP('Données projet'!$B$11,Paramètres!$A$1:$I$89,3,0)*0.475*44/12</f>
        <v>1.6619261843971771</v>
      </c>
      <c r="BR135" s="23">
        <f>EXP(-LN(2)/2)*BR134+(1-EXP(-LN(2)/2))/(LN(2)/2)*BL135*BO135*VLOOKUP('Données projet'!$B$11,Paramètres!$A$1:$I$89,3,0)*0.475*44/12</f>
        <v>3.0815539853587886E-14</v>
      </c>
      <c r="BS135" s="24">
        <f t="shared" si="117"/>
        <v>5.9494599775379653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3.1036506698001178E-14</v>
      </c>
      <c r="CA135" s="14">
        <f t="shared" si="147"/>
        <v>5.3428243983771088E-13</v>
      </c>
      <c r="CB135" s="22">
        <f t="shared" si="118"/>
        <v>9.8459716521636505E-13</v>
      </c>
      <c r="CC135" s="62">
        <f t="shared" si="119"/>
        <v>288.41990138113187</v>
      </c>
      <c r="CD135" s="62">
        <f ca="1">AVERAGE(OFFSET($CC$3,0,0,'Données projet'!$E$12+1,1))-AVERAGE(OFFSET($H$3,0,0,'Données projet'!$E$12+1,1))</f>
        <v>202.72043399839748</v>
      </c>
      <c r="CE135" s="62">
        <f t="shared" si="148"/>
        <v>295.50255983395789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0.345533594125076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0.345533594125076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4.9658410716801891E-14</v>
      </c>
      <c r="CV135" s="14">
        <f t="shared" si="149"/>
        <v>8.0934058173791862E-13</v>
      </c>
      <c r="CW135" s="22">
        <f t="shared" si="121"/>
        <v>1.4960899118586383E-12</v>
      </c>
      <c r="CX135" s="62">
        <f t="shared" si="122"/>
        <v>288.41990138113238</v>
      </c>
      <c r="CY135" s="62">
        <f ca="1">AVERAGE(OFFSET($CX$3,0,0,'Données projet'!$E$13+1,1))-AVERAGE(OFFSET($H$3,0,0,'Données projet'!$E$13+1,1))</f>
        <v>297.56177871222496</v>
      </c>
      <c r="CZ135" s="62">
        <f t="shared" si="150"/>
        <v>421.5717731815397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2.0008120152663107</v>
      </c>
      <c r="DH135" s="23">
        <f>EXP(-LN(2)/2)*DH134+(1-EXP(-LN(2)/2))/(LN(2)/2)*DB135*DE135*VLOOKUP('Données projet'!$B$13,Paramètres!$A$1:$I$89,3,0)*0.475*44/12</f>
        <v>7.232436554175172E-15</v>
      </c>
      <c r="DI135" s="24">
        <f t="shared" si="123"/>
        <v>2.0008120152663178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752.99999999999977</v>
      </c>
      <c r="DP135" s="18">
        <f>DO135*VLOOKUP('Données projet'!$B$14,Paramètres!$A$1:$I$89,3,0)*VLOOKUP('Données projet'!$B$14,Paramètres!$A$1:$I$89,5,0)</f>
        <v>552.09959999999978</v>
      </c>
      <c r="DQ135" s="14">
        <f t="shared" si="151"/>
        <v>122.01091055125165</v>
      </c>
      <c r="DR135" s="22">
        <f t="shared" si="124"/>
        <v>1174.0758058767628</v>
      </c>
      <c r="DS135" s="62">
        <f t="shared" si="125"/>
        <v>1462.4957072578936</v>
      </c>
      <c r="DT135" s="62">
        <f ca="1">AVERAGE(OFFSET($DS$3,0,0,'Données projet'!$E$14+1,1))-AVERAGE(OFFSET($H$3,0,0,'Données projet'!$E$14+1,1))</f>
        <v>667.0152731006724</v>
      </c>
      <c r="DU135" s="62">
        <f t="shared" si="152"/>
        <v>567.40780872008088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1.3814045233489622</v>
      </c>
      <c r="EC135" s="23">
        <f>EXP(-LN(2)/2)*EC134+(1-EXP(-LN(2)/2))/(LN(2)/2)*DW135*DZ135*VLOOKUP('Données projet'!$B$14,Paramètres!$A$1:$I$89,3,0)*0.475*44/12</f>
        <v>6.5864582845801505E-15</v>
      </c>
      <c r="ED135" s="24">
        <f t="shared" si="126"/>
        <v>1.3814045233489689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454.99849419289757</v>
      </c>
      <c r="EP135" s="62">
        <f t="shared" si="154"/>
        <v>288.86643267991928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68.659973103944793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2.7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29.565900000000056</v>
      </c>
      <c r="D136" s="12">
        <f t="shared" si="140"/>
        <v>9.1863520316612082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82.210047780398938</v>
      </c>
      <c r="H136" s="70">
        <f t="shared" si="110"/>
        <v>284.56017228847674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427.57091071251745</v>
      </c>
      <c r="T136" s="62">
        <f t="shared" si="142"/>
        <v>272.62827206514726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475.54515523869958</v>
      </c>
      <c r="AO136" s="62">
        <f t="shared" si="144"/>
        <v>301.02979240961452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0.58848245418994971</v>
      </c>
      <c r="AW136" s="23">
        <f>EXP(-LN(2)/2)*AW135+(1-EXP(-LN(2)/2))/(LN(2)/2)*AQ136*AT136*VLOOKUP('Données projet'!$B$10,Paramètres!$A$1:$I$89,3,0)*0.475*44/12</f>
        <v>5.2470072670901467E-15</v>
      </c>
      <c r="AX136" s="23">
        <f t="shared" si="114"/>
        <v>0.58848245418995493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6.3550942286383367E-14</v>
      </c>
      <c r="BF136" s="14">
        <f t="shared" si="145"/>
        <v>1.0064464192543978E-12</v>
      </c>
      <c r="BG136" s="22">
        <f t="shared" si="115"/>
        <v>1.8635787380168604E-12</v>
      </c>
      <c r="BH136" s="62">
        <f t="shared" si="116"/>
        <v>288.50513844071526</v>
      </c>
      <c r="BI136" s="62">
        <f ca="1">AVERAGE(OFFSET($BH$3,0,0,'Données projet'!$E$11+1,1))-AVERAGE(OFFSET($H$3,0,0,'Données projet'!$E$11+1,1))</f>
        <v>381.71417599784968</v>
      </c>
      <c r="BJ136" s="62">
        <f t="shared" si="146"/>
        <v>350.49230135197979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4.2034578705946579</v>
      </c>
      <c r="BQ136" s="23">
        <f>EXP(-LN(2)/25)*BQ135+(1-EXP(-LN(2)/25))/(LN(2)/25)*Calculateur!BL136*Calculateur!BN136*VLOOKUP('Données projet'!$B$11,Paramètres!$A$1:$I$89,3,0)*0.475*44/12</f>
        <v>1.6164807254879365</v>
      </c>
      <c r="BR136" s="23">
        <f>EXP(-LN(2)/2)*BR135+(1-EXP(-LN(2)/2))/(LN(2)/2)*BL136*BO136*VLOOKUP('Données projet'!$B$11,Paramètres!$A$1:$I$89,3,0)*0.475*44/12</f>
        <v>2.1789877196396305E-14</v>
      </c>
      <c r="BS136" s="24">
        <f t="shared" si="117"/>
        <v>5.8199385960826167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3.1036506698001178E-14</v>
      </c>
      <c r="CA136" s="14">
        <f t="shared" si="147"/>
        <v>5.3428243983771088E-13</v>
      </c>
      <c r="CB136" s="22">
        <f t="shared" si="118"/>
        <v>9.8459716521636505E-13</v>
      </c>
      <c r="CC136" s="62">
        <f t="shared" si="119"/>
        <v>288.50513844071435</v>
      </c>
      <c r="CD136" s="62">
        <f ca="1">AVERAGE(OFFSET($CC$3,0,0,'Données projet'!$E$12+1,1))-AVERAGE(OFFSET($H$3,0,0,'Données projet'!$E$12+1,1))</f>
        <v>202.72043399839748</v>
      </c>
      <c r="CE136" s="62">
        <f t="shared" si="148"/>
        <v>295.50255983395789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0.33608495982290382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0.33608495982290382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4.9658410716801891E-14</v>
      </c>
      <c r="CV136" s="14">
        <f t="shared" si="149"/>
        <v>8.0934058173791862E-13</v>
      </c>
      <c r="CW136" s="22">
        <f t="shared" si="121"/>
        <v>1.4960899118586383E-12</v>
      </c>
      <c r="CX136" s="62">
        <f t="shared" si="122"/>
        <v>288.50513844071486</v>
      </c>
      <c r="CY136" s="62">
        <f ca="1">AVERAGE(OFFSET($CX$3,0,0,'Données projet'!$E$13+1,1))-AVERAGE(OFFSET($H$3,0,0,'Données projet'!$E$13+1,1))</f>
        <v>297.56177871222496</v>
      </c>
      <c r="CZ136" s="62">
        <f t="shared" si="150"/>
        <v>421.5717731815397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1.9460997054907225</v>
      </c>
      <c r="DH136" s="23">
        <f>EXP(-LN(2)/2)*DH135+(1-EXP(-LN(2)/2))/(LN(2)/2)*DB136*DE136*VLOOKUP('Données projet'!$B$13,Paramètres!$A$1:$I$89,3,0)*0.475*44/12</f>
        <v>5.1141049319587313E-15</v>
      </c>
      <c r="DI136" s="24">
        <f t="shared" si="123"/>
        <v>1.9460997054907276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752.99999999999977</v>
      </c>
      <c r="DP136" s="18">
        <f>DO136*VLOOKUP('Données projet'!$B$14,Paramètres!$A$1:$I$89,3,0)*VLOOKUP('Données projet'!$B$14,Paramètres!$A$1:$I$89,5,0)</f>
        <v>552.09959999999978</v>
      </c>
      <c r="DQ136" s="14">
        <f t="shared" si="151"/>
        <v>122.01091055125165</v>
      </c>
      <c r="DR136" s="22">
        <f t="shared" si="124"/>
        <v>1174.0758058767628</v>
      </c>
      <c r="DS136" s="62">
        <f t="shared" si="125"/>
        <v>1462.5809443174762</v>
      </c>
      <c r="DT136" s="62">
        <f ca="1">AVERAGE(OFFSET($DS$3,0,0,'Données projet'!$E$14+1,1))-AVERAGE(OFFSET($H$3,0,0,'Données projet'!$E$14+1,1))</f>
        <v>667.0152731006724</v>
      </c>
      <c r="DU136" s="62">
        <f t="shared" si="152"/>
        <v>567.40780872008088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1.3436299440130783</v>
      </c>
      <c r="EC136" s="23">
        <f>EXP(-LN(2)/2)*EC135+(1-EXP(-LN(2)/2))/(LN(2)/2)*DW136*DZ136*VLOOKUP('Données projet'!$B$14,Paramètres!$A$1:$I$89,3,0)*0.475*44/12</f>
        <v>4.6573293170289396E-15</v>
      </c>
      <c r="ED136" s="24">
        <f t="shared" si="126"/>
        <v>1.343629944013083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454.99849419289757</v>
      </c>
      <c r="EP136" s="62">
        <f t="shared" si="154"/>
        <v>288.86643267991928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68.683219574740008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2.7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29.788200000000057</v>
      </c>
      <c r="D137" s="12">
        <f t="shared" si="140"/>
        <v>9.2473559307387951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82.756774603180247</v>
      </c>
      <c r="H137" s="70">
        <f t="shared" si="110"/>
        <v>285.05359324603683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427.57091071251745</v>
      </c>
      <c r="T137" s="62">
        <f t="shared" si="142"/>
        <v>272.62827206514726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475.54515523869958</v>
      </c>
      <c r="AO137" s="62">
        <f t="shared" si="144"/>
        <v>301.02979240961452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0.57239037053317832</v>
      </c>
      <c r="AW137" s="23">
        <f>EXP(-LN(2)/2)*AW136+(1-EXP(-LN(2)/2))/(LN(2)/2)*AQ137*AT137*VLOOKUP('Données projet'!$B$10,Paramètres!$A$1:$I$89,3,0)*0.475*44/12</f>
        <v>3.710194419494537E-15</v>
      </c>
      <c r="AX137" s="23">
        <f t="shared" si="114"/>
        <v>0.57239037053318198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6.3550942286383367E-14</v>
      </c>
      <c r="BF137" s="14">
        <f t="shared" si="145"/>
        <v>1.0064464192543978E-12</v>
      </c>
      <c r="BG137" s="22">
        <f t="shared" si="115"/>
        <v>1.8635787380168604E-12</v>
      </c>
      <c r="BH137" s="62">
        <f t="shared" si="116"/>
        <v>288.58889682787549</v>
      </c>
      <c r="BI137" s="62">
        <f ca="1">AVERAGE(OFFSET($BH$3,0,0,'Données projet'!$E$11+1,1))-AVERAGE(OFFSET($H$3,0,0,'Données projet'!$E$11+1,1))</f>
        <v>381.71417599784968</v>
      </c>
      <c r="BJ137" s="62">
        <f t="shared" si="146"/>
        <v>350.49230135197979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4.1210306256084381</v>
      </c>
      <c r="BQ137" s="23">
        <f>EXP(-LN(2)/25)*BQ136+(1-EXP(-LN(2)/25))/(LN(2)/25)*Calculateur!BL137*Calculateur!BN137*VLOOKUP('Données projet'!$B$11,Paramètres!$A$1:$I$89,3,0)*0.475*44/12</f>
        <v>1.572277975042442</v>
      </c>
      <c r="BR137" s="23">
        <f>EXP(-LN(2)/2)*BR136+(1-EXP(-LN(2)/2))/(LN(2)/2)*BL137*BO137*VLOOKUP('Données projet'!$B$11,Paramètres!$A$1:$I$89,3,0)*0.475*44/12</f>
        <v>1.5407769926793943E-14</v>
      </c>
      <c r="BS137" s="24">
        <f t="shared" si="117"/>
        <v>5.6933086006508953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3.1036506698001178E-14</v>
      </c>
      <c r="CA137" s="14">
        <f t="shared" si="147"/>
        <v>5.3428243983771088E-13</v>
      </c>
      <c r="CB137" s="22">
        <f t="shared" si="118"/>
        <v>9.8459716521636505E-13</v>
      </c>
      <c r="CC137" s="62">
        <f t="shared" si="119"/>
        <v>288.58889682787458</v>
      </c>
      <c r="CD137" s="62">
        <f ca="1">AVERAGE(OFFSET($CC$3,0,0,'Données projet'!$E$12+1,1))-AVERAGE(OFFSET($H$3,0,0,'Données projet'!$E$12+1,1))</f>
        <v>202.72043399839748</v>
      </c>
      <c r="CE137" s="62">
        <f t="shared" si="148"/>
        <v>295.50255983395789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0.32689469892260659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0.32689469892260659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4.9658410716801891E-14</v>
      </c>
      <c r="CV137" s="14">
        <f t="shared" si="149"/>
        <v>8.0934058173791862E-13</v>
      </c>
      <c r="CW137" s="22">
        <f t="shared" si="121"/>
        <v>1.4960899118586383E-12</v>
      </c>
      <c r="CX137" s="62">
        <f t="shared" si="122"/>
        <v>288.58889682787509</v>
      </c>
      <c r="CY137" s="62">
        <f ca="1">AVERAGE(OFFSET($CX$3,0,0,'Données projet'!$E$13+1,1))-AVERAGE(OFFSET($H$3,0,0,'Données projet'!$E$13+1,1))</f>
        <v>297.56177871222496</v>
      </c>
      <c r="CZ137" s="62">
        <f t="shared" si="150"/>
        <v>421.5717731815397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1.8928835067031431</v>
      </c>
      <c r="DH137" s="23">
        <f>EXP(-LN(2)/2)*DH136+(1-EXP(-LN(2)/2))/(LN(2)/2)*DB137*DE137*VLOOKUP('Données projet'!$B$13,Paramètres!$A$1:$I$89,3,0)*0.475*44/12</f>
        <v>3.616218277087586E-15</v>
      </c>
      <c r="DI137" s="24">
        <f t="shared" si="123"/>
        <v>1.8928835067031466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752.99999999999977</v>
      </c>
      <c r="DP137" s="18">
        <f>DO137*VLOOKUP('Données projet'!$B$14,Paramètres!$A$1:$I$89,3,0)*VLOOKUP('Données projet'!$B$14,Paramètres!$A$1:$I$89,5,0)</f>
        <v>552.09959999999978</v>
      </c>
      <c r="DQ137" s="14">
        <f t="shared" si="151"/>
        <v>122.01091055125165</v>
      </c>
      <c r="DR137" s="22">
        <f t="shared" si="124"/>
        <v>1174.0758058767628</v>
      </c>
      <c r="DS137" s="62">
        <f t="shared" si="125"/>
        <v>1462.6647027046365</v>
      </c>
      <c r="DT137" s="62">
        <f ca="1">AVERAGE(OFFSET($DS$3,0,0,'Données projet'!$E$14+1,1))-AVERAGE(OFFSET($H$3,0,0,'Données projet'!$E$14+1,1))</f>
        <v>667.0152731006724</v>
      </c>
      <c r="DU137" s="62">
        <f t="shared" si="152"/>
        <v>567.40780872008088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1.3068883125356128</v>
      </c>
      <c r="EC137" s="23">
        <f>EXP(-LN(2)/2)*EC136+(1-EXP(-LN(2)/2))/(LN(2)/2)*DW137*DZ137*VLOOKUP('Données projet'!$B$14,Paramètres!$A$1:$I$89,3,0)*0.475*44/12</f>
        <v>3.2932291422900753E-15</v>
      </c>
      <c r="ED137" s="24">
        <f t="shared" si="126"/>
        <v>1.3068883125356161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454.99849419289757</v>
      </c>
      <c r="EP137" s="62">
        <f t="shared" si="154"/>
        <v>288.86643267991928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68.706062771238265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2.7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30.010500000000057</v>
      </c>
      <c r="D138" s="12">
        <f t="shared" si="140"/>
        <v>9.308306860858691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83.303399205166002</v>
      </c>
      <c r="H138" s="70">
        <f t="shared" si="110"/>
        <v>285.54692194932903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427.57091071251745</v>
      </c>
      <c r="T138" s="62">
        <f t="shared" si="142"/>
        <v>272.62827206514726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475.54515523869958</v>
      </c>
      <c r="AO138" s="62">
        <f t="shared" si="144"/>
        <v>301.02979240961452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0.55673832575024718</v>
      </c>
      <c r="AW138" s="23">
        <f>EXP(-LN(2)/2)*AW137+(1-EXP(-LN(2)/2))/(LN(2)/2)*AQ138*AT138*VLOOKUP('Données projet'!$B$10,Paramètres!$A$1:$I$89,3,0)*0.475*44/12</f>
        <v>2.6235036335450733E-15</v>
      </c>
      <c r="AX138" s="23">
        <f t="shared" si="114"/>
        <v>0.55673832575024984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6.3550942286383367E-14</v>
      </c>
      <c r="BF138" s="14">
        <f t="shared" si="145"/>
        <v>1.0064464192543978E-12</v>
      </c>
      <c r="BG138" s="22">
        <f t="shared" si="115"/>
        <v>1.8635787380168604E-12</v>
      </c>
      <c r="BH138" s="62">
        <f t="shared" si="116"/>
        <v>288.67120219427431</v>
      </c>
      <c r="BI138" s="62">
        <f ca="1">AVERAGE(OFFSET($BH$3,0,0,'Données projet'!$E$11+1,1))-AVERAGE(OFFSET($H$3,0,0,'Données projet'!$E$11+1,1))</f>
        <v>381.71417599784968</v>
      </c>
      <c r="BJ138" s="62">
        <f t="shared" si="146"/>
        <v>350.49230135197979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4.0402197286207429</v>
      </c>
      <c r="BQ138" s="23">
        <f>EXP(-LN(2)/25)*BQ137+(1-EXP(-LN(2)/25))/(LN(2)/25)*Calculateur!BL138*Calculateur!BN138*VLOOKUP('Données projet'!$B$11,Paramètres!$A$1:$I$89,3,0)*0.475*44/12</f>
        <v>1.5292839511324012</v>
      </c>
      <c r="BR138" s="23">
        <f>EXP(-LN(2)/2)*BR137+(1-EXP(-LN(2)/2))/(LN(2)/2)*BL138*BO138*VLOOKUP('Données projet'!$B$11,Paramètres!$A$1:$I$89,3,0)*0.475*44/12</f>
        <v>1.0894938598198152E-14</v>
      </c>
      <c r="BS138" s="24">
        <f t="shared" si="117"/>
        <v>5.5695036797531543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3.1036506698001178E-14</v>
      </c>
      <c r="CA138" s="14">
        <f t="shared" si="147"/>
        <v>5.3428243983771088E-13</v>
      </c>
      <c r="CB138" s="22">
        <f t="shared" si="118"/>
        <v>9.8459716521636505E-13</v>
      </c>
      <c r="CC138" s="62">
        <f t="shared" si="119"/>
        <v>288.67120219427341</v>
      </c>
      <c r="CD138" s="62">
        <f ca="1">AVERAGE(OFFSET($CC$3,0,0,'Données projet'!$E$12+1,1))-AVERAGE(OFFSET($H$3,0,0,'Données projet'!$E$12+1,1))</f>
        <v>202.72043399839748</v>
      </c>
      <c r="CE138" s="62">
        <f t="shared" si="148"/>
        <v>295.50255983395789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0.31795574618992284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0.31795574618992284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4.9658410716801891E-14</v>
      </c>
      <c r="CV138" s="14">
        <f t="shared" si="149"/>
        <v>8.0934058173791862E-13</v>
      </c>
      <c r="CW138" s="22">
        <f t="shared" si="121"/>
        <v>1.4960899118586383E-12</v>
      </c>
      <c r="CX138" s="62">
        <f t="shared" si="122"/>
        <v>288.67120219427392</v>
      </c>
      <c r="CY138" s="62">
        <f ca="1">AVERAGE(OFFSET($CX$3,0,0,'Données projet'!$E$13+1,1))-AVERAGE(OFFSET($H$3,0,0,'Données projet'!$E$13+1,1))</f>
        <v>297.56177871222496</v>
      </c>
      <c r="CZ138" s="62">
        <f t="shared" si="150"/>
        <v>421.5717731815397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1.8411225076699282</v>
      </c>
      <c r="DH138" s="23">
        <f>EXP(-LN(2)/2)*DH137+(1-EXP(-LN(2)/2))/(LN(2)/2)*DB138*DE138*VLOOKUP('Données projet'!$B$13,Paramètres!$A$1:$I$89,3,0)*0.475*44/12</f>
        <v>2.5570524659793656E-15</v>
      </c>
      <c r="DI138" s="24">
        <f t="shared" si="123"/>
        <v>1.8411225076699309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752.99999999999977</v>
      </c>
      <c r="DP138" s="18">
        <f>DO138*VLOOKUP('Données projet'!$B$14,Paramètres!$A$1:$I$89,3,0)*VLOOKUP('Données projet'!$B$14,Paramètres!$A$1:$I$89,5,0)</f>
        <v>552.09959999999978</v>
      </c>
      <c r="DQ138" s="14">
        <f t="shared" si="151"/>
        <v>122.01091055125165</v>
      </c>
      <c r="DR138" s="22">
        <f t="shared" si="124"/>
        <v>1174.0758058767628</v>
      </c>
      <c r="DS138" s="62">
        <f t="shared" si="125"/>
        <v>1462.7470080710352</v>
      </c>
      <c r="DT138" s="62">
        <f ca="1">AVERAGE(OFFSET($DS$3,0,0,'Données projet'!$E$14+1,1))-AVERAGE(OFFSET($H$3,0,0,'Données projet'!$E$14+1,1))</f>
        <v>667.0152731006724</v>
      </c>
      <c r="DU138" s="62">
        <f t="shared" si="152"/>
        <v>567.40780872008088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1.271151382903057</v>
      </c>
      <c r="EC138" s="23">
        <f>EXP(-LN(2)/2)*EC137+(1-EXP(-LN(2)/2))/(LN(2)/2)*DW138*DZ138*VLOOKUP('Données projet'!$B$14,Paramètres!$A$1:$I$89,3,0)*0.475*44/12</f>
        <v>2.3286646585144698E-15</v>
      </c>
      <c r="ED138" s="24">
        <f t="shared" si="126"/>
        <v>1.2711513829030592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454.99849419289757</v>
      </c>
      <c r="EP138" s="62">
        <f t="shared" si="154"/>
        <v>288.86643267991928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68.728509689347021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2.7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30.232800000000058</v>
      </c>
      <c r="D139" s="12">
        <f t="shared" si="140"/>
        <v>9.3692052598738123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83.849922431335528</v>
      </c>
      <c r="H139" s="70">
        <f t="shared" si="110"/>
        <v>286.04015916094704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427.57091071251745</v>
      </c>
      <c r="T139" s="62">
        <f t="shared" si="142"/>
        <v>272.62827206514726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475.54515523869958</v>
      </c>
      <c r="AO139" s="62">
        <f t="shared" si="144"/>
        <v>301.02979240961452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0.54151428695501058</v>
      </c>
      <c r="AW139" s="23">
        <f>EXP(-LN(2)/2)*AW138+(1-EXP(-LN(2)/2))/(LN(2)/2)*AQ139*AT139*VLOOKUP('Données projet'!$B$10,Paramètres!$A$1:$I$89,3,0)*0.475*44/12</f>
        <v>1.8550972097472685E-15</v>
      </c>
      <c r="AX139" s="23">
        <f t="shared" si="114"/>
        <v>0.54151428695501247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6.3550942286383367E-14</v>
      </c>
      <c r="BF139" s="14">
        <f t="shared" si="145"/>
        <v>1.0064464192543978E-12</v>
      </c>
      <c r="BG139" s="22">
        <f t="shared" si="115"/>
        <v>1.8635787380168604E-12</v>
      </c>
      <c r="BH139" s="62">
        <f t="shared" si="116"/>
        <v>288.7520797465732</v>
      </c>
      <c r="BI139" s="62">
        <f ca="1">AVERAGE(OFFSET($BH$3,0,0,'Données projet'!$E$11+1,1))-AVERAGE(OFFSET($H$3,0,0,'Données projet'!$E$11+1,1))</f>
        <v>381.71417599784968</v>
      </c>
      <c r="BJ139" s="62">
        <f t="shared" si="146"/>
        <v>350.49230135197979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3.960993484033196</v>
      </c>
      <c r="BQ139" s="23">
        <f>EXP(-LN(2)/25)*BQ138+(1-EXP(-LN(2)/25))/(LN(2)/25)*Calculateur!BL139*Calculateur!BN139*VLOOKUP('Données projet'!$B$11,Paramètres!$A$1:$I$89,3,0)*0.475*44/12</f>
        <v>1.4874656010671379</v>
      </c>
      <c r="BR139" s="23">
        <f>EXP(-LN(2)/2)*BR138+(1-EXP(-LN(2)/2))/(LN(2)/2)*BL139*BO139*VLOOKUP('Données projet'!$B$11,Paramètres!$A$1:$I$89,3,0)*0.475*44/12</f>
        <v>7.7038849633969715E-15</v>
      </c>
      <c r="BS139" s="24">
        <f t="shared" si="117"/>
        <v>5.4484590851003416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3.1036506698001178E-14</v>
      </c>
      <c r="CA139" s="14">
        <f t="shared" si="147"/>
        <v>5.3428243983771088E-13</v>
      </c>
      <c r="CB139" s="22">
        <f t="shared" si="118"/>
        <v>9.8459716521636505E-13</v>
      </c>
      <c r="CC139" s="62">
        <f t="shared" si="119"/>
        <v>288.75207974657229</v>
      </c>
      <c r="CD139" s="62">
        <f ca="1">AVERAGE(OFFSET($CC$3,0,0,'Données projet'!$E$12+1,1))-AVERAGE(OFFSET($H$3,0,0,'Données projet'!$E$12+1,1))</f>
        <v>202.72043399839748</v>
      </c>
      <c r="CE139" s="62">
        <f t="shared" si="148"/>
        <v>295.50255983395789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0.30926122958979341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0.30926122958979341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4.9658410716801891E-14</v>
      </c>
      <c r="CV139" s="14">
        <f t="shared" si="149"/>
        <v>8.0934058173791862E-13</v>
      </c>
      <c r="CW139" s="22">
        <f t="shared" si="121"/>
        <v>1.4960899118586383E-12</v>
      </c>
      <c r="CX139" s="62">
        <f t="shared" si="122"/>
        <v>288.7520797465728</v>
      </c>
      <c r="CY139" s="62">
        <f ca="1">AVERAGE(OFFSET($CX$3,0,0,'Données projet'!$E$13+1,1))-AVERAGE(OFFSET($H$3,0,0,'Données projet'!$E$13+1,1))</f>
        <v>297.56177871222496</v>
      </c>
      <c r="CZ139" s="62">
        <f t="shared" si="150"/>
        <v>421.5717731815397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1.7907769158772693</v>
      </c>
      <c r="DH139" s="23">
        <f>EXP(-LN(2)/2)*DH138+(1-EXP(-LN(2)/2))/(LN(2)/2)*DB139*DE139*VLOOKUP('Données projet'!$B$13,Paramètres!$A$1:$I$89,3,0)*0.475*44/12</f>
        <v>1.808109138543793E-15</v>
      </c>
      <c r="DI139" s="24">
        <f t="shared" si="123"/>
        <v>1.7907769158772711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752.99999999999977</v>
      </c>
      <c r="DP139" s="18">
        <f>DO139*VLOOKUP('Données projet'!$B$14,Paramètres!$A$1:$I$89,3,0)*VLOOKUP('Données projet'!$B$14,Paramètres!$A$1:$I$89,5,0)</f>
        <v>552.09959999999978</v>
      </c>
      <c r="DQ139" s="14">
        <f t="shared" si="151"/>
        <v>122.01091055125165</v>
      </c>
      <c r="DR139" s="22">
        <f t="shared" si="124"/>
        <v>1174.0758058767628</v>
      </c>
      <c r="DS139" s="62">
        <f t="shared" si="125"/>
        <v>1462.8278856233342</v>
      </c>
      <c r="DT139" s="62">
        <f ca="1">AVERAGE(OFFSET($DS$3,0,0,'Données projet'!$E$14+1,1))-AVERAGE(OFFSET($H$3,0,0,'Données projet'!$E$14+1,1))</f>
        <v>667.0152731006724</v>
      </c>
      <c r="DU139" s="62">
        <f t="shared" si="152"/>
        <v>567.40780872008088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1.2363916814906268</v>
      </c>
      <c r="EC139" s="23">
        <f>EXP(-LN(2)/2)*EC138+(1-EXP(-LN(2)/2))/(LN(2)/2)*DW139*DZ139*VLOOKUP('Données projet'!$B$14,Paramètres!$A$1:$I$89,3,0)*0.475*44/12</f>
        <v>1.6466145711450376E-15</v>
      </c>
      <c r="ED139" s="24">
        <f t="shared" si="126"/>
        <v>1.2363916814906284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454.99849419289757</v>
      </c>
      <c r="EP139" s="62">
        <f t="shared" si="154"/>
        <v>288.86643267991928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68.750567203610359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2.7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30.455100000000058</v>
      </c>
      <c r="D140" s="12">
        <f t="shared" si="140"/>
        <v>9.4300515588260314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84.396345113524035</v>
      </c>
      <c r="H140" s="70">
        <f t="shared" si="110"/>
        <v>286.53330563162211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427.57091071251745</v>
      </c>
      <c r="T140" s="62">
        <f t="shared" si="142"/>
        <v>272.62827206514726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475.54515523869958</v>
      </c>
      <c r="AO140" s="62">
        <f t="shared" si="144"/>
        <v>301.02979240961452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0.52670655030122715</v>
      </c>
      <c r="AW140" s="23">
        <f>EXP(-LN(2)/2)*AW139+(1-EXP(-LN(2)/2))/(LN(2)/2)*AQ140*AT140*VLOOKUP('Données projet'!$B$10,Paramètres!$A$1:$I$89,3,0)*0.475*44/12</f>
        <v>1.3117518167725367E-15</v>
      </c>
      <c r="AX140" s="23">
        <f t="shared" si="114"/>
        <v>0.52670655030122848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6.3550942286383367E-14</v>
      </c>
      <c r="BF140" s="14">
        <f t="shared" si="145"/>
        <v>1.0064464192543978E-12</v>
      </c>
      <c r="BG140" s="22">
        <f t="shared" si="115"/>
        <v>1.8635787380168604E-12</v>
      </c>
      <c r="BH140" s="62">
        <f t="shared" si="116"/>
        <v>288.83155425415487</v>
      </c>
      <c r="BI140" s="62">
        <f ca="1">AVERAGE(OFFSET($BH$3,0,0,'Données projet'!$E$11+1,1))-AVERAGE(OFFSET($H$3,0,0,'Données projet'!$E$11+1,1))</f>
        <v>381.71417599784968</v>
      </c>
      <c r="BJ140" s="62">
        <f t="shared" si="146"/>
        <v>350.49230135197979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3.8833208177787735</v>
      </c>
      <c r="BQ140" s="23">
        <f>EXP(-LN(2)/25)*BQ139+(1-EXP(-LN(2)/25))/(LN(2)/25)*Calculateur!BL140*Calculateur!BN140*VLOOKUP('Données projet'!$B$11,Paramètres!$A$1:$I$89,3,0)*0.475*44/12</f>
        <v>1.4467907759835408</v>
      </c>
      <c r="BR140" s="23">
        <f>EXP(-LN(2)/2)*BR139+(1-EXP(-LN(2)/2))/(LN(2)/2)*BL140*BO140*VLOOKUP('Données projet'!$B$11,Paramètres!$A$1:$I$89,3,0)*0.475*44/12</f>
        <v>5.4474692990990762E-15</v>
      </c>
      <c r="BS140" s="24">
        <f t="shared" si="117"/>
        <v>5.3301115937623198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3.1036506698001178E-14</v>
      </c>
      <c r="CA140" s="14">
        <f t="shared" si="147"/>
        <v>5.3428243983771088E-13</v>
      </c>
      <c r="CB140" s="22">
        <f t="shared" si="118"/>
        <v>9.8459716521636505E-13</v>
      </c>
      <c r="CC140" s="62">
        <f t="shared" si="119"/>
        <v>288.83155425415396</v>
      </c>
      <c r="CD140" s="62">
        <f ca="1">AVERAGE(OFFSET($CC$3,0,0,'Données projet'!$E$12+1,1))-AVERAGE(OFFSET($H$3,0,0,'Données projet'!$E$12+1,1))</f>
        <v>202.72043399839748</v>
      </c>
      <c r="CE140" s="62">
        <f t="shared" si="148"/>
        <v>295.50255983395789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0.30080446500331925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0.30080446500331925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4.9658410716801891E-14</v>
      </c>
      <c r="CV140" s="14">
        <f t="shared" si="149"/>
        <v>8.0934058173791862E-13</v>
      </c>
      <c r="CW140" s="22">
        <f t="shared" si="121"/>
        <v>1.4960899118586383E-12</v>
      </c>
      <c r="CX140" s="62">
        <f t="shared" si="122"/>
        <v>288.83155425415447</v>
      </c>
      <c r="CY140" s="62">
        <f ca="1">AVERAGE(OFFSET($CX$3,0,0,'Données projet'!$E$13+1,1))-AVERAGE(OFFSET($H$3,0,0,'Données projet'!$E$13+1,1))</f>
        <v>297.56177871222496</v>
      </c>
      <c r="CZ140" s="62">
        <f t="shared" si="150"/>
        <v>421.5717731815397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1.7418080269397402</v>
      </c>
      <c r="DH140" s="23">
        <f>EXP(-LN(2)/2)*DH139+(1-EXP(-LN(2)/2))/(LN(2)/2)*DB140*DE140*VLOOKUP('Données projet'!$B$13,Paramètres!$A$1:$I$89,3,0)*0.475*44/12</f>
        <v>1.2785262329896828E-15</v>
      </c>
      <c r="DI140" s="24">
        <f t="shared" si="123"/>
        <v>1.7418080269397416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752.99999999999977</v>
      </c>
      <c r="DP140" s="18">
        <f>DO140*VLOOKUP('Données projet'!$B$14,Paramètres!$A$1:$I$89,3,0)*VLOOKUP('Données projet'!$B$14,Paramètres!$A$1:$I$89,5,0)</f>
        <v>552.09959999999978</v>
      </c>
      <c r="DQ140" s="14">
        <f t="shared" si="151"/>
        <v>122.01091055125165</v>
      </c>
      <c r="DR140" s="22">
        <f t="shared" si="124"/>
        <v>1174.0758058767628</v>
      </c>
      <c r="DS140" s="62">
        <f t="shared" si="125"/>
        <v>1462.9073601309158</v>
      </c>
      <c r="DT140" s="62">
        <f ca="1">AVERAGE(OFFSET($DS$3,0,0,'Données projet'!$E$14+1,1))-AVERAGE(OFFSET($H$3,0,0,'Données projet'!$E$14+1,1))</f>
        <v>667.0152731006724</v>
      </c>
      <c r="DU140" s="62">
        <f t="shared" si="152"/>
        <v>567.40780872008088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1.2025824859412528</v>
      </c>
      <c r="EC140" s="23">
        <f>EXP(-LN(2)/2)*EC139+(1-EXP(-LN(2)/2))/(LN(2)/2)*DW140*DZ140*VLOOKUP('Données projet'!$B$14,Paramètres!$A$1:$I$89,3,0)*0.475*44/12</f>
        <v>1.1643323292572349E-15</v>
      </c>
      <c r="ED140" s="24">
        <f t="shared" si="126"/>
        <v>1.2025824859412539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454.99849419289757</v>
      </c>
      <c r="EP140" s="62">
        <f t="shared" si="154"/>
        <v>288.86643267991928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68.772242069314458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2.7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30.677400000000059</v>
      </c>
      <c r="D141" s="12">
        <f t="shared" si="140"/>
        <v>9.4908461821010732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84.942668070721481</v>
      </c>
      <c r="H141" s="70">
        <f t="shared" si="110"/>
        <v>287.0263621004928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427.57091071251745</v>
      </c>
      <c r="T141" s="62">
        <f t="shared" si="142"/>
        <v>272.62827206514726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475.54515523869958</v>
      </c>
      <c r="AO141" s="62">
        <f t="shared" si="144"/>
        <v>301.02979240961452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0.51230373198494639</v>
      </c>
      <c r="AW141" s="23">
        <f>EXP(-LN(2)/2)*AW140+(1-EXP(-LN(2)/2))/(LN(2)/2)*AQ141*AT141*VLOOKUP('Données projet'!$B$10,Paramètres!$A$1:$I$89,3,0)*0.475*44/12</f>
        <v>9.2754860487363425E-16</v>
      </c>
      <c r="AX141" s="23">
        <f t="shared" si="114"/>
        <v>0.51230373198494727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6.3550942286383367E-14</v>
      </c>
      <c r="BF141" s="14">
        <f t="shared" si="145"/>
        <v>1.0064464192543978E-12</v>
      </c>
      <c r="BG141" s="22">
        <f t="shared" si="115"/>
        <v>1.8635787380168604E-12</v>
      </c>
      <c r="BH141" s="62">
        <f t="shared" si="116"/>
        <v>288.90965005670847</v>
      </c>
      <c r="BI141" s="62">
        <f ca="1">AVERAGE(OFFSET($BH$3,0,0,'Données projet'!$E$11+1,1))-AVERAGE(OFFSET($H$3,0,0,'Données projet'!$E$11+1,1))</f>
        <v>381.71417599784968</v>
      </c>
      <c r="BJ141" s="62">
        <f t="shared" si="146"/>
        <v>350.49230135197979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3.8071712651339515</v>
      </c>
      <c r="BQ141" s="23">
        <f>EXP(-LN(2)/25)*BQ140+(1-EXP(-LN(2)/25))/(LN(2)/25)*Calculateur!BL141*Calculateur!BN141*VLOOKUP('Données projet'!$B$11,Paramètres!$A$1:$I$89,3,0)*0.475*44/12</f>
        <v>1.4072282061308505</v>
      </c>
      <c r="BR141" s="23">
        <f>EXP(-LN(2)/2)*BR140+(1-EXP(-LN(2)/2))/(LN(2)/2)*BL141*BO141*VLOOKUP('Données projet'!$B$11,Paramètres!$A$1:$I$89,3,0)*0.475*44/12</f>
        <v>3.8519424816984857E-15</v>
      </c>
      <c r="BS141" s="24">
        <f t="shared" si="117"/>
        <v>5.2143994712648052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3.1036506698001178E-14</v>
      </c>
      <c r="CA141" s="14">
        <f t="shared" si="147"/>
        <v>5.3428243983771088E-13</v>
      </c>
      <c r="CB141" s="22">
        <f t="shared" si="118"/>
        <v>9.8459716521636505E-13</v>
      </c>
      <c r="CC141" s="62">
        <f t="shared" si="119"/>
        <v>288.90965005670756</v>
      </c>
      <c r="CD141" s="62">
        <f ca="1">AVERAGE(OFFSET($CC$3,0,0,'Données projet'!$E$12+1,1))-AVERAGE(OFFSET($H$3,0,0,'Données projet'!$E$12+1,1))</f>
        <v>202.72043399839748</v>
      </c>
      <c r="CE141" s="62">
        <f t="shared" si="148"/>
        <v>295.50255983395789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0.29257895108918419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0.29257895108918419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4.9658410716801891E-14</v>
      </c>
      <c r="CV141" s="14">
        <f t="shared" si="149"/>
        <v>8.0934058173791862E-13</v>
      </c>
      <c r="CW141" s="22">
        <f t="shared" si="121"/>
        <v>1.4960899118586383E-12</v>
      </c>
      <c r="CX141" s="62">
        <f t="shared" si="122"/>
        <v>288.90965005670807</v>
      </c>
      <c r="CY141" s="62">
        <f ca="1">AVERAGE(OFFSET($CX$3,0,0,'Données projet'!$E$13+1,1))-AVERAGE(OFFSET($H$3,0,0,'Données projet'!$E$13+1,1))</f>
        <v>297.56177871222496</v>
      </c>
      <c r="CZ141" s="62">
        <f t="shared" si="150"/>
        <v>421.5717731815397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1.6941781948453698</v>
      </c>
      <c r="DH141" s="23">
        <f>EXP(-LN(2)/2)*DH140+(1-EXP(-LN(2)/2))/(LN(2)/2)*DB141*DE141*VLOOKUP('Données projet'!$B$13,Paramètres!$A$1:$I$89,3,0)*0.475*44/12</f>
        <v>9.040545692718965E-16</v>
      </c>
      <c r="DI141" s="24">
        <f t="shared" si="123"/>
        <v>1.6941781948453707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752.99999999999977</v>
      </c>
      <c r="DP141" s="18">
        <f>DO141*VLOOKUP('Données projet'!$B$14,Paramètres!$A$1:$I$89,3,0)*VLOOKUP('Données projet'!$B$14,Paramètres!$A$1:$I$89,5,0)</f>
        <v>552.09959999999978</v>
      </c>
      <c r="DQ141" s="14">
        <f t="shared" si="151"/>
        <v>122.01091055125165</v>
      </c>
      <c r="DR141" s="22">
        <f t="shared" si="124"/>
        <v>1174.0758058767628</v>
      </c>
      <c r="DS141" s="62">
        <f t="shared" si="125"/>
        <v>1462.9854559334694</v>
      </c>
      <c r="DT141" s="62">
        <f ca="1">AVERAGE(OFFSET($DS$3,0,0,'Données projet'!$E$14+1,1))-AVERAGE(OFFSET($H$3,0,0,'Données projet'!$E$14+1,1))</f>
        <v>667.0152731006724</v>
      </c>
      <c r="DU141" s="62">
        <f t="shared" si="152"/>
        <v>567.40780872008088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1.1696978046221249</v>
      </c>
      <c r="EC141" s="23">
        <f>EXP(-LN(2)/2)*EC140+(1-EXP(-LN(2)/2))/(LN(2)/2)*DW141*DZ141*VLOOKUP('Données projet'!$B$14,Paramètres!$A$1:$I$89,3,0)*0.475*44/12</f>
        <v>8.2330728557251882E-16</v>
      </c>
      <c r="ED141" s="24">
        <f t="shared" si="126"/>
        <v>1.1696978046221258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454.99849419289757</v>
      </c>
      <c r="EP141" s="62">
        <f t="shared" si="154"/>
        <v>288.86643267991928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68.793540924556339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2.7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30.89970000000006</v>
      </c>
      <c r="D142" s="12">
        <f t="shared" si="140"/>
        <v>9.5515895475787627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85.488892109362652</v>
      </c>
      <c r="H142" s="70">
        <f t="shared" si="110"/>
        <v>287.51932929536645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427.57091071251745</v>
      </c>
      <c r="T142" s="62">
        <f t="shared" si="142"/>
        <v>272.62827206514726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475.54515523869958</v>
      </c>
      <c r="AO142" s="62">
        <f t="shared" si="144"/>
        <v>301.02979240961452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0.49829475949293567</v>
      </c>
      <c r="AW142" s="23">
        <f>EXP(-LN(2)/2)*AW141+(1-EXP(-LN(2)/2))/(LN(2)/2)*AQ142*AT142*VLOOKUP('Données projet'!$B$10,Paramètres!$A$1:$I$89,3,0)*0.475*44/12</f>
        <v>6.5587590838626833E-16</v>
      </c>
      <c r="AX142" s="23">
        <f t="shared" si="114"/>
        <v>0.49829475949293633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6.3550942286383367E-14</v>
      </c>
      <c r="BF142" s="14">
        <f t="shared" si="145"/>
        <v>1.0064464192543978E-12</v>
      </c>
      <c r="BG142" s="22">
        <f t="shared" si="115"/>
        <v>1.8635787380168604E-12</v>
      </c>
      <c r="BH142" s="62">
        <f t="shared" si="116"/>
        <v>288.98639107168373</v>
      </c>
      <c r="BI142" s="62">
        <f ca="1">AVERAGE(OFFSET($BH$3,0,0,'Données projet'!$E$11+1,1))-AVERAGE(OFFSET($H$3,0,0,'Données projet'!$E$11+1,1))</f>
        <v>381.71417599784968</v>
      </c>
      <c r="BJ142" s="62">
        <f t="shared" si="146"/>
        <v>350.49230135197979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3.7325149587698538</v>
      </c>
      <c r="BQ142" s="23">
        <f>EXP(-LN(2)/25)*BQ141+(1-EXP(-LN(2)/25))/(LN(2)/25)*Calculateur!BL142*Calculateur!BN142*VLOOKUP('Données projet'!$B$11,Paramètres!$A$1:$I$89,3,0)*0.475*44/12</f>
        <v>1.3687474768312873</v>
      </c>
      <c r="BR142" s="23">
        <f>EXP(-LN(2)/2)*BR141+(1-EXP(-LN(2)/2))/(LN(2)/2)*BL142*BO142*VLOOKUP('Données projet'!$B$11,Paramètres!$A$1:$I$89,3,0)*0.475*44/12</f>
        <v>2.7237346495495381E-15</v>
      </c>
      <c r="BS142" s="24">
        <f t="shared" si="117"/>
        <v>5.1012624356011438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3.1036506698001178E-14</v>
      </c>
      <c r="CA142" s="14">
        <f t="shared" si="147"/>
        <v>5.3428243983771088E-13</v>
      </c>
      <c r="CB142" s="22">
        <f t="shared" si="118"/>
        <v>9.8459716521636505E-13</v>
      </c>
      <c r="CC142" s="62">
        <f t="shared" si="119"/>
        <v>288.98639107168282</v>
      </c>
      <c r="CD142" s="62">
        <f ca="1">AVERAGE(OFFSET($CC$3,0,0,'Données projet'!$E$12+1,1))-AVERAGE(OFFSET($H$3,0,0,'Données projet'!$E$12+1,1))</f>
        <v>202.72043399839748</v>
      </c>
      <c r="CE142" s="62">
        <f t="shared" si="148"/>
        <v>295.50255983395789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0.28457836428559213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0.28457836428559213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4.9658410716801891E-14</v>
      </c>
      <c r="CV142" s="14">
        <f t="shared" si="149"/>
        <v>8.0934058173791862E-13</v>
      </c>
      <c r="CW142" s="22">
        <f t="shared" si="121"/>
        <v>1.4960899118586383E-12</v>
      </c>
      <c r="CX142" s="62">
        <f t="shared" si="122"/>
        <v>288.98639107168333</v>
      </c>
      <c r="CY142" s="62">
        <f ca="1">AVERAGE(OFFSET($CX$3,0,0,'Données projet'!$E$13+1,1))-AVERAGE(OFFSET($H$3,0,0,'Données projet'!$E$13+1,1))</f>
        <v>297.56177871222496</v>
      </c>
      <c r="CZ142" s="62">
        <f t="shared" si="150"/>
        <v>421.5717731815397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1.6478508030143639</v>
      </c>
      <c r="DH142" s="23">
        <f>EXP(-LN(2)/2)*DH141+(1-EXP(-LN(2)/2))/(LN(2)/2)*DB142*DE142*VLOOKUP('Données projet'!$B$13,Paramètres!$A$1:$I$89,3,0)*0.475*44/12</f>
        <v>6.3926311649484141E-16</v>
      </c>
      <c r="DI142" s="24">
        <f t="shared" si="123"/>
        <v>1.6478508030143646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752.99999999999977</v>
      </c>
      <c r="DP142" s="18">
        <f>DO142*VLOOKUP('Données projet'!$B$14,Paramètres!$A$1:$I$89,3,0)*VLOOKUP('Données projet'!$B$14,Paramètres!$A$1:$I$89,5,0)</f>
        <v>552.09959999999978</v>
      </c>
      <c r="DQ142" s="14">
        <f t="shared" si="151"/>
        <v>122.01091055125165</v>
      </c>
      <c r="DR142" s="22">
        <f t="shared" si="124"/>
        <v>1174.0758058767628</v>
      </c>
      <c r="DS142" s="62">
        <f t="shared" si="125"/>
        <v>1463.0621969484446</v>
      </c>
      <c r="DT142" s="62">
        <f ca="1">AVERAGE(OFFSET($DS$3,0,0,'Données projet'!$E$14+1,1))-AVERAGE(OFFSET($H$3,0,0,'Données projet'!$E$14+1,1))</f>
        <v>667.0152731006724</v>
      </c>
      <c r="DU142" s="62">
        <f t="shared" si="152"/>
        <v>567.40780872008088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1.1377123566429987</v>
      </c>
      <c r="EC142" s="23">
        <f>EXP(-LN(2)/2)*EC141+(1-EXP(-LN(2)/2))/(LN(2)/2)*DW142*DZ142*VLOOKUP('Données projet'!$B$14,Paramètres!$A$1:$I$89,3,0)*0.475*44/12</f>
        <v>5.8216616462861745E-16</v>
      </c>
      <c r="ED142" s="24">
        <f t="shared" si="126"/>
        <v>1.1377123566429994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454.99849419289757</v>
      </c>
      <c r="EP142" s="62">
        <f t="shared" si="154"/>
        <v>288.86643267991928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68.814470292276866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2.7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31.12200000000006</v>
      </c>
      <c r="D143" s="12">
        <f t="shared" si="140"/>
        <v>9.6122820667788158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86.035018023608359</v>
      </c>
      <c r="H143" s="70">
        <f t="shared" si="110"/>
        <v>288.01220793297324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427.57091071251745</v>
      </c>
      <c r="T143" s="62">
        <f t="shared" si="142"/>
        <v>272.62827206514726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475.54515523869958</v>
      </c>
      <c r="AO143" s="62">
        <f t="shared" si="144"/>
        <v>301.02979240961452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0.48466886309041879</v>
      </c>
      <c r="AW143" s="23">
        <f>EXP(-LN(2)/2)*AW142+(1-EXP(-LN(2)/2))/(LN(2)/2)*AQ143*AT143*VLOOKUP('Données projet'!$B$10,Paramètres!$A$1:$I$89,3,0)*0.475*44/12</f>
        <v>4.6377430243681713E-16</v>
      </c>
      <c r="AX143" s="23">
        <f t="shared" si="114"/>
        <v>0.48466886309041923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6.3550942286383367E-14</v>
      </c>
      <c r="BF143" s="14">
        <f t="shared" si="145"/>
        <v>1.0064464192543978E-12</v>
      </c>
      <c r="BG143" s="22">
        <f t="shared" si="115"/>
        <v>1.8635787380168604E-12</v>
      </c>
      <c r="BH143" s="62">
        <f t="shared" si="116"/>
        <v>289.06180080161636</v>
      </c>
      <c r="BI143" s="62">
        <f ca="1">AVERAGE(OFFSET($BH$3,0,0,'Données projet'!$E$11+1,1))-AVERAGE(OFFSET($H$3,0,0,'Données projet'!$E$11+1,1))</f>
        <v>381.71417599784968</v>
      </c>
      <c r="BJ143" s="62">
        <f t="shared" si="146"/>
        <v>350.49230135197979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3.6593226170377053</v>
      </c>
      <c r="BQ143" s="23">
        <f>EXP(-LN(2)/25)*BQ142+(1-EXP(-LN(2)/25))/(LN(2)/25)*Calculateur!BL143*Calculateur!BN143*VLOOKUP('Données projet'!$B$11,Paramètres!$A$1:$I$89,3,0)*0.475*44/12</f>
        <v>1.3313190050980341</v>
      </c>
      <c r="BR143" s="23">
        <f>EXP(-LN(2)/2)*BR142+(1-EXP(-LN(2)/2))/(LN(2)/2)*BL143*BO143*VLOOKUP('Données projet'!$B$11,Paramètres!$A$1:$I$89,3,0)*0.475*44/12</f>
        <v>1.9259712408492429E-15</v>
      </c>
      <c r="BS143" s="24">
        <f t="shared" si="117"/>
        <v>4.9906416221357413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3.1036506698001178E-14</v>
      </c>
      <c r="CA143" s="14">
        <f t="shared" si="147"/>
        <v>5.3428243983771088E-13</v>
      </c>
      <c r="CB143" s="22">
        <f t="shared" si="118"/>
        <v>9.8459716521636505E-13</v>
      </c>
      <c r="CC143" s="62">
        <f t="shared" si="119"/>
        <v>289.06180080161545</v>
      </c>
      <c r="CD143" s="62">
        <f ca="1">AVERAGE(OFFSET($CC$3,0,0,'Données projet'!$E$12+1,1))-AVERAGE(OFFSET($H$3,0,0,'Données projet'!$E$12+1,1))</f>
        <v>202.72043399839748</v>
      </c>
      <c r="CE143" s="62">
        <f t="shared" si="148"/>
        <v>295.50255983395789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0.27679655394887687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0.27679655394887687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4.9658410716801891E-14</v>
      </c>
      <c r="CV143" s="14">
        <f t="shared" si="149"/>
        <v>8.0934058173791862E-13</v>
      </c>
      <c r="CW143" s="22">
        <f t="shared" si="121"/>
        <v>1.4960899118586383E-12</v>
      </c>
      <c r="CX143" s="62">
        <f t="shared" si="122"/>
        <v>289.06180080161596</v>
      </c>
      <c r="CY143" s="62">
        <f ca="1">AVERAGE(OFFSET($CX$3,0,0,'Données projet'!$E$13+1,1))-AVERAGE(OFFSET($H$3,0,0,'Données projet'!$E$13+1,1))</f>
        <v>297.56177871222496</v>
      </c>
      <c r="CZ143" s="62">
        <f t="shared" si="150"/>
        <v>421.5717731815397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1.6027902361492286</v>
      </c>
      <c r="DH143" s="23">
        <f>EXP(-LN(2)/2)*DH142+(1-EXP(-LN(2)/2))/(LN(2)/2)*DB143*DE143*VLOOKUP('Données projet'!$B$13,Paramètres!$A$1:$I$89,3,0)*0.475*44/12</f>
        <v>4.5202728463594825E-16</v>
      </c>
      <c r="DI143" s="24">
        <f t="shared" si="123"/>
        <v>1.602790236149229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752.99999999999977</v>
      </c>
      <c r="DP143" s="18">
        <f>DO143*VLOOKUP('Données projet'!$B$14,Paramètres!$A$1:$I$89,3,0)*VLOOKUP('Données projet'!$B$14,Paramètres!$A$1:$I$89,5,0)</f>
        <v>552.09959999999978</v>
      </c>
      <c r="DQ143" s="14">
        <f t="shared" si="151"/>
        <v>122.01091055125165</v>
      </c>
      <c r="DR143" s="22">
        <f t="shared" si="124"/>
        <v>1174.0758058767628</v>
      </c>
      <c r="DS143" s="62">
        <f t="shared" si="125"/>
        <v>1463.1376066783773</v>
      </c>
      <c r="DT143" s="62">
        <f ca="1">AVERAGE(OFFSET($DS$3,0,0,'Données projet'!$E$14+1,1))-AVERAGE(OFFSET($H$3,0,0,'Données projet'!$E$14+1,1))</f>
        <v>667.0152731006724</v>
      </c>
      <c r="DU143" s="62">
        <f t="shared" si="152"/>
        <v>567.40780872008088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1.1066015524209034</v>
      </c>
      <c r="EC143" s="23">
        <f>EXP(-LN(2)/2)*EC142+(1-EXP(-LN(2)/2))/(LN(2)/2)*DW143*DZ143*VLOOKUP('Données projet'!$B$14,Paramètres!$A$1:$I$89,3,0)*0.475*44/12</f>
        <v>4.1165364278625941E-16</v>
      </c>
      <c r="ED143" s="24">
        <f t="shared" si="126"/>
        <v>1.1066015524209039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454.99849419289757</v>
      </c>
      <c r="EP143" s="62">
        <f t="shared" si="154"/>
        <v>288.86643267991928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68.835036582258496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2.7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31.344300000000061</v>
      </c>
      <c r="D144" s="12">
        <f t="shared" si="140"/>
        <v>9.6729241450023906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86.581046595618758</v>
      </c>
      <c r="H144" s="70">
        <f t="shared" si="110"/>
        <v>288.50499871921261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427.57091071251745</v>
      </c>
      <c r="T144" s="62">
        <f t="shared" si="142"/>
        <v>272.62827206514726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475.54515523869958</v>
      </c>
      <c r="AO144" s="62">
        <f t="shared" si="144"/>
        <v>301.02979240961452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0.47141556754158348</v>
      </c>
      <c r="AW144" s="23">
        <f>EXP(-LN(2)/2)*AW143+(1-EXP(-LN(2)/2))/(LN(2)/2)*AQ144*AT144*VLOOKUP('Données projet'!$B$10,Paramètres!$A$1:$I$89,3,0)*0.475*44/12</f>
        <v>3.2793795419313417E-16</v>
      </c>
      <c r="AX144" s="23">
        <f t="shared" si="114"/>
        <v>0.47141556754158381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6.3550942286383367E-14</v>
      </c>
      <c r="BF144" s="14">
        <f t="shared" si="145"/>
        <v>1.0064464192543978E-12</v>
      </c>
      <c r="BG144" s="22">
        <f t="shared" si="115"/>
        <v>1.8635787380168604E-12</v>
      </c>
      <c r="BH144" s="62">
        <f t="shared" si="116"/>
        <v>289.13590234132562</v>
      </c>
      <c r="BI144" s="62">
        <f ca="1">AVERAGE(OFFSET($BH$3,0,0,'Données projet'!$E$11+1,1))-AVERAGE(OFFSET($H$3,0,0,'Données projet'!$E$11+1,1))</f>
        <v>381.71417599784968</v>
      </c>
      <c r="BJ144" s="62">
        <f t="shared" si="146"/>
        <v>350.49230135197979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3.5875655324840041</v>
      </c>
      <c r="BQ144" s="23">
        <f>EXP(-LN(2)/25)*BQ143+(1-EXP(-LN(2)/25))/(LN(2)/25)*Calculateur!BL144*Calculateur!BN144*VLOOKUP('Données projet'!$B$11,Paramètres!$A$1:$I$89,3,0)*0.475*44/12</f>
        <v>1.2949140168926048</v>
      </c>
      <c r="BR144" s="23">
        <f>EXP(-LN(2)/2)*BR143+(1-EXP(-LN(2)/2))/(LN(2)/2)*BL144*BO144*VLOOKUP('Données projet'!$B$11,Paramètres!$A$1:$I$89,3,0)*0.475*44/12</f>
        <v>1.361867324774769E-15</v>
      </c>
      <c r="BS144" s="24">
        <f t="shared" si="117"/>
        <v>4.8824795493766109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3.1036506698001178E-14</v>
      </c>
      <c r="CA144" s="14">
        <f t="shared" si="147"/>
        <v>5.3428243983771088E-13</v>
      </c>
      <c r="CB144" s="22">
        <f t="shared" si="118"/>
        <v>9.8459716521636505E-13</v>
      </c>
      <c r="CC144" s="62">
        <f t="shared" si="119"/>
        <v>289.13590234132471</v>
      </c>
      <c r="CD144" s="62">
        <f ca="1">AVERAGE(OFFSET($CC$3,0,0,'Données projet'!$E$12+1,1))-AVERAGE(OFFSET($H$3,0,0,'Données projet'!$E$12+1,1))</f>
        <v>202.72043399839748</v>
      </c>
      <c r="CE144" s="62">
        <f t="shared" si="148"/>
        <v>295.50255983395789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0.2692275376250467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0.2692275376250467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4.9658410716801891E-14</v>
      </c>
      <c r="CV144" s="14">
        <f t="shared" si="149"/>
        <v>8.0934058173791862E-13</v>
      </c>
      <c r="CW144" s="22">
        <f t="shared" si="121"/>
        <v>1.4960899118586383E-12</v>
      </c>
      <c r="CX144" s="62">
        <f t="shared" si="122"/>
        <v>289.13590234132522</v>
      </c>
      <c r="CY144" s="62">
        <f ca="1">AVERAGE(OFFSET($CX$3,0,0,'Données projet'!$E$13+1,1))-AVERAGE(OFFSET($H$3,0,0,'Données projet'!$E$13+1,1))</f>
        <v>297.56177871222496</v>
      </c>
      <c r="CZ144" s="62">
        <f t="shared" si="150"/>
        <v>421.5717731815397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1.5589618528546525</v>
      </c>
      <c r="DH144" s="23">
        <f>EXP(-LN(2)/2)*DH143+(1-EXP(-LN(2)/2))/(LN(2)/2)*DB144*DE144*VLOOKUP('Données projet'!$B$13,Paramètres!$A$1:$I$89,3,0)*0.475*44/12</f>
        <v>3.1963155824742071E-16</v>
      </c>
      <c r="DI144" s="24">
        <f t="shared" si="123"/>
        <v>1.5589618528546527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752.99999999999977</v>
      </c>
      <c r="DP144" s="18">
        <f>DO144*VLOOKUP('Données projet'!$B$14,Paramètres!$A$1:$I$89,3,0)*VLOOKUP('Données projet'!$B$14,Paramètres!$A$1:$I$89,5,0)</f>
        <v>552.09959999999978</v>
      </c>
      <c r="DQ144" s="14">
        <f t="shared" si="151"/>
        <v>122.01091055125165</v>
      </c>
      <c r="DR144" s="22">
        <f t="shared" si="124"/>
        <v>1174.0758058767628</v>
      </c>
      <c r="DS144" s="62">
        <f t="shared" si="125"/>
        <v>1463.2117082180866</v>
      </c>
      <c r="DT144" s="62">
        <f ca="1">AVERAGE(OFFSET($DS$3,0,0,'Données projet'!$E$14+1,1))-AVERAGE(OFFSET($H$3,0,0,'Données projet'!$E$14+1,1))</f>
        <v>667.0152731006724</v>
      </c>
      <c r="DU144" s="62">
        <f t="shared" si="152"/>
        <v>567.40780872008088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1.0763414747763074</v>
      </c>
      <c r="EC144" s="23">
        <f>EXP(-LN(2)/2)*EC143+(1-EXP(-LN(2)/2))/(LN(2)/2)*DW144*DZ144*VLOOKUP('Données projet'!$B$14,Paramètres!$A$1:$I$89,3,0)*0.475*44/12</f>
        <v>2.9108308231430873E-16</v>
      </c>
      <c r="ED144" s="24">
        <f t="shared" si="126"/>
        <v>1.0763414747763076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454.99849419289757</v>
      </c>
      <c r="EP144" s="62">
        <f t="shared" si="154"/>
        <v>288.86643267991928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68.855246093088283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2.7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31.566600000000061</v>
      </c>
      <c r="D145" s="12">
        <f t="shared" si="140"/>
        <v>9.7335161814694438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87.126978595818343</v>
      </c>
      <c r="H145" s="70">
        <f t="shared" si="110"/>
        <v>288.99770234939274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427.57091071251745</v>
      </c>
      <c r="T145" s="62">
        <f t="shared" si="142"/>
        <v>272.62827206514726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475.54515523869958</v>
      </c>
      <c r="AO145" s="62">
        <f t="shared" si="144"/>
        <v>301.02979240961452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0.4585246840564916</v>
      </c>
      <c r="AW145" s="23">
        <f>EXP(-LN(2)/2)*AW144+(1-EXP(-LN(2)/2))/(LN(2)/2)*AQ145*AT145*VLOOKUP('Données projet'!$B$10,Paramètres!$A$1:$I$89,3,0)*0.475*44/12</f>
        <v>2.3188715121840856E-16</v>
      </c>
      <c r="AX145" s="23">
        <f t="shared" si="114"/>
        <v>0.45852468405649183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6.3550942286383367E-14</v>
      </c>
      <c r="BF145" s="14">
        <f t="shared" si="145"/>
        <v>1.0064464192543978E-12</v>
      </c>
      <c r="BG145" s="22">
        <f t="shared" si="115"/>
        <v>1.8635787380168604E-12</v>
      </c>
      <c r="BH145" s="62">
        <f t="shared" si="116"/>
        <v>289.20871838498704</v>
      </c>
      <c r="BI145" s="62">
        <f ca="1">AVERAGE(OFFSET($BH$3,0,0,'Données projet'!$E$11+1,1))-AVERAGE(OFFSET($H$3,0,0,'Données projet'!$E$11+1,1))</f>
        <v>381.71417599784968</v>
      </c>
      <c r="BJ145" s="62">
        <f t="shared" si="146"/>
        <v>350.49230135197979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3.517215560590901</v>
      </c>
      <c r="BQ145" s="23">
        <f>EXP(-LN(2)/25)*BQ144+(1-EXP(-LN(2)/25))/(LN(2)/25)*Calculateur!BL145*Calculateur!BN145*VLOOKUP('Données projet'!$B$11,Paramètres!$A$1:$I$89,3,0)*0.475*44/12</f>
        <v>1.2595045250041079</v>
      </c>
      <c r="BR145" s="23">
        <f>EXP(-LN(2)/2)*BR144+(1-EXP(-LN(2)/2))/(LN(2)/2)*BL145*BO145*VLOOKUP('Données projet'!$B$11,Paramètres!$A$1:$I$89,3,0)*0.475*44/12</f>
        <v>9.6298562042462144E-16</v>
      </c>
      <c r="BS145" s="24">
        <f t="shared" si="117"/>
        <v>4.7767200855950103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3.1036506698001178E-14</v>
      </c>
      <c r="CA145" s="14">
        <f t="shared" si="147"/>
        <v>5.3428243983771088E-13</v>
      </c>
      <c r="CB145" s="22">
        <f t="shared" si="118"/>
        <v>9.8459716521636505E-13</v>
      </c>
      <c r="CC145" s="62">
        <f t="shared" si="119"/>
        <v>289.20871838498613</v>
      </c>
      <c r="CD145" s="62">
        <f ca="1">AVERAGE(OFFSET($CC$3,0,0,'Données projet'!$E$12+1,1))-AVERAGE(OFFSET($H$3,0,0,'Données projet'!$E$12+1,1))</f>
        <v>202.72043399839748</v>
      </c>
      <c r="CE145" s="62">
        <f t="shared" si="148"/>
        <v>295.50255983395789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0.2618654964506289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0.2618654964506289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4.9658410716801891E-14</v>
      </c>
      <c r="CV145" s="14">
        <f t="shared" si="149"/>
        <v>8.0934058173791862E-13</v>
      </c>
      <c r="CW145" s="22">
        <f t="shared" si="121"/>
        <v>1.4960899118586383E-12</v>
      </c>
      <c r="CX145" s="62">
        <f t="shared" si="122"/>
        <v>289.20871838498664</v>
      </c>
      <c r="CY145" s="62">
        <f ca="1">AVERAGE(OFFSET($CX$3,0,0,'Données projet'!$E$13+1,1))-AVERAGE(OFFSET($H$3,0,0,'Données projet'!$E$13+1,1))</f>
        <v>297.56177871222496</v>
      </c>
      <c r="CZ145" s="62">
        <f t="shared" si="150"/>
        <v>421.5717731815397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1.5163319590061013</v>
      </c>
      <c r="DH145" s="23">
        <f>EXP(-LN(2)/2)*DH144+(1-EXP(-LN(2)/2))/(LN(2)/2)*DB145*DE145*VLOOKUP('Données projet'!$B$13,Paramètres!$A$1:$I$89,3,0)*0.475*44/12</f>
        <v>2.2601364231797413E-16</v>
      </c>
      <c r="DI145" s="24">
        <f t="shared" si="123"/>
        <v>1.5163319590061015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752.99999999999977</v>
      </c>
      <c r="DP145" s="18">
        <f>DO145*VLOOKUP('Données projet'!$B$14,Paramètres!$A$1:$I$89,3,0)*VLOOKUP('Données projet'!$B$14,Paramètres!$A$1:$I$89,5,0)</f>
        <v>552.09959999999978</v>
      </c>
      <c r="DQ145" s="14">
        <f t="shared" si="151"/>
        <v>122.01091055125165</v>
      </c>
      <c r="DR145" s="22">
        <f t="shared" si="124"/>
        <v>1174.0758058767628</v>
      </c>
      <c r="DS145" s="62">
        <f t="shared" si="125"/>
        <v>1463.2845242617479</v>
      </c>
      <c r="DT145" s="62">
        <f ca="1">AVERAGE(OFFSET($DS$3,0,0,'Données projet'!$E$14+1,1))-AVERAGE(OFFSET($H$3,0,0,'Données projet'!$E$14+1,1))</f>
        <v>667.0152731006724</v>
      </c>
      <c r="DU145" s="62">
        <f t="shared" si="152"/>
        <v>567.40780872008088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1.0469088605462111</v>
      </c>
      <c r="EC145" s="23">
        <f>EXP(-LN(2)/2)*EC144+(1-EXP(-LN(2)/2))/(LN(2)/2)*DW145*DZ145*VLOOKUP('Données projet'!$B$14,Paramètres!$A$1:$I$89,3,0)*0.475*44/12</f>
        <v>2.058268213931297E-16</v>
      </c>
      <c r="ED145" s="24">
        <f t="shared" si="126"/>
        <v>1.0469088605462114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454.99849419289757</v>
      </c>
      <c r="EP145" s="62">
        <f t="shared" si="154"/>
        <v>288.86643267991928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68.87510501408687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2.7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31.788900000000062</v>
      </c>
      <c r="D146" s="12">
        <f t="shared" si="140"/>
        <v>9.7940585694521829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87.672814783153456</v>
      </c>
      <c r="H146" s="70">
        <f t="shared" si="110"/>
        <v>289.49031950846268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427.57091071251745</v>
      </c>
      <c r="T146" s="62">
        <f t="shared" si="142"/>
        <v>272.62827206514726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475.54515523869958</v>
      </c>
      <c r="AO146" s="62">
        <f t="shared" si="144"/>
        <v>301.02979240961452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0.4459863024582017</v>
      </c>
      <c r="AW146" s="23">
        <f>EXP(-LN(2)/2)*AW145+(1-EXP(-LN(2)/2))/(LN(2)/2)*AQ146*AT146*VLOOKUP('Données projet'!$B$10,Paramètres!$A$1:$I$89,3,0)*0.475*44/12</f>
        <v>1.6396897709656708E-16</v>
      </c>
      <c r="AX146" s="23">
        <f t="shared" si="114"/>
        <v>0.44598630245820187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6.3550942286383367E-14</v>
      </c>
      <c r="BF146" s="14">
        <f t="shared" si="145"/>
        <v>1.0064464192543978E-12</v>
      </c>
      <c r="BG146" s="22">
        <f t="shared" si="115"/>
        <v>1.8635787380168604E-12</v>
      </c>
      <c r="BH146" s="62">
        <f t="shared" si="116"/>
        <v>289.2802712330834</v>
      </c>
      <c r="BI146" s="62">
        <f ca="1">AVERAGE(OFFSET($BH$3,0,0,'Données projet'!$E$11+1,1))-AVERAGE(OFFSET($H$3,0,0,'Données projet'!$E$11+1,1))</f>
        <v>381.71417599784968</v>
      </c>
      <c r="BJ146" s="62">
        <f t="shared" si="146"/>
        <v>350.49230135197979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3.4482451087373756</v>
      </c>
      <c r="BQ146" s="23">
        <f>EXP(-LN(2)/25)*BQ145+(1-EXP(-LN(2)/25))/(LN(2)/25)*Calculateur!BL146*Calculateur!BN146*VLOOKUP('Données projet'!$B$11,Paramètres!$A$1:$I$89,3,0)*0.475*44/12</f>
        <v>1.2250633075334063</v>
      </c>
      <c r="BR146" s="23">
        <f>EXP(-LN(2)/2)*BR145+(1-EXP(-LN(2)/2))/(LN(2)/2)*BL146*BO146*VLOOKUP('Données projet'!$B$11,Paramètres!$A$1:$I$89,3,0)*0.475*44/12</f>
        <v>6.8093366238738452E-16</v>
      </c>
      <c r="BS146" s="24">
        <f t="shared" si="117"/>
        <v>4.6733084162707828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3.1036506698001178E-14</v>
      </c>
      <c r="CA146" s="14">
        <f t="shared" si="147"/>
        <v>5.3428243983771088E-13</v>
      </c>
      <c r="CB146" s="22">
        <f t="shared" si="118"/>
        <v>9.8459716521636505E-13</v>
      </c>
      <c r="CC146" s="62">
        <f t="shared" si="119"/>
        <v>289.28027123308249</v>
      </c>
      <c r="CD146" s="62">
        <f ca="1">AVERAGE(OFFSET($CC$3,0,0,'Données projet'!$E$12+1,1))-AVERAGE(OFFSET($H$3,0,0,'Données projet'!$E$12+1,1))</f>
        <v>202.72043399839748</v>
      </c>
      <c r="CE146" s="62">
        <f t="shared" si="148"/>
        <v>295.50255983395789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0.25470477067927849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0.25470477067927849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4.9658410716801891E-14</v>
      </c>
      <c r="CV146" s="14">
        <f t="shared" si="149"/>
        <v>8.0934058173791862E-13</v>
      </c>
      <c r="CW146" s="22">
        <f t="shared" si="121"/>
        <v>1.4960899118586383E-12</v>
      </c>
      <c r="CX146" s="62">
        <f t="shared" si="122"/>
        <v>289.280271233083</v>
      </c>
      <c r="CY146" s="62">
        <f ca="1">AVERAGE(OFFSET($CX$3,0,0,'Données projet'!$E$13+1,1))-AVERAGE(OFFSET($H$3,0,0,'Données projet'!$E$13+1,1))</f>
        <v>297.56177871222496</v>
      </c>
      <c r="CZ146" s="62">
        <f t="shared" si="150"/>
        <v>421.5717731815397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1.4748677818466474</v>
      </c>
      <c r="DH146" s="23">
        <f>EXP(-LN(2)/2)*DH145+(1-EXP(-LN(2)/2))/(LN(2)/2)*DB146*DE146*VLOOKUP('Données projet'!$B$13,Paramètres!$A$1:$I$89,3,0)*0.475*44/12</f>
        <v>1.5981577912371035E-16</v>
      </c>
      <c r="DI146" s="24">
        <f t="shared" si="123"/>
        <v>1.4748677818466476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752.99999999999977</v>
      </c>
      <c r="DP146" s="18">
        <f>DO146*VLOOKUP('Données projet'!$B$14,Paramètres!$A$1:$I$89,3,0)*VLOOKUP('Données projet'!$B$14,Paramètres!$A$1:$I$89,5,0)</f>
        <v>552.09959999999978</v>
      </c>
      <c r="DQ146" s="14">
        <f t="shared" si="151"/>
        <v>122.01091055125165</v>
      </c>
      <c r="DR146" s="22">
        <f t="shared" si="124"/>
        <v>1174.0758058767628</v>
      </c>
      <c r="DS146" s="62">
        <f t="shared" si="125"/>
        <v>1463.3560771098444</v>
      </c>
      <c r="DT146" s="62">
        <f ca="1">AVERAGE(OFFSET($DS$3,0,0,'Données projet'!$E$14+1,1))-AVERAGE(OFFSET($H$3,0,0,'Données projet'!$E$14+1,1))</f>
        <v>667.0152731006724</v>
      </c>
      <c r="DU146" s="62">
        <f t="shared" si="152"/>
        <v>567.40780872008088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1.0182810827000308</v>
      </c>
      <c r="EC146" s="23">
        <f>EXP(-LN(2)/2)*EC145+(1-EXP(-LN(2)/2))/(LN(2)/2)*DW146*DZ146*VLOOKUP('Données projet'!$B$14,Paramètres!$A$1:$I$89,3,0)*0.475*44/12</f>
        <v>1.4554154115715436E-16</v>
      </c>
      <c r="ED146" s="24">
        <f t="shared" si="126"/>
        <v>1.018281082700031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454.99849419289757</v>
      </c>
      <c r="EP146" s="62">
        <f t="shared" si="154"/>
        <v>288.86643267991928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68.894619427204049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2.7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32.011200000000059</v>
      </c>
      <c r="D147" s="12">
        <f t="shared" si="140"/>
        <v>9.8545516964045916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88.218555905342313</v>
      </c>
      <c r="H147" s="70">
        <f t="shared" si="110"/>
        <v>289.98285087123816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427.57091071251745</v>
      </c>
      <c r="T147" s="62">
        <f t="shared" si="142"/>
        <v>272.62827206514726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475.54515523869958</v>
      </c>
      <c r="AO147" s="62">
        <f t="shared" si="144"/>
        <v>301.02979240961452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0.43379078356408185</v>
      </c>
      <c r="AW147" s="23">
        <f>EXP(-LN(2)/2)*AW146+(1-EXP(-LN(2)/2))/(LN(2)/2)*AQ147*AT147*VLOOKUP('Données projet'!$B$10,Paramètres!$A$1:$I$89,3,0)*0.475*44/12</f>
        <v>1.1594357560920428E-16</v>
      </c>
      <c r="AX147" s="23">
        <f t="shared" si="114"/>
        <v>0.43379078356408196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6.3550942286383367E-14</v>
      </c>
      <c r="BF147" s="14">
        <f t="shared" si="145"/>
        <v>1.0064464192543978E-12</v>
      </c>
      <c r="BG147" s="22">
        <f t="shared" si="115"/>
        <v>1.8635787380168604E-12</v>
      </c>
      <c r="BH147" s="62">
        <f t="shared" si="116"/>
        <v>289.35058279923334</v>
      </c>
      <c r="BI147" s="62">
        <f ca="1">AVERAGE(OFFSET($BH$3,0,0,'Données projet'!$E$11+1,1))-AVERAGE(OFFSET($H$3,0,0,'Données projet'!$E$11+1,1))</f>
        <v>381.71417599784968</v>
      </c>
      <c r="BJ147" s="62">
        <f t="shared" si="146"/>
        <v>350.49230135197979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3.380627125376876</v>
      </c>
      <c r="BQ147" s="23">
        <f>EXP(-LN(2)/25)*BQ146+(1-EXP(-LN(2)/25))/(LN(2)/25)*Calculateur!BL147*Calculateur!BN147*VLOOKUP('Données projet'!$B$11,Paramètres!$A$1:$I$89,3,0)*0.475*44/12</f>
        <v>1.191563886965626</v>
      </c>
      <c r="BR147" s="23">
        <f>EXP(-LN(2)/2)*BR146+(1-EXP(-LN(2)/2))/(LN(2)/2)*BL147*BO147*VLOOKUP('Données projet'!$B$11,Paramètres!$A$1:$I$89,3,0)*0.475*44/12</f>
        <v>4.8149281021231072E-16</v>
      </c>
      <c r="BS147" s="24">
        <f t="shared" si="117"/>
        <v>4.5721910123425031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3.1036506698001178E-14</v>
      </c>
      <c r="CA147" s="14">
        <f t="shared" si="147"/>
        <v>5.3428243983771088E-13</v>
      </c>
      <c r="CB147" s="22">
        <f t="shared" si="118"/>
        <v>9.8459716521636505E-13</v>
      </c>
      <c r="CC147" s="62">
        <f t="shared" si="119"/>
        <v>289.35058279923243</v>
      </c>
      <c r="CD147" s="62">
        <f ca="1">AVERAGE(OFFSET($CC$3,0,0,'Données projet'!$E$12+1,1))-AVERAGE(OFFSET($H$3,0,0,'Données projet'!$E$12+1,1))</f>
        <v>202.72043399839748</v>
      </c>
      <c r="CE147" s="62">
        <f t="shared" si="148"/>
        <v>295.50255983395789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0.24773985533071186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0.24773985533071186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4.9658410716801891E-14</v>
      </c>
      <c r="CV147" s="14">
        <f t="shared" si="149"/>
        <v>8.0934058173791862E-13</v>
      </c>
      <c r="CW147" s="22">
        <f t="shared" si="121"/>
        <v>1.4960899118586383E-12</v>
      </c>
      <c r="CX147" s="62">
        <f t="shared" si="122"/>
        <v>289.35058279923294</v>
      </c>
      <c r="CY147" s="62">
        <f ca="1">AVERAGE(OFFSET($CX$3,0,0,'Données projet'!$E$13+1,1))-AVERAGE(OFFSET($H$3,0,0,'Données projet'!$E$13+1,1))</f>
        <v>297.56177871222496</v>
      </c>
      <c r="CZ147" s="62">
        <f t="shared" si="150"/>
        <v>421.5717731815397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1.4345374447921251</v>
      </c>
      <c r="DH147" s="23">
        <f>EXP(-LN(2)/2)*DH146+(1-EXP(-LN(2)/2))/(LN(2)/2)*DB147*DE147*VLOOKUP('Données projet'!$B$13,Paramètres!$A$1:$I$89,3,0)*0.475*44/12</f>
        <v>1.1300682115898706E-16</v>
      </c>
      <c r="DI147" s="24">
        <f t="shared" si="123"/>
        <v>1.4345374447921253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752.99999999999977</v>
      </c>
      <c r="DP147" s="18">
        <f>DO147*VLOOKUP('Données projet'!$B$14,Paramètres!$A$1:$I$89,3,0)*VLOOKUP('Données projet'!$B$14,Paramètres!$A$1:$I$89,5,0)</f>
        <v>552.09959999999978</v>
      </c>
      <c r="DQ147" s="14">
        <f t="shared" si="151"/>
        <v>122.01091055125165</v>
      </c>
      <c r="DR147" s="22">
        <f t="shared" si="124"/>
        <v>1174.0758058767628</v>
      </c>
      <c r="DS147" s="62">
        <f t="shared" si="125"/>
        <v>1463.4263886759943</v>
      </c>
      <c r="DT147" s="62">
        <f ca="1">AVERAGE(OFFSET($DS$3,0,0,'Données projet'!$E$14+1,1))-AVERAGE(OFFSET($H$3,0,0,'Données projet'!$E$14+1,1))</f>
        <v>667.0152731006724</v>
      </c>
      <c r="DU147" s="62">
        <f t="shared" si="152"/>
        <v>567.40780872008088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0.9904361329445236</v>
      </c>
      <c r="EC147" s="23">
        <f>EXP(-LN(2)/2)*EC146+(1-EXP(-LN(2)/2))/(LN(2)/2)*DW147*DZ147*VLOOKUP('Données projet'!$B$14,Paramètres!$A$1:$I$89,3,0)*0.475*44/12</f>
        <v>1.0291341069656485E-16</v>
      </c>
      <c r="ED147" s="24">
        <f t="shared" si="126"/>
        <v>0.99043613294452371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454.99849419289757</v>
      </c>
      <c r="EP147" s="62">
        <f t="shared" si="154"/>
        <v>288.86643267991928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68.913795308881305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2.7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32.233500000000056</v>
      </c>
      <c r="D148" s="12">
        <f t="shared" si="140"/>
        <v>9.9149959440883464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88.764202699117959</v>
      </c>
      <c r="H148" s="70">
        <f t="shared" si="110"/>
        <v>290.47529710262063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427.57091071251745</v>
      </c>
      <c r="T148" s="62">
        <f t="shared" si="142"/>
        <v>272.62827206514726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475.54515523869958</v>
      </c>
      <c r="AO148" s="62">
        <f t="shared" si="144"/>
        <v>301.02979240961452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0.42192875177545619</v>
      </c>
      <c r="AW148" s="23">
        <f>EXP(-LN(2)/2)*AW147+(1-EXP(-LN(2)/2))/(LN(2)/2)*AQ148*AT148*VLOOKUP('Données projet'!$B$10,Paramètres!$A$1:$I$89,3,0)*0.475*44/12</f>
        <v>8.1984488548283542E-17</v>
      </c>
      <c r="AX148" s="23">
        <f t="shared" si="114"/>
        <v>0.42192875177545625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6.3550942286383367E-14</v>
      </c>
      <c r="BF148" s="14">
        <f t="shared" si="145"/>
        <v>1.0064464192543978E-12</v>
      </c>
      <c r="BG148" s="22">
        <f t="shared" si="115"/>
        <v>1.8635787380168604E-12</v>
      </c>
      <c r="BH148" s="62">
        <f t="shared" si="116"/>
        <v>289.41967461690376</v>
      </c>
      <c r="BI148" s="62">
        <f ca="1">AVERAGE(OFFSET($BH$3,0,0,'Données projet'!$E$11+1,1))-AVERAGE(OFFSET($H$3,0,0,'Données projet'!$E$11+1,1))</f>
        <v>381.71417599784968</v>
      </c>
      <c r="BJ148" s="62">
        <f t="shared" si="146"/>
        <v>350.49230135197979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3.3143350894271784</v>
      </c>
      <c r="BQ148" s="23">
        <f>EXP(-LN(2)/25)*BQ147+(1-EXP(-LN(2)/25))/(LN(2)/25)*Calculateur!BL148*Calculateur!BN148*VLOOKUP('Données projet'!$B$11,Paramètres!$A$1:$I$89,3,0)*0.475*44/12</f>
        <v>1.1589805098149295</v>
      </c>
      <c r="BR148" s="23">
        <f>EXP(-LN(2)/2)*BR147+(1-EXP(-LN(2)/2))/(LN(2)/2)*BL148*BO148*VLOOKUP('Données projet'!$B$11,Paramètres!$A$1:$I$89,3,0)*0.475*44/12</f>
        <v>3.4046683119369226E-16</v>
      </c>
      <c r="BS148" s="24">
        <f t="shared" si="117"/>
        <v>4.4733155992421079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3.1036506698001178E-14</v>
      </c>
      <c r="CA148" s="14">
        <f t="shared" si="147"/>
        <v>5.3428243983771088E-13</v>
      </c>
      <c r="CB148" s="22">
        <f t="shared" si="118"/>
        <v>9.8459716521636505E-13</v>
      </c>
      <c r="CC148" s="62">
        <f t="shared" si="119"/>
        <v>289.41967461690285</v>
      </c>
      <c r="CD148" s="62">
        <f ca="1">AVERAGE(OFFSET($CC$3,0,0,'Données projet'!$E$12+1,1))-AVERAGE(OFFSET($H$3,0,0,'Données projet'!$E$12+1,1))</f>
        <v>202.72043399839748</v>
      </c>
      <c r="CE148" s="62">
        <f t="shared" si="148"/>
        <v>295.50255983395789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0.24096539595862076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0.24096539595862076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4.9658410716801891E-14</v>
      </c>
      <c r="CV148" s="14">
        <f t="shared" si="149"/>
        <v>8.0934058173791862E-13</v>
      </c>
      <c r="CW148" s="22">
        <f t="shared" si="121"/>
        <v>1.4960899118586383E-12</v>
      </c>
      <c r="CX148" s="62">
        <f t="shared" si="122"/>
        <v>289.41967461690336</v>
      </c>
      <c r="CY148" s="62">
        <f ca="1">AVERAGE(OFFSET($CX$3,0,0,'Données projet'!$E$13+1,1))-AVERAGE(OFFSET($H$3,0,0,'Données projet'!$E$13+1,1))</f>
        <v>297.56177871222496</v>
      </c>
      <c r="CZ148" s="62">
        <f t="shared" si="150"/>
        <v>421.5717731815397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1.3953099429252389</v>
      </c>
      <c r="DH148" s="23">
        <f>EXP(-LN(2)/2)*DH147+(1-EXP(-LN(2)/2))/(LN(2)/2)*DB148*DE148*VLOOKUP('Données projet'!$B$13,Paramètres!$A$1:$I$89,3,0)*0.475*44/12</f>
        <v>7.9907889561855176E-17</v>
      </c>
      <c r="DI148" s="24">
        <f t="shared" si="123"/>
        <v>1.3953099429252389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752.99999999999977</v>
      </c>
      <c r="DP148" s="18">
        <f>DO148*VLOOKUP('Données projet'!$B$14,Paramètres!$A$1:$I$89,3,0)*VLOOKUP('Données projet'!$B$14,Paramètres!$A$1:$I$89,5,0)</f>
        <v>552.09959999999978</v>
      </c>
      <c r="DQ148" s="14">
        <f t="shared" si="151"/>
        <v>122.01091055125165</v>
      </c>
      <c r="DR148" s="22">
        <f t="shared" si="124"/>
        <v>1174.0758058767628</v>
      </c>
      <c r="DS148" s="62">
        <f t="shared" si="125"/>
        <v>1463.4954804936647</v>
      </c>
      <c r="DT148" s="62">
        <f ca="1">AVERAGE(OFFSET($DS$3,0,0,'Données projet'!$E$14+1,1))-AVERAGE(OFFSET($H$3,0,0,'Données projet'!$E$14+1,1))</f>
        <v>667.0152731006724</v>
      </c>
      <c r="DU148" s="62">
        <f t="shared" si="152"/>
        <v>567.40780872008088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0.96335260480438301</v>
      </c>
      <c r="EC148" s="23">
        <f>EXP(-LN(2)/2)*EC147+(1-EXP(-LN(2)/2))/(LN(2)/2)*DW148*DZ148*VLOOKUP('Données projet'!$B$14,Paramètres!$A$1:$I$89,3,0)*0.475*44/12</f>
        <v>7.2770770578577181E-17</v>
      </c>
      <c r="ED148" s="24">
        <f t="shared" si="126"/>
        <v>0.96335260480438312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454.99849419289757</v>
      </c>
      <c r="EP148" s="62">
        <f t="shared" si="154"/>
        <v>288.86643267991928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68.932638531882333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2.7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32.455800000000053</v>
      </c>
      <c r="D149" s="12">
        <f t="shared" si="140"/>
        <v>9.9753916886950673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89.309755890464274</v>
      </c>
      <c r="H149" s="70">
        <f t="shared" si="110"/>
        <v>290.9676588578107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427.57091071251745</v>
      </c>
      <c r="T149" s="62">
        <f t="shared" si="142"/>
        <v>272.62827206514726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475.54515523869958</v>
      </c>
      <c r="AO149" s="62">
        <f t="shared" si="144"/>
        <v>301.02979240961452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0.41039108786988759</v>
      </c>
      <c r="AW149" s="23">
        <f>EXP(-LN(2)/2)*AW148+(1-EXP(-LN(2)/2))/(LN(2)/2)*AQ149*AT149*VLOOKUP('Données projet'!$B$10,Paramètres!$A$1:$I$89,3,0)*0.475*44/12</f>
        <v>5.7971787804602141E-17</v>
      </c>
      <c r="AX149" s="23">
        <f t="shared" si="114"/>
        <v>0.41039108786988765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6.3550942286383367E-14</v>
      </c>
      <c r="BF149" s="14">
        <f t="shared" si="145"/>
        <v>1.0064464192543978E-12</v>
      </c>
      <c r="BG149" s="22">
        <f t="shared" si="115"/>
        <v>1.8635787380168604E-12</v>
      </c>
      <c r="BH149" s="62">
        <f t="shared" si="116"/>
        <v>289.48756784600374</v>
      </c>
      <c r="BI149" s="62">
        <f ca="1">AVERAGE(OFFSET($BH$3,0,0,'Données projet'!$E$11+1,1))-AVERAGE(OFFSET($H$3,0,0,'Données projet'!$E$11+1,1))</f>
        <v>381.71417599784968</v>
      </c>
      <c r="BJ149" s="62">
        <f t="shared" si="146"/>
        <v>350.49230135197979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3.249342999868305</v>
      </c>
      <c r="BQ149" s="23">
        <f>EXP(-LN(2)/25)*BQ148+(1-EXP(-LN(2)/25))/(LN(2)/25)*Calculateur!BL149*Calculateur!BN149*VLOOKUP('Données projet'!$B$11,Paramètres!$A$1:$I$89,3,0)*0.475*44/12</f>
        <v>1.1272881268259041</v>
      </c>
      <c r="BR149" s="23">
        <f>EXP(-LN(2)/2)*BR148+(1-EXP(-LN(2)/2))/(LN(2)/2)*BL149*BO149*VLOOKUP('Données projet'!$B$11,Paramètres!$A$1:$I$89,3,0)*0.475*44/12</f>
        <v>2.4074640510615536E-16</v>
      </c>
      <c r="BS149" s="24">
        <f t="shared" si="117"/>
        <v>4.3766311266942086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3.1036506698001178E-14</v>
      </c>
      <c r="CA149" s="14">
        <f t="shared" si="147"/>
        <v>5.3428243983771088E-13</v>
      </c>
      <c r="CB149" s="22">
        <f t="shared" si="118"/>
        <v>9.8459716521636505E-13</v>
      </c>
      <c r="CC149" s="62">
        <f t="shared" si="119"/>
        <v>289.48756784600283</v>
      </c>
      <c r="CD149" s="62">
        <f ca="1">AVERAGE(OFFSET($CC$3,0,0,'Données projet'!$E$12+1,1))-AVERAGE(OFFSET($H$3,0,0,'Données projet'!$E$12+1,1))</f>
        <v>202.72043399839748</v>
      </c>
      <c r="CE149" s="62">
        <f t="shared" si="148"/>
        <v>295.50255983395789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0.23437618453431283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0.23437618453431283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4.9658410716801891E-14</v>
      </c>
      <c r="CV149" s="14">
        <f t="shared" si="149"/>
        <v>8.0934058173791862E-13</v>
      </c>
      <c r="CW149" s="22">
        <f t="shared" si="121"/>
        <v>1.4960899118586383E-12</v>
      </c>
      <c r="CX149" s="62">
        <f t="shared" si="122"/>
        <v>289.48756784600334</v>
      </c>
      <c r="CY149" s="62">
        <f ca="1">AVERAGE(OFFSET($CX$3,0,0,'Données projet'!$E$13+1,1))-AVERAGE(OFFSET($H$3,0,0,'Données projet'!$E$13+1,1))</f>
        <v>297.56177871222496</v>
      </c>
      <c r="CZ149" s="62">
        <f t="shared" si="150"/>
        <v>421.5717731815397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1.3571551191597875</v>
      </c>
      <c r="DH149" s="23">
        <f>EXP(-LN(2)/2)*DH148+(1-EXP(-LN(2)/2))/(LN(2)/2)*DB149*DE149*VLOOKUP('Données projet'!$B$13,Paramètres!$A$1:$I$89,3,0)*0.475*44/12</f>
        <v>5.6503410579493532E-17</v>
      </c>
      <c r="DI149" s="24">
        <f t="shared" si="123"/>
        <v>1.3571551191597875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752.99999999999977</v>
      </c>
      <c r="DP149" s="18">
        <f>DO149*VLOOKUP('Données projet'!$B$14,Paramètres!$A$1:$I$89,3,0)*VLOOKUP('Données projet'!$B$14,Paramètres!$A$1:$I$89,5,0)</f>
        <v>552.09959999999978</v>
      </c>
      <c r="DQ149" s="14">
        <f t="shared" si="151"/>
        <v>122.01091055125165</v>
      </c>
      <c r="DR149" s="22">
        <f t="shared" si="124"/>
        <v>1174.0758058767628</v>
      </c>
      <c r="DS149" s="62">
        <f t="shared" si="125"/>
        <v>1463.5633737227647</v>
      </c>
      <c r="DT149" s="62">
        <f ca="1">AVERAGE(OFFSET($DS$3,0,0,'Données projet'!$E$14+1,1))-AVERAGE(OFFSET($H$3,0,0,'Données projet'!$E$14+1,1))</f>
        <v>667.0152731006724</v>
      </c>
      <c r="DU149" s="62">
        <f t="shared" si="152"/>
        <v>567.40780872008088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0.93700967716549544</v>
      </c>
      <c r="EC149" s="23">
        <f>EXP(-LN(2)/2)*EC148+(1-EXP(-LN(2)/2))/(LN(2)/2)*DW149*DZ149*VLOOKUP('Données projet'!$B$14,Paramètres!$A$1:$I$89,3,0)*0.475*44/12</f>
        <v>5.1456705348282426E-17</v>
      </c>
      <c r="ED149" s="24">
        <f t="shared" si="126"/>
        <v>0.93700967716549544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454.99849419289757</v>
      </c>
      <c r="EP149" s="62">
        <f t="shared" si="154"/>
        <v>288.86643267991928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68.951154867091418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2.7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32.67810000000005</v>
      </c>
      <c r="D150" s="12">
        <f t="shared" si="140"/>
        <v>10.035739300965199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89.855216194845212</v>
      </c>
      <c r="H150" s="70">
        <f t="shared" si="110"/>
        <v>291.45993678251449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427.57091071251745</v>
      </c>
      <c r="T150" s="62">
        <f t="shared" si="142"/>
        <v>272.62827206514726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475.54515523869958</v>
      </c>
      <c r="AO150" s="62">
        <f t="shared" si="144"/>
        <v>301.02979240961452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0.39916892199055615</v>
      </c>
      <c r="AW150" s="23">
        <f>EXP(-LN(2)/2)*AW149+(1-EXP(-LN(2)/2))/(LN(2)/2)*AQ150*AT150*VLOOKUP('Données projet'!$B$10,Paramètres!$A$1:$I$89,3,0)*0.475*44/12</f>
        <v>4.0992244274141771E-17</v>
      </c>
      <c r="AX150" s="23">
        <f t="shared" si="114"/>
        <v>0.3991689219905562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6.3550942286383367E-14</v>
      </c>
      <c r="BF150" s="14">
        <f t="shared" si="145"/>
        <v>1.0064464192543978E-12</v>
      </c>
      <c r="BG150" s="22">
        <f t="shared" si="115"/>
        <v>1.8635787380168604E-12</v>
      </c>
      <c r="BH150" s="62">
        <f t="shared" si="116"/>
        <v>289.55428327936539</v>
      </c>
      <c r="BI150" s="62">
        <f ca="1">AVERAGE(OFFSET($BH$3,0,0,'Données projet'!$E$11+1,1))-AVERAGE(OFFSET($H$3,0,0,'Données projet'!$E$11+1,1))</f>
        <v>381.71417599784968</v>
      </c>
      <c r="BJ150" s="62">
        <f t="shared" si="146"/>
        <v>350.49230135197979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3.1856253655444209</v>
      </c>
      <c r="BQ150" s="23">
        <f>EXP(-LN(2)/25)*BQ149+(1-EXP(-LN(2)/25))/(LN(2)/25)*Calculateur!BL150*Calculateur!BN150*VLOOKUP('Données projet'!$B$11,Paramètres!$A$1:$I$89,3,0)*0.475*44/12</f>
        <v>1.0964623737163435</v>
      </c>
      <c r="BR150" s="23">
        <f>EXP(-LN(2)/2)*BR149+(1-EXP(-LN(2)/2))/(LN(2)/2)*BL150*BO150*VLOOKUP('Données projet'!$B$11,Paramètres!$A$1:$I$89,3,0)*0.475*44/12</f>
        <v>1.7023341559684613E-16</v>
      </c>
      <c r="BS150" s="24">
        <f t="shared" si="117"/>
        <v>4.2820877392607644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3.1036506698001178E-14</v>
      </c>
      <c r="CA150" s="14">
        <f t="shared" si="147"/>
        <v>5.3428243983771088E-13</v>
      </c>
      <c r="CB150" s="22">
        <f t="shared" si="118"/>
        <v>9.8459716521636505E-13</v>
      </c>
      <c r="CC150" s="62">
        <f t="shared" si="119"/>
        <v>289.55428327936448</v>
      </c>
      <c r="CD150" s="62">
        <f ca="1">AVERAGE(OFFSET($CC$3,0,0,'Données projet'!$E$12+1,1))-AVERAGE(OFFSET($H$3,0,0,'Données projet'!$E$12+1,1))</f>
        <v>202.72043399839748</v>
      </c>
      <c r="CE150" s="62">
        <f t="shared" si="148"/>
        <v>295.50255983395789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0.22796715544291418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0.22796715544291418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4.9658410716801891E-14</v>
      </c>
      <c r="CV150" s="14">
        <f t="shared" si="149"/>
        <v>8.0934058173791862E-13</v>
      </c>
      <c r="CW150" s="22">
        <f t="shared" si="121"/>
        <v>1.4960899118586383E-12</v>
      </c>
      <c r="CX150" s="62">
        <f t="shared" si="122"/>
        <v>289.55428327936499</v>
      </c>
      <c r="CY150" s="62">
        <f ca="1">AVERAGE(OFFSET($CX$3,0,0,'Données projet'!$E$13+1,1))-AVERAGE(OFFSET($H$3,0,0,'Données projet'!$E$13+1,1))</f>
        <v>297.56177871222496</v>
      </c>
      <c r="CZ150" s="62">
        <f t="shared" si="150"/>
        <v>421.5717731815397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1.3200436410566772</v>
      </c>
      <c r="DH150" s="23">
        <f>EXP(-LN(2)/2)*DH149+(1-EXP(-LN(2)/2))/(LN(2)/2)*DB150*DE150*VLOOKUP('Données projet'!$B$13,Paramètres!$A$1:$I$89,3,0)*0.475*44/12</f>
        <v>3.9953944780927588E-17</v>
      </c>
      <c r="DI150" s="24">
        <f t="shared" si="123"/>
        <v>1.3200436410566772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752.99999999999977</v>
      </c>
      <c r="DP150" s="18">
        <f>DO150*VLOOKUP('Données projet'!$B$14,Paramètres!$A$1:$I$89,3,0)*VLOOKUP('Données projet'!$B$14,Paramètres!$A$1:$I$89,5,0)</f>
        <v>552.09959999999978</v>
      </c>
      <c r="DQ150" s="14">
        <f t="shared" si="151"/>
        <v>122.01091055125165</v>
      </c>
      <c r="DR150" s="22">
        <f t="shared" si="124"/>
        <v>1174.0758058767628</v>
      </c>
      <c r="DS150" s="62">
        <f t="shared" si="125"/>
        <v>1463.6300891561264</v>
      </c>
      <c r="DT150" s="62">
        <f ca="1">AVERAGE(OFFSET($DS$3,0,0,'Données projet'!$E$14+1,1))-AVERAGE(OFFSET($H$3,0,0,'Données projet'!$E$14+1,1))</f>
        <v>667.0152731006724</v>
      </c>
      <c r="DU150" s="62">
        <f t="shared" si="152"/>
        <v>567.40780872008088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0.91138709826820763</v>
      </c>
      <c r="EC150" s="23">
        <f>EXP(-LN(2)/2)*EC149+(1-EXP(-LN(2)/2))/(LN(2)/2)*DW150*DZ150*VLOOKUP('Données projet'!$B$14,Paramètres!$A$1:$I$89,3,0)*0.475*44/12</f>
        <v>3.6385385289288591E-17</v>
      </c>
      <c r="ED150" s="24">
        <f t="shared" si="126"/>
        <v>0.91138709826820763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454.99849419289757</v>
      </c>
      <c r="EP150" s="62">
        <f t="shared" si="154"/>
        <v>288.86643267991928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68.969349985280957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2.7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32.900400000000047</v>
      </c>
      <c r="D151" s="12">
        <f t="shared" si="140"/>
        <v>10.096039146303516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90.400584317427928</v>
      </c>
      <c r="H151" s="70">
        <f t="shared" si="110"/>
        <v>291.95213151314539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427.57091071251745</v>
      </c>
      <c r="T151" s="62">
        <f t="shared" si="142"/>
        <v>272.62827206514726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475.54515523869958</v>
      </c>
      <c r="AO151" s="62">
        <f t="shared" si="144"/>
        <v>301.02979240961452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0.3882536268273431</v>
      </c>
      <c r="AW151" s="23">
        <f>EXP(-LN(2)/2)*AW150+(1-EXP(-LN(2)/2))/(LN(2)/2)*AQ151*AT151*VLOOKUP('Données projet'!$B$10,Paramètres!$A$1:$I$89,3,0)*0.475*44/12</f>
        <v>2.898589390230107E-17</v>
      </c>
      <c r="AX151" s="23">
        <f t="shared" si="114"/>
        <v>0.38825362682734316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6.3550942286383367E-14</v>
      </c>
      <c r="BF151" s="14">
        <f t="shared" si="145"/>
        <v>1.0064464192543978E-12</v>
      </c>
      <c r="BG151" s="22">
        <f t="shared" si="115"/>
        <v>1.8635787380168604E-12</v>
      </c>
      <c r="BH151" s="62">
        <f t="shared" si="116"/>
        <v>289.61984134911148</v>
      </c>
      <c r="BI151" s="62">
        <f ca="1">AVERAGE(OFFSET($BH$3,0,0,'Données projet'!$E$11+1,1))-AVERAGE(OFFSET($H$3,0,0,'Données projet'!$E$11+1,1))</f>
        <v>381.71417599784968</v>
      </c>
      <c r="BJ151" s="62">
        <f t="shared" si="146"/>
        <v>350.49230135197979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3.1231571951657084</v>
      </c>
      <c r="BQ151" s="23">
        <f>EXP(-LN(2)/25)*BQ150+(1-EXP(-LN(2)/25))/(LN(2)/25)*Calculateur!BL151*Calculateur!BN151*VLOOKUP('Données projet'!$B$11,Paramètres!$A$1:$I$89,3,0)*0.475*44/12</f>
        <v>1.0664795524466197</v>
      </c>
      <c r="BR151" s="23">
        <f>EXP(-LN(2)/2)*BR150+(1-EXP(-LN(2)/2))/(LN(2)/2)*BL151*BO151*VLOOKUP('Données projet'!$B$11,Paramètres!$A$1:$I$89,3,0)*0.475*44/12</f>
        <v>1.2037320255307768E-16</v>
      </c>
      <c r="BS151" s="24">
        <f t="shared" si="117"/>
        <v>4.1896367476123277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3.1036506698001178E-14</v>
      </c>
      <c r="CA151" s="14">
        <f t="shared" si="147"/>
        <v>5.3428243983771088E-13</v>
      </c>
      <c r="CB151" s="22">
        <f t="shared" si="118"/>
        <v>9.8459716521636505E-13</v>
      </c>
      <c r="CC151" s="62">
        <f t="shared" si="119"/>
        <v>289.61984134911057</v>
      </c>
      <c r="CD151" s="62">
        <f ca="1">AVERAGE(OFFSET($CC$3,0,0,'Données projet'!$E$12+1,1))-AVERAGE(OFFSET($H$3,0,0,'Données projet'!$E$12+1,1))</f>
        <v>202.72043399839748</v>
      </c>
      <c r="CE151" s="62">
        <f t="shared" si="148"/>
        <v>295.50255983395789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0.22173338158905601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0.22173338158905601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4.9658410716801891E-14</v>
      </c>
      <c r="CV151" s="14">
        <f t="shared" si="149"/>
        <v>8.0934058173791862E-13</v>
      </c>
      <c r="CW151" s="22">
        <f t="shared" si="121"/>
        <v>1.4960899118586383E-12</v>
      </c>
      <c r="CX151" s="62">
        <f t="shared" si="122"/>
        <v>289.61984134911108</v>
      </c>
      <c r="CY151" s="62">
        <f ca="1">AVERAGE(OFFSET($CX$3,0,0,'Données projet'!$E$13+1,1))-AVERAGE(OFFSET($H$3,0,0,'Données projet'!$E$13+1,1))</f>
        <v>297.56177871222496</v>
      </c>
      <c r="CZ151" s="62">
        <f t="shared" si="150"/>
        <v>421.5717731815397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1.2839469782739041</v>
      </c>
      <c r="DH151" s="23">
        <f>EXP(-LN(2)/2)*DH150+(1-EXP(-LN(2)/2))/(LN(2)/2)*DB151*DE151*VLOOKUP('Données projet'!$B$13,Paramètres!$A$1:$I$89,3,0)*0.475*44/12</f>
        <v>2.8251705289746766E-17</v>
      </c>
      <c r="DI151" s="24">
        <f t="shared" si="123"/>
        <v>1.2839469782739041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752.99999999999977</v>
      </c>
      <c r="DP151" s="18">
        <f>DO151*VLOOKUP('Données projet'!$B$14,Paramètres!$A$1:$I$89,3,0)*VLOOKUP('Données projet'!$B$14,Paramètres!$A$1:$I$89,5,0)</f>
        <v>552.09959999999978</v>
      </c>
      <c r="DQ151" s="14">
        <f t="shared" si="151"/>
        <v>122.01091055125165</v>
      </c>
      <c r="DR151" s="22">
        <f t="shared" si="124"/>
        <v>1174.0758058767628</v>
      </c>
      <c r="DS151" s="62">
        <f t="shared" si="125"/>
        <v>1463.6956472258726</v>
      </c>
      <c r="DT151" s="62">
        <f ca="1">AVERAGE(OFFSET($DS$3,0,0,'Données projet'!$E$14+1,1))-AVERAGE(OFFSET($H$3,0,0,'Données projet'!$E$14+1,1))</f>
        <v>667.0152731006724</v>
      </c>
      <c r="DU151" s="62">
        <f t="shared" si="152"/>
        <v>567.40780872008088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0.88646517013829895</v>
      </c>
      <c r="EC151" s="23">
        <f>EXP(-LN(2)/2)*EC150+(1-EXP(-LN(2)/2))/(LN(2)/2)*DW151*DZ151*VLOOKUP('Données projet'!$B$14,Paramètres!$A$1:$I$89,3,0)*0.475*44/12</f>
        <v>2.5728352674141213E-17</v>
      </c>
      <c r="ED151" s="24">
        <f t="shared" si="126"/>
        <v>0.88646517013829895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454.99849419289757</v>
      </c>
      <c r="EP151" s="62">
        <f t="shared" si="154"/>
        <v>288.86643267991928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68.987229458848077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2.7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33.122700000000044</v>
      </c>
      <c r="D152" s="12">
        <f t="shared" si="140"/>
        <v>10.156291584891457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90.945860953299388</v>
      </c>
      <c r="H152" s="70">
        <f t="shared" si="110"/>
        <v>292.44424367701936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427.57091071251745</v>
      </c>
      <c r="T152" s="62">
        <f t="shared" si="142"/>
        <v>272.62827206514726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475.54515523869958</v>
      </c>
      <c r="AO152" s="62">
        <f t="shared" si="144"/>
        <v>301.02979240961452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0.37763681098437851</v>
      </c>
      <c r="AW152" s="23">
        <f>EXP(-LN(2)/2)*AW151+(1-EXP(-LN(2)/2))/(LN(2)/2)*AQ152*AT152*VLOOKUP('Données projet'!$B$10,Paramètres!$A$1:$I$89,3,0)*0.475*44/12</f>
        <v>2.0496122137070885E-17</v>
      </c>
      <c r="AX152" s="23">
        <f t="shared" si="114"/>
        <v>0.37763681098437851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6.3550942286383367E-14</v>
      </c>
      <c r="BF152" s="14">
        <f t="shared" si="145"/>
        <v>1.0064464192543978E-12</v>
      </c>
      <c r="BG152" s="22">
        <f t="shared" si="115"/>
        <v>1.8635787380168604E-12</v>
      </c>
      <c r="BH152" s="62">
        <f t="shared" si="116"/>
        <v>289.68426213291343</v>
      </c>
      <c r="BI152" s="62">
        <f ca="1">AVERAGE(OFFSET($BH$3,0,0,'Données projet'!$E$11+1,1))-AVERAGE(OFFSET($H$3,0,0,'Données projet'!$E$11+1,1))</f>
        <v>381.71417599784968</v>
      </c>
      <c r="BJ152" s="62">
        <f t="shared" si="146"/>
        <v>350.49230135197979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3.0619139875063008</v>
      </c>
      <c r="BQ152" s="23">
        <f>EXP(-LN(2)/25)*BQ151+(1-EXP(-LN(2)/25))/(LN(2)/25)*Calculateur!BL152*Calculateur!BN152*VLOOKUP('Données projet'!$B$11,Paramètres!$A$1:$I$89,3,0)*0.475*44/12</f>
        <v>1.0373166130012448</v>
      </c>
      <c r="BR152" s="23">
        <f>EXP(-LN(2)/2)*BR151+(1-EXP(-LN(2)/2))/(LN(2)/2)*BL152*BO152*VLOOKUP('Données projet'!$B$11,Paramètres!$A$1:$I$89,3,0)*0.475*44/12</f>
        <v>8.5116707798423065E-17</v>
      </c>
      <c r="BS152" s="24">
        <f t="shared" si="117"/>
        <v>4.0992306005075454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3.1036506698001178E-14</v>
      </c>
      <c r="CA152" s="14">
        <f t="shared" si="147"/>
        <v>5.3428243983771088E-13</v>
      </c>
      <c r="CB152" s="22">
        <f t="shared" si="118"/>
        <v>9.8459716521636505E-13</v>
      </c>
      <c r="CC152" s="62">
        <f t="shared" si="119"/>
        <v>289.68426213291252</v>
      </c>
      <c r="CD152" s="62">
        <f ca="1">AVERAGE(OFFSET($CC$3,0,0,'Données projet'!$E$12+1,1))-AVERAGE(OFFSET($H$3,0,0,'Données projet'!$E$12+1,1))</f>
        <v>202.72043399839748</v>
      </c>
      <c r="CE152" s="62">
        <f t="shared" si="148"/>
        <v>295.50255983395789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0.21567007060905152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0.21567007060905152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4.9658410716801891E-14</v>
      </c>
      <c r="CV152" s="14">
        <f t="shared" si="149"/>
        <v>8.0934058173791862E-13</v>
      </c>
      <c r="CW152" s="22">
        <f t="shared" si="121"/>
        <v>1.4960899118586383E-12</v>
      </c>
      <c r="CX152" s="62">
        <f t="shared" si="122"/>
        <v>289.68426213291303</v>
      </c>
      <c r="CY152" s="62">
        <f ca="1">AVERAGE(OFFSET($CX$3,0,0,'Données projet'!$E$13+1,1))-AVERAGE(OFFSET($H$3,0,0,'Données projet'!$E$13+1,1))</f>
        <v>297.56177871222496</v>
      </c>
      <c r="CZ152" s="62">
        <f t="shared" si="150"/>
        <v>421.5717731815397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1.2488373806331672</v>
      </c>
      <c r="DH152" s="23">
        <f>EXP(-LN(2)/2)*DH151+(1-EXP(-LN(2)/2))/(LN(2)/2)*DB152*DE152*VLOOKUP('Données projet'!$B$13,Paramètres!$A$1:$I$89,3,0)*0.475*44/12</f>
        <v>1.9976972390463794E-17</v>
      </c>
      <c r="DI152" s="24">
        <f t="shared" si="123"/>
        <v>1.2488373806331672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752.99999999999977</v>
      </c>
      <c r="DP152" s="18">
        <f>DO152*VLOOKUP('Données projet'!$B$14,Paramètres!$A$1:$I$89,3,0)*VLOOKUP('Données projet'!$B$14,Paramètres!$A$1:$I$89,5,0)</f>
        <v>552.09959999999978</v>
      </c>
      <c r="DQ152" s="14">
        <f t="shared" si="151"/>
        <v>122.01091055125165</v>
      </c>
      <c r="DR152" s="22">
        <f t="shared" si="124"/>
        <v>1174.0758058767628</v>
      </c>
      <c r="DS152" s="62">
        <f t="shared" si="125"/>
        <v>1463.7600680096743</v>
      </c>
      <c r="DT152" s="62">
        <f ca="1">AVERAGE(OFFSET($DS$3,0,0,'Données projet'!$E$14+1,1))-AVERAGE(OFFSET($H$3,0,0,'Données projet'!$E$14+1,1))</f>
        <v>667.0152731006724</v>
      </c>
      <c r="DU152" s="62">
        <f t="shared" si="152"/>
        <v>567.40780872008088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0.86222473344368988</v>
      </c>
      <c r="EC152" s="23">
        <f>EXP(-LN(2)/2)*EC151+(1-EXP(-LN(2)/2))/(LN(2)/2)*DW152*DZ152*VLOOKUP('Données projet'!$B$14,Paramètres!$A$1:$I$89,3,0)*0.475*44/12</f>
        <v>1.8192692644644295E-17</v>
      </c>
      <c r="ED152" s="24">
        <f t="shared" si="126"/>
        <v>0.86222473344368988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454.99849419289757</v>
      </c>
      <c r="EP152" s="62">
        <f t="shared" si="154"/>
        <v>288.86643267991928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69.004798763521336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2.7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33.345000000000041</v>
      </c>
      <c r="D153" s="12">
        <f t="shared" si="140"/>
        <v>10.216496971796296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91.491046787677149</v>
      </c>
      <c r="H153" s="70">
        <f t="shared" si="110"/>
        <v>292.93627389254533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427.57091071251745</v>
      </c>
      <c r="T153" s="62">
        <f t="shared" si="142"/>
        <v>272.62827206514726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475.54515523869958</v>
      </c>
      <c r="AO153" s="62">
        <f t="shared" si="144"/>
        <v>301.02979240961452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0.36731031252895391</v>
      </c>
      <c r="AW153" s="23">
        <f>EXP(-LN(2)/2)*AW152+(1-EXP(-LN(2)/2))/(LN(2)/2)*AQ153*AT153*VLOOKUP('Données projet'!$B$10,Paramètres!$A$1:$I$89,3,0)*0.475*44/12</f>
        <v>1.4492946951150535E-17</v>
      </c>
      <c r="AX153" s="23">
        <f t="shared" si="114"/>
        <v>0.36731031252895391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6.3550942286383367E-14</v>
      </c>
      <c r="BF153" s="14">
        <f t="shared" si="145"/>
        <v>1.0064464192543978E-12</v>
      </c>
      <c r="BG153" s="22">
        <f t="shared" si="115"/>
        <v>1.8635787380168604E-12</v>
      </c>
      <c r="BH153" s="62">
        <f t="shared" si="116"/>
        <v>289.74756536013973</v>
      </c>
      <c r="BI153" s="62">
        <f ca="1">AVERAGE(OFFSET($BH$3,0,0,'Données projet'!$E$11+1,1))-AVERAGE(OFFSET($H$3,0,0,'Données projet'!$E$11+1,1))</f>
        <v>381.71417599784968</v>
      </c>
      <c r="BJ153" s="62">
        <f t="shared" si="146"/>
        <v>350.49230135197979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3.001871721794426</v>
      </c>
      <c r="BQ153" s="23">
        <f>EXP(-LN(2)/25)*BQ152+(1-EXP(-LN(2)/25))/(LN(2)/25)*Calculateur!BL153*Calculateur!BN153*VLOOKUP('Données projet'!$B$11,Paramètres!$A$1:$I$89,3,0)*0.475*44/12</f>
        <v>1.0089511356686158</v>
      </c>
      <c r="BR153" s="23">
        <f>EXP(-LN(2)/2)*BR152+(1-EXP(-LN(2)/2))/(LN(2)/2)*BL153*BO153*VLOOKUP('Données projet'!$B$11,Paramètres!$A$1:$I$89,3,0)*0.475*44/12</f>
        <v>6.018660127653884E-17</v>
      </c>
      <c r="BS153" s="24">
        <f t="shared" si="117"/>
        <v>4.010822857463042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3.1036506698001178E-14</v>
      </c>
      <c r="CA153" s="14">
        <f t="shared" si="147"/>
        <v>5.3428243983771088E-13</v>
      </c>
      <c r="CB153" s="22">
        <f t="shared" si="118"/>
        <v>9.8459716521636505E-13</v>
      </c>
      <c r="CC153" s="62">
        <f t="shared" si="119"/>
        <v>289.74756536013882</v>
      </c>
      <c r="CD153" s="62">
        <f ca="1">AVERAGE(OFFSET($CC$3,0,0,'Données projet'!$E$12+1,1))-AVERAGE(OFFSET($H$3,0,0,'Données projet'!$E$12+1,1))</f>
        <v>202.72043399839748</v>
      </c>
      <c r="CE153" s="62">
        <f t="shared" si="148"/>
        <v>295.50255983395789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0.20977256118665091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0.20977256118665091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4.9658410716801891E-14</v>
      </c>
      <c r="CV153" s="14">
        <f t="shared" si="149"/>
        <v>8.0934058173791862E-13</v>
      </c>
      <c r="CW153" s="22">
        <f t="shared" si="121"/>
        <v>1.4960899118586383E-12</v>
      </c>
      <c r="CX153" s="62">
        <f t="shared" si="122"/>
        <v>289.74756536013933</v>
      </c>
      <c r="CY153" s="62">
        <f ca="1">AVERAGE(OFFSET($CX$3,0,0,'Données projet'!$E$13+1,1))-AVERAGE(OFFSET($H$3,0,0,'Données projet'!$E$13+1,1))</f>
        <v>297.56177871222496</v>
      </c>
      <c r="CZ153" s="62">
        <f t="shared" si="150"/>
        <v>421.5717731815397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1.2146878567862496</v>
      </c>
      <c r="DH153" s="23">
        <f>EXP(-LN(2)/2)*DH152+(1-EXP(-LN(2)/2))/(LN(2)/2)*DB153*DE153*VLOOKUP('Données projet'!$B$13,Paramètres!$A$1:$I$89,3,0)*0.475*44/12</f>
        <v>1.4125852644873383E-17</v>
      </c>
      <c r="DI153" s="24">
        <f t="shared" si="123"/>
        <v>1.2146878567862496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752.99999999999977</v>
      </c>
      <c r="DP153" s="18">
        <f>DO153*VLOOKUP('Données projet'!$B$14,Paramètres!$A$1:$I$89,3,0)*VLOOKUP('Données projet'!$B$14,Paramètres!$A$1:$I$89,5,0)</f>
        <v>552.09959999999978</v>
      </c>
      <c r="DQ153" s="14">
        <f t="shared" si="151"/>
        <v>122.01091055125165</v>
      </c>
      <c r="DR153" s="22">
        <f t="shared" si="124"/>
        <v>1174.0758058767628</v>
      </c>
      <c r="DS153" s="62">
        <f t="shared" si="125"/>
        <v>1463.8233712369006</v>
      </c>
      <c r="DT153" s="62">
        <f ca="1">AVERAGE(OFFSET($DS$3,0,0,'Données projet'!$E$14+1,1))-AVERAGE(OFFSET($H$3,0,0,'Données projet'!$E$14+1,1))</f>
        <v>667.0152731006724</v>
      </c>
      <c r="DU153" s="62">
        <f t="shared" si="152"/>
        <v>567.40780872008088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0.83864715276524404</v>
      </c>
      <c r="EC153" s="23">
        <f>EXP(-LN(2)/2)*EC152+(1-EXP(-LN(2)/2))/(LN(2)/2)*DW153*DZ153*VLOOKUP('Données projet'!$B$14,Paramètres!$A$1:$I$89,3,0)*0.475*44/12</f>
        <v>1.2864176337070607E-17</v>
      </c>
      <c r="ED153" s="24">
        <f t="shared" si="126"/>
        <v>0.83864715276524404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454.99849419289757</v>
      </c>
      <c r="EP153" s="62">
        <f t="shared" si="154"/>
        <v>288.86643267991928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69.022063280037599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2.7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33.567300000000039</v>
      </c>
      <c r="D154" s="12">
        <f t="shared" si="140"/>
        <v>10.276655657077404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92.036142496114365</v>
      </c>
      <c r="H154" s="70">
        <f t="shared" si="110"/>
        <v>293.4282227694099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427.57091071251745</v>
      </c>
      <c r="T154" s="62">
        <f t="shared" si="142"/>
        <v>272.62827206514726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475.54515523869958</v>
      </c>
      <c r="AO154" s="62">
        <f t="shared" si="144"/>
        <v>301.02979240961452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0.35726619271683985</v>
      </c>
      <c r="AW154" s="23">
        <f>EXP(-LN(2)/2)*AW153+(1-EXP(-LN(2)/2))/(LN(2)/2)*AQ154*AT154*VLOOKUP('Données projet'!$B$10,Paramètres!$A$1:$I$89,3,0)*0.475*44/12</f>
        <v>1.0248061068535443E-17</v>
      </c>
      <c r="AX154" s="23">
        <f t="shared" ref="AX154:AX203" si="166">SUM(AU154:AW154)</f>
        <v>0.35726619271683985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6.3550942286383367E-14</v>
      </c>
      <c r="BF154" s="14">
        <f t="shared" ref="BF154:BF203" si="167">EXP(-1.0587+0.8836*LN(BE154)+0.284)</f>
        <v>1.0064464192543978E-12</v>
      </c>
      <c r="BG154" s="22">
        <f t="shared" ref="BG154:BG203" si="168">(BE154+BF154)*0.475*44/12</f>
        <v>1.8635787380168604E-12</v>
      </c>
      <c r="BH154" s="62">
        <f t="shared" si="116"/>
        <v>289.80977041789851</v>
      </c>
      <c r="BI154" s="62">
        <f ca="1">AVERAGE(OFFSET($BH$3,0,0,'Données projet'!$E$11+1,1))-AVERAGE(OFFSET($H$3,0,0,'Données projet'!$E$11+1,1))</f>
        <v>381.71417599784968</v>
      </c>
      <c r="BJ154" s="62">
        <f t="shared" si="146"/>
        <v>350.49230135197979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2.9430068482909952</v>
      </c>
      <c r="BQ154" s="23">
        <f>EXP(-LN(2)/25)*BQ153+(1-EXP(-LN(2)/25))/(LN(2)/25)*Calculateur!BL154*Calculateur!BN154*VLOOKUP('Données projet'!$B$11,Paramètres!$A$1:$I$89,3,0)*0.475*44/12</f>
        <v>0.98136131380532332</v>
      </c>
      <c r="BR154" s="23">
        <f>EXP(-LN(2)/2)*BR153+(1-EXP(-LN(2)/2))/(LN(2)/2)*BL154*BO154*VLOOKUP('Données projet'!$B$11,Paramètres!$A$1:$I$89,3,0)*0.475*44/12</f>
        <v>4.2558353899211532E-17</v>
      </c>
      <c r="BS154" s="24">
        <f t="shared" ref="BS154:BS203" si="169">SUM(BP154:BR154)</f>
        <v>3.9243681620963184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3.1036506698001178E-14</v>
      </c>
      <c r="CA154" s="14">
        <f t="shared" ref="CA154:CA203" si="170">EXP(-1.0587+0.8836*LN(BZ154)+0.284)</f>
        <v>5.3428243983771088E-13</v>
      </c>
      <c r="CB154" s="22">
        <f t="shared" ref="CB154:CB203" si="171">(BZ154+CA154)*0.475*44/12</f>
        <v>9.8459716521636505E-13</v>
      </c>
      <c r="CC154" s="62">
        <f t="shared" si="119"/>
        <v>289.8097704178976</v>
      </c>
      <c r="CD154" s="62">
        <f ca="1">AVERAGE(OFFSET($CC$3,0,0,'Données projet'!$E$12+1,1))-AVERAGE(OFFSET($H$3,0,0,'Données projet'!$E$12+1,1))</f>
        <v>202.72043399839748</v>
      </c>
      <c r="CE154" s="62">
        <f t="shared" si="148"/>
        <v>295.50255983395789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0.2040363194695424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0.2040363194695424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4.9658410716801891E-14</v>
      </c>
      <c r="CV154" s="14">
        <f t="shared" ref="CV154:CV203" si="173">EXP(-1.0587+0.8836*LN(CU154)+0.284)</f>
        <v>8.0934058173791862E-13</v>
      </c>
      <c r="CW154" s="22">
        <f t="shared" ref="CW154:CW203" si="174">(CU154+CV154)*0.475*44/12</f>
        <v>1.4960899118586383E-12</v>
      </c>
      <c r="CX154" s="62">
        <f t="shared" si="122"/>
        <v>289.80977041789811</v>
      </c>
      <c r="CY154" s="62">
        <f ca="1">AVERAGE(OFFSET($CX$3,0,0,'Données projet'!$E$13+1,1))-AVERAGE(OFFSET($H$3,0,0,'Données projet'!$E$13+1,1))</f>
        <v>297.56177871222496</v>
      </c>
      <c r="CZ154" s="62">
        <f t="shared" si="150"/>
        <v>421.5717731815397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1.1814721534647714</v>
      </c>
      <c r="DH154" s="23">
        <f>EXP(-LN(2)/2)*DH153+(1-EXP(-LN(2)/2))/(LN(2)/2)*DB154*DE154*VLOOKUP('Données projet'!$B$13,Paramètres!$A$1:$I$89,3,0)*0.475*44/12</f>
        <v>9.988486195231897E-18</v>
      </c>
      <c r="DI154" s="24">
        <f t="shared" ref="DI154:DI203" si="175">SUM(DF154:DH154)</f>
        <v>1.1814721534647714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752.99999999999977</v>
      </c>
      <c r="DP154" s="18">
        <f>DO154*VLOOKUP('Données projet'!$B$14,Paramètres!$A$1:$I$89,3,0)*VLOOKUP('Données projet'!$B$14,Paramètres!$A$1:$I$89,5,0)</f>
        <v>552.09959999999978</v>
      </c>
      <c r="DQ154" s="14">
        <f t="shared" ref="DQ154:DQ203" si="176">EXP(-1.0587+0.8836*LN(DP154)+0.284)</f>
        <v>122.01091055125165</v>
      </c>
      <c r="DR154" s="22">
        <f t="shared" ref="DR154:DR203" si="177">(DP154+DQ154)*0.475*44/12</f>
        <v>1174.0758058767628</v>
      </c>
      <c r="DS154" s="62">
        <f t="shared" si="125"/>
        <v>1463.8855762946596</v>
      </c>
      <c r="DT154" s="62">
        <f ca="1">AVERAGE(OFFSET($DS$3,0,0,'Données projet'!$E$14+1,1))-AVERAGE(OFFSET($H$3,0,0,'Données projet'!$E$14+1,1))</f>
        <v>667.0152731006724</v>
      </c>
      <c r="DU154" s="62">
        <f t="shared" si="152"/>
        <v>567.40780872008088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0.81571430227034147</v>
      </c>
      <c r="EC154" s="23">
        <f>EXP(-LN(2)/2)*EC153+(1-EXP(-LN(2)/2))/(LN(2)/2)*DW154*DZ154*VLOOKUP('Données projet'!$B$14,Paramètres!$A$1:$I$89,3,0)*0.475*44/12</f>
        <v>9.0963463223221477E-18</v>
      </c>
      <c r="ED154" s="24">
        <f t="shared" ref="ED154:ED203" si="178">SUM(EA154:EC154)</f>
        <v>0.81571430227034147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454.99849419289757</v>
      </c>
      <c r="EP154" s="62">
        <f t="shared" si="154"/>
        <v>288.86643267991928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69.03902829578999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2.7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33.789600000000036</v>
      </c>
      <c r="D155" s="12">
        <f t="shared" si="140"/>
        <v>10.336767985889509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92.581148744699135</v>
      </c>
      <c r="H155" s="70">
        <f t="shared" si="110"/>
        <v>293.92009090875763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427.57091071251745</v>
      </c>
      <c r="T155" s="62">
        <f t="shared" si="142"/>
        <v>272.62827206514726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475.54515523869958</v>
      </c>
      <c r="AO155" s="62">
        <f t="shared" si="144"/>
        <v>301.02979240961452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0.34749672988918534</v>
      </c>
      <c r="AW155" s="23">
        <f>EXP(-LN(2)/2)*AW154+(1-EXP(-LN(2)/2))/(LN(2)/2)*AQ155*AT155*VLOOKUP('Données projet'!$B$10,Paramètres!$A$1:$I$89,3,0)*0.475*44/12</f>
        <v>7.2464734755752676E-18</v>
      </c>
      <c r="AX155" s="23">
        <f t="shared" si="166"/>
        <v>0.34749672988918534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6.3550942286383367E-14</v>
      </c>
      <c r="BF155" s="14">
        <f t="shared" si="167"/>
        <v>1.0064464192543978E-12</v>
      </c>
      <c r="BG155" s="22">
        <f t="shared" si="168"/>
        <v>1.8635787380168604E-12</v>
      </c>
      <c r="BH155" s="62">
        <f t="shared" si="116"/>
        <v>289.87089635697475</v>
      </c>
      <c r="BI155" s="62">
        <f ca="1">AVERAGE(OFFSET($BH$3,0,0,'Données projet'!$E$11+1,1))-AVERAGE(OFFSET($H$3,0,0,'Données projet'!$E$11+1,1))</f>
        <v>381.71417599784968</v>
      </c>
      <c r="BJ155" s="62">
        <f t="shared" si="146"/>
        <v>350.49230135197979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2.8852962790529393</v>
      </c>
      <c r="BQ155" s="23">
        <f>EXP(-LN(2)/25)*BQ154+(1-EXP(-LN(2)/25))/(LN(2)/25)*Calculateur!BL155*Calculateur!BN155*VLOOKUP('Données projet'!$B$11,Paramètres!$A$1:$I$89,3,0)*0.475*44/12</f>
        <v>0.95452593707176814</v>
      </c>
      <c r="BR155" s="23">
        <f>EXP(-LN(2)/2)*BR154+(1-EXP(-LN(2)/2))/(LN(2)/2)*BL155*BO155*VLOOKUP('Données projet'!$B$11,Paramètres!$A$1:$I$89,3,0)*0.475*44/12</f>
        <v>3.009330063826942E-17</v>
      </c>
      <c r="BS155" s="24">
        <f t="shared" si="169"/>
        <v>3.8398222161247073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3.1036506698001178E-14</v>
      </c>
      <c r="CA155" s="14">
        <f t="shared" si="170"/>
        <v>5.3428243983771088E-13</v>
      </c>
      <c r="CB155" s="22">
        <f t="shared" si="171"/>
        <v>9.8459716521636505E-13</v>
      </c>
      <c r="CC155" s="62">
        <f t="shared" si="119"/>
        <v>289.87089635697384</v>
      </c>
      <c r="CD155" s="62">
        <f ca="1">AVERAGE(OFFSET($CC$3,0,0,'Données projet'!$E$12+1,1))-AVERAGE(OFFSET($H$3,0,0,'Données projet'!$E$12+1,1))</f>
        <v>202.72043399839748</v>
      </c>
      <c r="CE155" s="62">
        <f t="shared" si="148"/>
        <v>295.50255983395789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0.19845693558384406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0.19845693558384406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4.9658410716801891E-14</v>
      </c>
      <c r="CV155" s="14">
        <f t="shared" si="173"/>
        <v>8.0934058173791862E-13</v>
      </c>
      <c r="CW155" s="22">
        <f t="shared" si="174"/>
        <v>1.4960899118586383E-12</v>
      </c>
      <c r="CX155" s="62">
        <f t="shared" si="122"/>
        <v>289.87089635697436</v>
      </c>
      <c r="CY155" s="62">
        <f ca="1">AVERAGE(OFFSET($CX$3,0,0,'Données projet'!$E$13+1,1))-AVERAGE(OFFSET($H$3,0,0,'Données projet'!$E$13+1,1))</f>
        <v>297.56177871222496</v>
      </c>
      <c r="CZ155" s="62">
        <f t="shared" si="150"/>
        <v>421.5717731815397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1.1491647352973571</v>
      </c>
      <c r="DH155" s="23">
        <f>EXP(-LN(2)/2)*DH154+(1-EXP(-LN(2)/2))/(LN(2)/2)*DB155*DE155*VLOOKUP('Données projet'!$B$13,Paramètres!$A$1:$I$89,3,0)*0.475*44/12</f>
        <v>7.0629263224366914E-18</v>
      </c>
      <c r="DI155" s="24">
        <f t="shared" si="175"/>
        <v>1.1491647352973571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752.99999999999977</v>
      </c>
      <c r="DP155" s="18">
        <f>DO155*VLOOKUP('Données projet'!$B$14,Paramètres!$A$1:$I$89,3,0)*VLOOKUP('Données projet'!$B$14,Paramètres!$A$1:$I$89,5,0)</f>
        <v>552.09959999999978</v>
      </c>
      <c r="DQ155" s="14">
        <f t="shared" si="176"/>
        <v>122.01091055125165</v>
      </c>
      <c r="DR155" s="22">
        <f t="shared" si="177"/>
        <v>1174.0758058767628</v>
      </c>
      <c r="DS155" s="62">
        <f t="shared" si="125"/>
        <v>1463.9467022337358</v>
      </c>
      <c r="DT155" s="62">
        <f ca="1">AVERAGE(OFFSET($DS$3,0,0,'Données projet'!$E$14+1,1))-AVERAGE(OFFSET($H$3,0,0,'Données projet'!$E$14+1,1))</f>
        <v>667.0152731006724</v>
      </c>
      <c r="DU155" s="62">
        <f t="shared" si="152"/>
        <v>567.40780872008088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0.79340855177820813</v>
      </c>
      <c r="EC155" s="23">
        <f>EXP(-LN(2)/2)*EC154+(1-EXP(-LN(2)/2))/(LN(2)/2)*DW155*DZ155*VLOOKUP('Données projet'!$B$14,Paramètres!$A$1:$I$89,3,0)*0.475*44/12</f>
        <v>6.4320881685353033E-18</v>
      </c>
      <c r="ED155" s="24">
        <f t="shared" si="178"/>
        <v>0.79340855177820813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454.99849419289757</v>
      </c>
      <c r="EP155" s="62">
        <f t="shared" si="154"/>
        <v>288.86643267991928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69.055699006447156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2.7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34.011900000000033</v>
      </c>
      <c r="D156" s="12">
        <f t="shared" si="140"/>
        <v>10.396834298583283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93.12606619024848</v>
      </c>
      <c r="H156" s="70">
        <f t="shared" si="110"/>
        <v>294.41187890336596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427.57091071251745</v>
      </c>
      <c r="T156" s="62">
        <f t="shared" si="142"/>
        <v>272.62827206514726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475.54515523869958</v>
      </c>
      <c r="AO156" s="62">
        <f t="shared" si="144"/>
        <v>301.02979240961452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0.33799441353630677</v>
      </c>
      <c r="AW156" s="23">
        <f>EXP(-LN(2)/2)*AW155+(1-EXP(-LN(2)/2))/(LN(2)/2)*AQ156*AT156*VLOOKUP('Données projet'!$B$10,Paramètres!$A$1:$I$89,3,0)*0.475*44/12</f>
        <v>5.1240305342677214E-18</v>
      </c>
      <c r="AX156" s="23">
        <f t="shared" si="166"/>
        <v>0.33799441353630677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6.3550942286383367E-14</v>
      </c>
      <c r="BF156" s="14">
        <f t="shared" si="167"/>
        <v>1.0064464192543978E-12</v>
      </c>
      <c r="BG156" s="22">
        <f t="shared" si="168"/>
        <v>1.8635787380168604E-12</v>
      </c>
      <c r="BH156" s="62">
        <f t="shared" si="116"/>
        <v>289.93096189766521</v>
      </c>
      <c r="BI156" s="62">
        <f ca="1">AVERAGE(OFFSET($BH$3,0,0,'Données projet'!$E$11+1,1))-AVERAGE(OFFSET($H$3,0,0,'Données projet'!$E$11+1,1))</f>
        <v>381.71417599784968</v>
      </c>
      <c r="BJ156" s="62">
        <f t="shared" si="146"/>
        <v>350.49230135197979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2.8287173788776698</v>
      </c>
      <c r="BQ156" s="23">
        <f>EXP(-LN(2)/25)*BQ155+(1-EXP(-LN(2)/25))/(LN(2)/25)*Calculateur!BL156*Calculateur!BN156*VLOOKUP('Données projet'!$B$11,Paramètres!$A$1:$I$89,3,0)*0.475*44/12</f>
        <v>0.92842437512620324</v>
      </c>
      <c r="BR156" s="23">
        <f>EXP(-LN(2)/2)*BR155+(1-EXP(-LN(2)/2))/(LN(2)/2)*BL156*BO156*VLOOKUP('Données projet'!$B$11,Paramètres!$A$1:$I$89,3,0)*0.475*44/12</f>
        <v>2.1279176949605766E-17</v>
      </c>
      <c r="BS156" s="24">
        <f t="shared" si="169"/>
        <v>3.757141754003873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3.1036506698001178E-14</v>
      </c>
      <c r="CA156" s="14">
        <f t="shared" si="170"/>
        <v>5.3428243983771088E-13</v>
      </c>
      <c r="CB156" s="22">
        <f t="shared" si="171"/>
        <v>9.8459716521636505E-13</v>
      </c>
      <c r="CC156" s="62">
        <f t="shared" si="119"/>
        <v>289.9309618976643</v>
      </c>
      <c r="CD156" s="62">
        <f ca="1">AVERAGE(OFFSET($CC$3,0,0,'Données projet'!$E$12+1,1))-AVERAGE(OFFSET($H$3,0,0,'Données projet'!$E$12+1,1))</f>
        <v>202.72043399839748</v>
      </c>
      <c r="CE156" s="62">
        <f t="shared" si="148"/>
        <v>295.50255983395789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0.19303012024390717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0.19303012024390717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4.9658410716801891E-14</v>
      </c>
      <c r="CV156" s="14">
        <f t="shared" si="173"/>
        <v>8.0934058173791862E-13</v>
      </c>
      <c r="CW156" s="22">
        <f t="shared" si="174"/>
        <v>1.4960899118586383E-12</v>
      </c>
      <c r="CX156" s="62">
        <f t="shared" si="122"/>
        <v>289.93096189766482</v>
      </c>
      <c r="CY156" s="62">
        <f ca="1">AVERAGE(OFFSET($CX$3,0,0,'Données projet'!$E$13+1,1))-AVERAGE(OFFSET($H$3,0,0,'Données projet'!$E$13+1,1))</f>
        <v>297.56177871222496</v>
      </c>
      <c r="CZ156" s="62">
        <f t="shared" si="150"/>
        <v>421.5717731815397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1.1177407651787039</v>
      </c>
      <c r="DH156" s="23">
        <f>EXP(-LN(2)/2)*DH155+(1-EXP(-LN(2)/2))/(LN(2)/2)*DB156*DE156*VLOOKUP('Données projet'!$B$13,Paramètres!$A$1:$I$89,3,0)*0.475*44/12</f>
        <v>4.9942430976159485E-18</v>
      </c>
      <c r="DI156" s="24">
        <f t="shared" si="175"/>
        <v>1.1177407651787039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752.99999999999977</v>
      </c>
      <c r="DP156" s="18">
        <f>DO156*VLOOKUP('Données projet'!$B$14,Paramètres!$A$1:$I$89,3,0)*VLOOKUP('Données projet'!$B$14,Paramètres!$A$1:$I$89,5,0)</f>
        <v>552.09959999999978</v>
      </c>
      <c r="DQ156" s="14">
        <f t="shared" si="176"/>
        <v>122.01091055125165</v>
      </c>
      <c r="DR156" s="22">
        <f t="shared" si="177"/>
        <v>1174.0758058767628</v>
      </c>
      <c r="DS156" s="62">
        <f t="shared" si="125"/>
        <v>1464.0067677744262</v>
      </c>
      <c r="DT156" s="62">
        <f ca="1">AVERAGE(OFFSET($DS$3,0,0,'Données projet'!$E$14+1,1))-AVERAGE(OFFSET($H$3,0,0,'Données projet'!$E$14+1,1))</f>
        <v>667.0152731006724</v>
      </c>
      <c r="DU156" s="62">
        <f t="shared" si="152"/>
        <v>567.40780872008088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0.77171275320629062</v>
      </c>
      <c r="EC156" s="23">
        <f>EXP(-LN(2)/2)*EC155+(1-EXP(-LN(2)/2))/(LN(2)/2)*DW156*DZ156*VLOOKUP('Données projet'!$B$14,Paramètres!$A$1:$I$89,3,0)*0.475*44/12</f>
        <v>4.5481731611610738E-18</v>
      </c>
      <c r="ED156" s="24">
        <f t="shared" si="178"/>
        <v>0.77171275320629062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454.99849419289757</v>
      </c>
      <c r="EP156" s="62">
        <f t="shared" si="154"/>
        <v>288.86643267991928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69.072080517544549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2.7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34.23420000000003</v>
      </c>
      <c r="D157" s="12">
        <f t="shared" si="140"/>
        <v>10.456854930803102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93.670895480497279</v>
      </c>
      <c r="H157" s="70">
        <f t="shared" si="110"/>
        <v>294.90358733781545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427.57091071251745</v>
      </c>
      <c r="T157" s="62">
        <f t="shared" si="142"/>
        <v>272.62827206514726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475.54515523869958</v>
      </c>
      <c r="AO157" s="62">
        <f t="shared" si="144"/>
        <v>301.02979240961452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0.32875193852380274</v>
      </c>
      <c r="AW157" s="23">
        <f>EXP(-LN(2)/2)*AW156+(1-EXP(-LN(2)/2))/(LN(2)/2)*AQ157*AT157*VLOOKUP('Données projet'!$B$10,Paramètres!$A$1:$I$89,3,0)*0.475*44/12</f>
        <v>3.6232367377876338E-18</v>
      </c>
      <c r="AX157" s="23">
        <f t="shared" si="166"/>
        <v>0.32875193852380274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6.3550942286383367E-14</v>
      </c>
      <c r="BF157" s="14">
        <f t="shared" si="167"/>
        <v>1.0064464192543978E-12</v>
      </c>
      <c r="BG157" s="22">
        <f t="shared" si="168"/>
        <v>1.8635787380168604E-12</v>
      </c>
      <c r="BH157" s="62">
        <f t="shared" si="116"/>
        <v>289.98998543551113</v>
      </c>
      <c r="BI157" s="62">
        <f ca="1">AVERAGE(OFFSET($BH$3,0,0,'Données projet'!$E$11+1,1))-AVERAGE(OFFSET($H$3,0,0,'Données projet'!$E$11+1,1))</f>
        <v>381.71417599784968</v>
      </c>
      <c r="BJ157" s="62">
        <f t="shared" si="146"/>
        <v>350.49230135197979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2.773247956425116</v>
      </c>
      <c r="BQ157" s="23">
        <f>EXP(-LN(2)/25)*BQ156+(1-EXP(-LN(2)/25))/(LN(2)/25)*Calculateur!BL157*Calculateur!BN157*VLOOKUP('Données projet'!$B$11,Paramètres!$A$1:$I$89,3,0)*0.475*44/12</f>
        <v>0.90303656176466129</v>
      </c>
      <c r="BR157" s="23">
        <f>EXP(-LN(2)/2)*BR156+(1-EXP(-LN(2)/2))/(LN(2)/2)*BL157*BO157*VLOOKUP('Données projet'!$B$11,Paramètres!$A$1:$I$89,3,0)*0.475*44/12</f>
        <v>1.504665031913471E-17</v>
      </c>
      <c r="BS157" s="24">
        <f t="shared" si="169"/>
        <v>3.6762845181897772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3.1036506698001178E-14</v>
      </c>
      <c r="CA157" s="14">
        <f t="shared" si="170"/>
        <v>5.3428243983771088E-13</v>
      </c>
      <c r="CB157" s="22">
        <f t="shared" si="171"/>
        <v>9.8459716521636505E-13</v>
      </c>
      <c r="CC157" s="62">
        <f t="shared" si="119"/>
        <v>289.98998543551022</v>
      </c>
      <c r="CD157" s="62">
        <f ca="1">AVERAGE(OFFSET($CC$3,0,0,'Données projet'!$E$12+1,1))-AVERAGE(OFFSET($H$3,0,0,'Données projet'!$E$12+1,1))</f>
        <v>202.72043399839748</v>
      </c>
      <c r="CE157" s="62">
        <f t="shared" si="148"/>
        <v>295.50255983395789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0.18775170145482467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0.18775170145482467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4.9658410716801891E-14</v>
      </c>
      <c r="CV157" s="14">
        <f t="shared" si="173"/>
        <v>8.0934058173791862E-13</v>
      </c>
      <c r="CW157" s="22">
        <f t="shared" si="174"/>
        <v>1.4960899118586383E-12</v>
      </c>
      <c r="CX157" s="62">
        <f t="shared" si="122"/>
        <v>289.98998543551073</v>
      </c>
      <c r="CY157" s="62">
        <f ca="1">AVERAGE(OFFSET($CX$3,0,0,'Données projet'!$E$13+1,1))-AVERAGE(OFFSET($H$3,0,0,'Données projet'!$E$13+1,1))</f>
        <v>297.56177871222496</v>
      </c>
      <c r="CZ157" s="62">
        <f t="shared" si="150"/>
        <v>421.5717731815397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1.0871760851754599</v>
      </c>
      <c r="DH157" s="23">
        <f>EXP(-LN(2)/2)*DH156+(1-EXP(-LN(2)/2))/(LN(2)/2)*DB157*DE157*VLOOKUP('Données projet'!$B$13,Paramètres!$A$1:$I$89,3,0)*0.475*44/12</f>
        <v>3.5314631612183457E-18</v>
      </c>
      <c r="DI157" s="24">
        <f t="shared" si="175"/>
        <v>1.0871760851754599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752.99999999999977</v>
      </c>
      <c r="DP157" s="18">
        <f>DO157*VLOOKUP('Données projet'!$B$14,Paramètres!$A$1:$I$89,3,0)*VLOOKUP('Données projet'!$B$14,Paramètres!$A$1:$I$89,5,0)</f>
        <v>552.09959999999978</v>
      </c>
      <c r="DQ157" s="14">
        <f t="shared" si="176"/>
        <v>122.01091055125165</v>
      </c>
      <c r="DR157" s="22">
        <f t="shared" si="177"/>
        <v>1174.0758058767628</v>
      </c>
      <c r="DS157" s="62">
        <f t="shared" si="125"/>
        <v>1464.065791312272</v>
      </c>
      <c r="DT157" s="62">
        <f ca="1">AVERAGE(OFFSET($DS$3,0,0,'Données projet'!$E$14+1,1))-AVERAGE(OFFSET($H$3,0,0,'Données projet'!$E$14+1,1))</f>
        <v>667.0152731006724</v>
      </c>
      <c r="DU157" s="62">
        <f t="shared" si="152"/>
        <v>567.40780872008088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0.75061022738725469</v>
      </c>
      <c r="EC157" s="23">
        <f>EXP(-LN(2)/2)*EC156+(1-EXP(-LN(2)/2))/(LN(2)/2)*DW157*DZ157*VLOOKUP('Données projet'!$B$14,Paramètres!$A$1:$I$89,3,0)*0.475*44/12</f>
        <v>3.2160440842676516E-18</v>
      </c>
      <c r="ED157" s="24">
        <f t="shared" si="178"/>
        <v>0.75061022738725469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454.99849419289757</v>
      </c>
      <c r="EP157" s="62">
        <f t="shared" si="154"/>
        <v>288.86643267991928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69.088177846047969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2.7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34.456500000000027</v>
      </c>
      <c r="D158" s="12">
        <f t="shared" si="140"/>
        <v>10.516830213582292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94.21563725428166</v>
      </c>
      <c r="H158" s="70">
        <f t="shared" si="110"/>
        <v>295.39521678865589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427.57091071251745</v>
      </c>
      <c r="T158" s="62">
        <f t="shared" si="142"/>
        <v>272.62827206514726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475.54515523869958</v>
      </c>
      <c r="AO158" s="62">
        <f t="shared" si="144"/>
        <v>301.02979240961452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0.31976219947655626</v>
      </c>
      <c r="AW158" s="23">
        <f>EXP(-LN(2)/2)*AW157+(1-EXP(-LN(2)/2))/(LN(2)/2)*AQ158*AT158*VLOOKUP('Données projet'!$B$10,Paramètres!$A$1:$I$89,3,0)*0.475*44/12</f>
        <v>2.5620152671338607E-18</v>
      </c>
      <c r="AX158" s="23">
        <f t="shared" si="166"/>
        <v>0.31976219947655626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6.3550942286383367E-14</v>
      </c>
      <c r="BF158" s="14">
        <f t="shared" si="167"/>
        <v>1.0064464192543978E-12</v>
      </c>
      <c r="BG158" s="22">
        <f t="shared" si="168"/>
        <v>1.8635787380168604E-12</v>
      </c>
      <c r="BH158" s="62">
        <f t="shared" si="116"/>
        <v>290.04798504693218</v>
      </c>
      <c r="BI158" s="62">
        <f ca="1">AVERAGE(OFFSET($BH$3,0,0,'Données projet'!$E$11+1,1))-AVERAGE(OFFSET($H$3,0,0,'Données projet'!$E$11+1,1))</f>
        <v>381.71417599784968</v>
      </c>
      <c r="BJ158" s="62">
        <f t="shared" si="146"/>
        <v>350.49230135197979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2.7188662555138499</v>
      </c>
      <c r="BQ158" s="23">
        <f>EXP(-LN(2)/25)*BQ157+(1-EXP(-LN(2)/25))/(LN(2)/25)*Calculateur!BL158*Calculateur!BN158*VLOOKUP('Données projet'!$B$11,Paramètres!$A$1:$I$89,3,0)*0.475*44/12</f>
        <v>0.87834297949457774</v>
      </c>
      <c r="BR158" s="23">
        <f>EXP(-LN(2)/2)*BR157+(1-EXP(-LN(2)/2))/(LN(2)/2)*BL158*BO158*VLOOKUP('Données projet'!$B$11,Paramètres!$A$1:$I$89,3,0)*0.475*44/12</f>
        <v>1.0639588474802883E-17</v>
      </c>
      <c r="BS158" s="24">
        <f t="shared" si="169"/>
        <v>3.5972092350084277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3.1036506698001178E-14</v>
      </c>
      <c r="CA158" s="14">
        <f t="shared" si="170"/>
        <v>5.3428243983771088E-13</v>
      </c>
      <c r="CB158" s="22">
        <f t="shared" si="171"/>
        <v>9.8459716521636505E-13</v>
      </c>
      <c r="CC158" s="62">
        <f t="shared" si="119"/>
        <v>290.04798504693127</v>
      </c>
      <c r="CD158" s="62">
        <f ca="1">AVERAGE(OFFSET($CC$3,0,0,'Données projet'!$E$12+1,1))-AVERAGE(OFFSET($H$3,0,0,'Données projet'!$E$12+1,1))</f>
        <v>202.72043399839748</v>
      </c>
      <c r="CE158" s="62">
        <f t="shared" si="148"/>
        <v>295.50255983395789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0.18261762130510961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0.18261762130510961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4.9658410716801891E-14</v>
      </c>
      <c r="CV158" s="14">
        <f t="shared" si="173"/>
        <v>8.0934058173791862E-13</v>
      </c>
      <c r="CW158" s="22">
        <f t="shared" si="174"/>
        <v>1.4960899118586383E-12</v>
      </c>
      <c r="CX158" s="62">
        <f t="shared" si="122"/>
        <v>290.04798504693179</v>
      </c>
      <c r="CY158" s="62">
        <f ca="1">AVERAGE(OFFSET($CX$3,0,0,'Données projet'!$E$13+1,1))-AVERAGE(OFFSET($H$3,0,0,'Données projet'!$E$13+1,1))</f>
        <v>297.56177871222496</v>
      </c>
      <c r="CZ158" s="62">
        <f t="shared" si="150"/>
        <v>421.5717731815397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1.0574471979542315</v>
      </c>
      <c r="DH158" s="23">
        <f>EXP(-LN(2)/2)*DH157+(1-EXP(-LN(2)/2))/(LN(2)/2)*DB158*DE158*VLOOKUP('Données projet'!$B$13,Paramètres!$A$1:$I$89,3,0)*0.475*44/12</f>
        <v>2.4971215488079743E-18</v>
      </c>
      <c r="DI158" s="24">
        <f t="shared" si="175"/>
        <v>1.0574471979542315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752.99999999999977</v>
      </c>
      <c r="DP158" s="18">
        <f>DO158*VLOOKUP('Données projet'!$B$14,Paramètres!$A$1:$I$89,3,0)*VLOOKUP('Données projet'!$B$14,Paramètres!$A$1:$I$89,5,0)</f>
        <v>552.09959999999978</v>
      </c>
      <c r="DQ158" s="14">
        <f t="shared" si="176"/>
        <v>122.01091055125165</v>
      </c>
      <c r="DR158" s="22">
        <f t="shared" si="177"/>
        <v>1174.0758058767628</v>
      </c>
      <c r="DS158" s="62">
        <f t="shared" si="125"/>
        <v>1464.1237909236932</v>
      </c>
      <c r="DT158" s="62">
        <f ca="1">AVERAGE(OFFSET($DS$3,0,0,'Données projet'!$E$14+1,1))-AVERAGE(OFFSET($H$3,0,0,'Données projet'!$E$14+1,1))</f>
        <v>667.0152731006724</v>
      </c>
      <c r="DU158" s="62">
        <f t="shared" si="152"/>
        <v>567.40780872008088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0.73008475124647387</v>
      </c>
      <c r="EC158" s="23">
        <f>EXP(-LN(2)/2)*EC157+(1-EXP(-LN(2)/2))/(LN(2)/2)*DW158*DZ158*VLOOKUP('Données projet'!$B$14,Paramètres!$A$1:$I$89,3,0)*0.475*44/12</f>
        <v>2.2740865805805369E-18</v>
      </c>
      <c r="ED158" s="24">
        <f t="shared" si="178"/>
        <v>0.73008475124647387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454.99849419289757</v>
      </c>
      <c r="EP158" s="62">
        <f t="shared" si="154"/>
        <v>288.86643267991928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69.103995921890089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2.7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34.678800000000024</v>
      </c>
      <c r="D159" s="12">
        <f t="shared" si="140"/>
        <v>10.576760473435787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94.760292141718224</v>
      </c>
      <c r="H159" s="70">
        <f t="shared" si="110"/>
        <v>295.88676782456741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427.57091071251745</v>
      </c>
      <c r="T159" s="62">
        <f t="shared" si="142"/>
        <v>272.62827206514726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475.54515523869958</v>
      </c>
      <c r="AO159" s="62">
        <f t="shared" si="144"/>
        <v>301.02979240961452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0.3110182853163066</v>
      </c>
      <c r="AW159" s="23">
        <f>EXP(-LN(2)/2)*AW158+(1-EXP(-LN(2)/2))/(LN(2)/2)*AQ159*AT159*VLOOKUP('Données projet'!$B$10,Paramètres!$A$1:$I$89,3,0)*0.475*44/12</f>
        <v>1.8116183688938169E-18</v>
      </c>
      <c r="AX159" s="23">
        <f t="shared" si="166"/>
        <v>0.3110182853163066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6.3550942286383367E-14</v>
      </c>
      <c r="BF159" s="14">
        <f t="shared" si="167"/>
        <v>1.0064464192543978E-12</v>
      </c>
      <c r="BG159" s="22">
        <f t="shared" si="168"/>
        <v>1.8635787380168604E-12</v>
      </c>
      <c r="BH159" s="62">
        <f t="shared" si="116"/>
        <v>290.10497849476286</v>
      </c>
      <c r="BI159" s="62">
        <f ca="1">AVERAGE(OFFSET($BH$3,0,0,'Données projet'!$E$11+1,1))-AVERAGE(OFFSET($H$3,0,0,'Données projet'!$E$11+1,1))</f>
        <v>381.71417599784968</v>
      </c>
      <c r="BJ159" s="62">
        <f t="shared" si="146"/>
        <v>350.49230135197979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2.6655509465878913</v>
      </c>
      <c r="BQ159" s="23">
        <f>EXP(-LN(2)/25)*BQ158+(1-EXP(-LN(2)/25))/(LN(2)/25)*Calculateur!BL159*Calculateur!BN159*VLOOKUP('Données projet'!$B$11,Paramètres!$A$1:$I$89,3,0)*0.475*44/12</f>
        <v>0.8543246445302487</v>
      </c>
      <c r="BR159" s="23">
        <f>EXP(-LN(2)/2)*BR158+(1-EXP(-LN(2)/2))/(LN(2)/2)*BL159*BO159*VLOOKUP('Données projet'!$B$11,Paramètres!$A$1:$I$89,3,0)*0.475*44/12</f>
        <v>7.523325159567355E-18</v>
      </c>
      <c r="BS159" s="24">
        <f t="shared" si="169"/>
        <v>3.5198755911181401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3.1036506698001178E-14</v>
      </c>
      <c r="CA159" s="14">
        <f t="shared" si="170"/>
        <v>5.3428243983771088E-13</v>
      </c>
      <c r="CB159" s="22">
        <f t="shared" si="171"/>
        <v>9.8459716521636505E-13</v>
      </c>
      <c r="CC159" s="62">
        <f t="shared" si="119"/>
        <v>290.10497849476195</v>
      </c>
      <c r="CD159" s="62">
        <f ca="1">AVERAGE(OFFSET($CC$3,0,0,'Données projet'!$E$12+1,1))-AVERAGE(OFFSET($H$3,0,0,'Données projet'!$E$12+1,1))</f>
        <v>202.72043399839748</v>
      </c>
      <c r="CE159" s="62">
        <f t="shared" si="148"/>
        <v>295.50255983395789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0.17762393284707806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0.17762393284707806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4.9658410716801891E-14</v>
      </c>
      <c r="CV159" s="14">
        <f t="shared" si="173"/>
        <v>8.0934058173791862E-13</v>
      </c>
      <c r="CW159" s="22">
        <f t="shared" si="174"/>
        <v>1.4960899118586383E-12</v>
      </c>
      <c r="CX159" s="62">
        <f t="shared" si="122"/>
        <v>290.10497849476246</v>
      </c>
      <c r="CY159" s="62">
        <f ca="1">AVERAGE(OFFSET($CX$3,0,0,'Données projet'!$E$13+1,1))-AVERAGE(OFFSET($H$3,0,0,'Données projet'!$E$13+1,1))</f>
        <v>297.56177871222496</v>
      </c>
      <c r="CZ159" s="62">
        <f t="shared" si="150"/>
        <v>421.5717731815397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1.0285312487174416</v>
      </c>
      <c r="DH159" s="23">
        <f>EXP(-LN(2)/2)*DH158+(1-EXP(-LN(2)/2))/(LN(2)/2)*DB159*DE159*VLOOKUP('Données projet'!$B$13,Paramètres!$A$1:$I$89,3,0)*0.475*44/12</f>
        <v>1.7657315806091729E-18</v>
      </c>
      <c r="DI159" s="24">
        <f t="shared" si="175"/>
        <v>1.0285312487174416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752.99999999999977</v>
      </c>
      <c r="DP159" s="18">
        <f>DO159*VLOOKUP('Données projet'!$B$14,Paramètres!$A$1:$I$89,3,0)*VLOOKUP('Données projet'!$B$14,Paramètres!$A$1:$I$89,5,0)</f>
        <v>552.09959999999978</v>
      </c>
      <c r="DQ159" s="14">
        <f t="shared" si="176"/>
        <v>122.01091055125165</v>
      </c>
      <c r="DR159" s="22">
        <f t="shared" si="177"/>
        <v>1174.0758058767628</v>
      </c>
      <c r="DS159" s="62">
        <f t="shared" si="125"/>
        <v>1464.1807843715237</v>
      </c>
      <c r="DT159" s="62">
        <f ca="1">AVERAGE(OFFSET($DS$3,0,0,'Données projet'!$E$14+1,1))-AVERAGE(OFFSET($H$3,0,0,'Données projet'!$E$14+1,1))</f>
        <v>667.0152731006724</v>
      </c>
      <c r="DU159" s="62">
        <f t="shared" si="152"/>
        <v>567.40780872008088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0.71012054533015057</v>
      </c>
      <c r="EC159" s="23">
        <f>EXP(-LN(2)/2)*EC158+(1-EXP(-LN(2)/2))/(LN(2)/2)*DW159*DZ159*VLOOKUP('Données projet'!$B$14,Paramètres!$A$1:$I$89,3,0)*0.475*44/12</f>
        <v>1.6080220421338258E-18</v>
      </c>
      <c r="ED159" s="24">
        <f t="shared" si="178"/>
        <v>0.71012054533015057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454.99849419289757</v>
      </c>
      <c r="EP159" s="62">
        <f t="shared" si="154"/>
        <v>288.86643267991928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69.119539589480269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2.7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34.901100000000021</v>
      </c>
      <c r="D160" s="12">
        <f t="shared" si="140"/>
        <v>10.63664603245036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95.304860764377935</v>
      </c>
      <c r="H160" s="70">
        <f t="shared" si="110"/>
        <v>296.37824100651778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427.57091071251745</v>
      </c>
      <c r="T160" s="62">
        <f t="shared" si="142"/>
        <v>272.62827206514726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475.54515523869958</v>
      </c>
      <c r="AO160" s="62">
        <f t="shared" si="144"/>
        <v>301.02979240961452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0.3025134739485914</v>
      </c>
      <c r="AW160" s="23">
        <f>EXP(-LN(2)/2)*AW159+(1-EXP(-LN(2)/2))/(LN(2)/2)*AQ160*AT160*VLOOKUP('Données projet'!$B$10,Paramètres!$A$1:$I$89,3,0)*0.475*44/12</f>
        <v>1.2810076335669303E-18</v>
      </c>
      <c r="AX160" s="23">
        <f t="shared" si="166"/>
        <v>0.3025134739485914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6.3550942286383367E-14</v>
      </c>
      <c r="BF160" s="14">
        <f t="shared" si="167"/>
        <v>1.0064464192543978E-12</v>
      </c>
      <c r="BG160" s="22">
        <f t="shared" si="168"/>
        <v>1.8635787380168604E-12</v>
      </c>
      <c r="BH160" s="62">
        <f t="shared" si="116"/>
        <v>290.16098323369192</v>
      </c>
      <c r="BI160" s="62">
        <f ca="1">AVERAGE(OFFSET($BH$3,0,0,'Données projet'!$E$11+1,1))-AVERAGE(OFFSET($H$3,0,0,'Données projet'!$E$11+1,1))</f>
        <v>381.71417599784968</v>
      </c>
      <c r="BJ160" s="62">
        <f t="shared" si="146"/>
        <v>350.49230135197979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2.6132811183508431</v>
      </c>
      <c r="BQ160" s="23">
        <f>EXP(-LN(2)/25)*BQ159+(1-EXP(-LN(2)/25))/(LN(2)/25)*Calculateur!BL160*Calculateur!BN160*VLOOKUP('Données projet'!$B$11,Paramètres!$A$1:$I$89,3,0)*0.475*44/12</f>
        <v>0.83096309219858855</v>
      </c>
      <c r="BR160" s="23">
        <f>EXP(-LN(2)/2)*BR159+(1-EXP(-LN(2)/2))/(LN(2)/2)*BL160*BO160*VLOOKUP('Données projet'!$B$11,Paramètres!$A$1:$I$89,3,0)*0.475*44/12</f>
        <v>5.3197942374014416E-18</v>
      </c>
      <c r="BS160" s="24">
        <f t="shared" si="169"/>
        <v>3.4442442105494315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3.1036506698001178E-14</v>
      </c>
      <c r="CA160" s="14">
        <f t="shared" si="170"/>
        <v>5.3428243983771088E-13</v>
      </c>
      <c r="CB160" s="22">
        <f t="shared" si="171"/>
        <v>9.8459716521636505E-13</v>
      </c>
      <c r="CC160" s="62">
        <f t="shared" si="119"/>
        <v>290.16098323369101</v>
      </c>
      <c r="CD160" s="62">
        <f ca="1">AVERAGE(OFFSET($CC$3,0,0,'Données projet'!$E$12+1,1))-AVERAGE(OFFSET($H$3,0,0,'Données projet'!$E$12+1,1))</f>
        <v>202.72043399839748</v>
      </c>
      <c r="CE160" s="62">
        <f t="shared" si="148"/>
        <v>295.50255983395789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0.17276679706253806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0.17276679706253806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4.9658410716801891E-14</v>
      </c>
      <c r="CV160" s="14">
        <f t="shared" si="173"/>
        <v>8.0934058173791862E-13</v>
      </c>
      <c r="CW160" s="22">
        <f t="shared" si="174"/>
        <v>1.4960899118586383E-12</v>
      </c>
      <c r="CX160" s="62">
        <f t="shared" si="122"/>
        <v>290.16098323369152</v>
      </c>
      <c r="CY160" s="62">
        <f ca="1">AVERAGE(OFFSET($CX$3,0,0,'Données projet'!$E$13+1,1))-AVERAGE(OFFSET($H$3,0,0,'Données projet'!$E$13+1,1))</f>
        <v>297.56177871222496</v>
      </c>
      <c r="CZ160" s="62">
        <f t="shared" si="150"/>
        <v>421.5717731815397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1.0004060076331556</v>
      </c>
      <c r="DH160" s="23">
        <f>EXP(-LN(2)/2)*DH159+(1-EXP(-LN(2)/2))/(LN(2)/2)*DB160*DE160*VLOOKUP('Données projet'!$B$13,Paramètres!$A$1:$I$89,3,0)*0.475*44/12</f>
        <v>1.2485607744039871E-18</v>
      </c>
      <c r="DI160" s="24">
        <f t="shared" si="175"/>
        <v>1.0004060076331556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752.99999999999977</v>
      </c>
      <c r="DP160" s="18">
        <f>DO160*VLOOKUP('Données projet'!$B$14,Paramètres!$A$1:$I$89,3,0)*VLOOKUP('Données projet'!$B$14,Paramètres!$A$1:$I$89,5,0)</f>
        <v>552.09959999999978</v>
      </c>
      <c r="DQ160" s="14">
        <f t="shared" si="176"/>
        <v>122.01091055125165</v>
      </c>
      <c r="DR160" s="22">
        <f t="shared" si="177"/>
        <v>1174.0758058767628</v>
      </c>
      <c r="DS160" s="62">
        <f t="shared" si="125"/>
        <v>1464.2367891104529</v>
      </c>
      <c r="DT160" s="62">
        <f ca="1">AVERAGE(OFFSET($DS$3,0,0,'Données projet'!$E$14+1,1))-AVERAGE(OFFSET($H$3,0,0,'Données projet'!$E$14+1,1))</f>
        <v>667.0152731006724</v>
      </c>
      <c r="DU160" s="62">
        <f t="shared" si="152"/>
        <v>567.40780872008088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0.69070226167448112</v>
      </c>
      <c r="EC160" s="23">
        <f>EXP(-LN(2)/2)*EC159+(1-EXP(-LN(2)/2))/(LN(2)/2)*DW160*DZ160*VLOOKUP('Données projet'!$B$14,Paramètres!$A$1:$I$89,3,0)*0.475*44/12</f>
        <v>1.1370432902902685E-18</v>
      </c>
      <c r="ED160" s="24">
        <f t="shared" si="178"/>
        <v>0.69070226167448112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454.99849419289757</v>
      </c>
      <c r="EP160" s="62">
        <f t="shared" si="154"/>
        <v>288.86643267991928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69.1348136091882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2.7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35.123400000000018</v>
      </c>
      <c r="D161" s="12">
        <f t="shared" si="140"/>
        <v>10.696487208372497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95.849343735455733</v>
      </c>
      <c r="H161" s="70">
        <f t="shared" si="110"/>
        <v>296.86963688791548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427.57091071251745</v>
      </c>
      <c r="T161" s="62">
        <f t="shared" si="142"/>
        <v>272.62827206514726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475.54515523869958</v>
      </c>
      <c r="AO161" s="62">
        <f t="shared" si="144"/>
        <v>301.02979240961452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0.29424122709497497</v>
      </c>
      <c r="AW161" s="23">
        <f>EXP(-LN(2)/2)*AW160+(1-EXP(-LN(2)/2))/(LN(2)/2)*AQ161*AT161*VLOOKUP('Données projet'!$B$10,Paramètres!$A$1:$I$89,3,0)*0.475*44/12</f>
        <v>9.0580918444690845E-19</v>
      </c>
      <c r="AX161" s="23">
        <f t="shared" si="166"/>
        <v>0.29424122709497497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6.3550942286383367E-14</v>
      </c>
      <c r="BF161" s="14">
        <f t="shared" si="167"/>
        <v>1.0064464192543978E-12</v>
      </c>
      <c r="BG161" s="22">
        <f t="shared" si="168"/>
        <v>1.8635787380168604E-12</v>
      </c>
      <c r="BH161" s="62">
        <f t="shared" si="116"/>
        <v>290.21601641560852</v>
      </c>
      <c r="BI161" s="62">
        <f ca="1">AVERAGE(OFFSET($BH$3,0,0,'Données projet'!$E$11+1,1))-AVERAGE(OFFSET($H$3,0,0,'Données projet'!$E$11+1,1))</f>
        <v>381.71417599784968</v>
      </c>
      <c r="BJ161" s="62">
        <f t="shared" si="146"/>
        <v>350.49230135197979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2.5620362695640764</v>
      </c>
      <c r="BQ161" s="23">
        <f>EXP(-LN(2)/25)*BQ160+(1-EXP(-LN(2)/25))/(LN(2)/25)*Calculateur!BL161*Calculateur!BN161*VLOOKUP('Données projet'!$B$11,Paramètres!$A$1:$I$89,3,0)*0.475*44/12</f>
        <v>0.80824036274396827</v>
      </c>
      <c r="BR161" s="23">
        <f>EXP(-LN(2)/2)*BR160+(1-EXP(-LN(2)/2))/(LN(2)/2)*BL161*BO161*VLOOKUP('Données projet'!$B$11,Paramètres!$A$1:$I$89,3,0)*0.475*44/12</f>
        <v>3.7616625797836775E-18</v>
      </c>
      <c r="BS161" s="24">
        <f t="shared" si="169"/>
        <v>3.3702766323080446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3.1036506698001178E-14</v>
      </c>
      <c r="CA161" s="14">
        <f t="shared" si="170"/>
        <v>5.3428243983771088E-13</v>
      </c>
      <c r="CB161" s="22">
        <f t="shared" si="171"/>
        <v>9.8459716521636505E-13</v>
      </c>
      <c r="CC161" s="62">
        <f t="shared" si="119"/>
        <v>290.21601641560761</v>
      </c>
      <c r="CD161" s="62">
        <f ca="1">AVERAGE(OFFSET($CC$3,0,0,'Données projet'!$E$12+1,1))-AVERAGE(OFFSET($H$3,0,0,'Données projet'!$E$12+1,1))</f>
        <v>202.72043399839748</v>
      </c>
      <c r="CE161" s="62">
        <f t="shared" si="148"/>
        <v>295.50255983395789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0.16804247991145196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0.16804247991145196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4.9658410716801891E-14</v>
      </c>
      <c r="CV161" s="14">
        <f t="shared" si="173"/>
        <v>8.0934058173791862E-13</v>
      </c>
      <c r="CW161" s="22">
        <f t="shared" si="174"/>
        <v>1.4960899118586383E-12</v>
      </c>
      <c r="CX161" s="62">
        <f t="shared" si="122"/>
        <v>290.21601641560812</v>
      </c>
      <c r="CY161" s="62">
        <f ca="1">AVERAGE(OFFSET($CX$3,0,0,'Données projet'!$E$13+1,1))-AVERAGE(OFFSET($H$3,0,0,'Données projet'!$E$13+1,1))</f>
        <v>297.56177871222496</v>
      </c>
      <c r="CZ161" s="62">
        <f t="shared" si="150"/>
        <v>421.5717731815397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0.97304985274536149</v>
      </c>
      <c r="DH161" s="23">
        <f>EXP(-LN(2)/2)*DH160+(1-EXP(-LN(2)/2))/(LN(2)/2)*DB161*DE161*VLOOKUP('Données projet'!$B$13,Paramètres!$A$1:$I$89,3,0)*0.475*44/12</f>
        <v>8.8286579030458643E-19</v>
      </c>
      <c r="DI161" s="24">
        <f t="shared" si="175"/>
        <v>0.97304985274536149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752.99999999999977</v>
      </c>
      <c r="DP161" s="18">
        <f>DO161*VLOOKUP('Données projet'!$B$14,Paramètres!$A$1:$I$89,3,0)*VLOOKUP('Données projet'!$B$14,Paramètres!$A$1:$I$89,5,0)</f>
        <v>552.09959999999978</v>
      </c>
      <c r="DQ161" s="14">
        <f t="shared" si="176"/>
        <v>122.01091055125165</v>
      </c>
      <c r="DR161" s="22">
        <f t="shared" si="177"/>
        <v>1174.0758058767628</v>
      </c>
      <c r="DS161" s="62">
        <f t="shared" si="125"/>
        <v>1464.2918222923695</v>
      </c>
      <c r="DT161" s="62">
        <f ca="1">AVERAGE(OFFSET($DS$3,0,0,'Données projet'!$E$14+1,1))-AVERAGE(OFFSET($H$3,0,0,'Données projet'!$E$14+1,1))</f>
        <v>667.0152731006724</v>
      </c>
      <c r="DU161" s="62">
        <f t="shared" si="152"/>
        <v>567.40780872008088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0.67181497200653917</v>
      </c>
      <c r="EC161" s="23">
        <f>EXP(-LN(2)/2)*EC160+(1-EXP(-LN(2)/2))/(LN(2)/2)*DW161*DZ161*VLOOKUP('Données projet'!$B$14,Paramètres!$A$1:$I$89,3,0)*0.475*44/12</f>
        <v>8.0401102106691291E-19</v>
      </c>
      <c r="ED161" s="24">
        <f t="shared" si="178"/>
        <v>0.67181497200653917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454.99849419289757</v>
      </c>
      <c r="EP161" s="62">
        <f t="shared" si="154"/>
        <v>288.86643267991928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69.14982265880181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2.7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35.345700000000015</v>
      </c>
      <c r="D162" s="12">
        <f t="shared" si="140"/>
        <v>10.756284314693971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96.393741659935756</v>
      </c>
      <c r="H162" s="70">
        <f t="shared" si="110"/>
        <v>297.3609560147587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427.57091071251745</v>
      </c>
      <c r="T162" s="62">
        <f t="shared" si="142"/>
        <v>272.62827206514726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475.54515523869958</v>
      </c>
      <c r="AO162" s="62">
        <f t="shared" si="144"/>
        <v>301.02979240961452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0.28619518526658921</v>
      </c>
      <c r="AW162" s="23">
        <f>EXP(-LN(2)/2)*AW161+(1-EXP(-LN(2)/2))/(LN(2)/2)*AQ162*AT162*VLOOKUP('Données projet'!$B$10,Paramètres!$A$1:$I$89,3,0)*0.475*44/12</f>
        <v>6.4050381678346517E-19</v>
      </c>
      <c r="AX162" s="23">
        <f t="shared" si="166"/>
        <v>0.28619518526658921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6.3550942286383367E-14</v>
      </c>
      <c r="BF162" s="14">
        <f t="shared" si="167"/>
        <v>1.0064464192543978E-12</v>
      </c>
      <c r="BG162" s="22">
        <f t="shared" si="168"/>
        <v>1.8635787380168604E-12</v>
      </c>
      <c r="BH162" s="62">
        <f t="shared" si="116"/>
        <v>290.27009489485442</v>
      </c>
      <c r="BI162" s="62">
        <f ca="1">AVERAGE(OFFSET($BH$3,0,0,'Données projet'!$E$11+1,1))-AVERAGE(OFFSET($H$3,0,0,'Données projet'!$E$11+1,1))</f>
        <v>381.71417599784968</v>
      </c>
      <c r="BJ162" s="62">
        <f t="shared" si="146"/>
        <v>350.49230135197979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2.5117963010057465</v>
      </c>
      <c r="BQ162" s="23">
        <f>EXP(-LN(2)/25)*BQ161+(1-EXP(-LN(2)/25))/(LN(2)/25)*Calculateur!BL162*Calculateur!BN162*VLOOKUP('Données projet'!$B$11,Paramètres!$A$1:$I$89,3,0)*0.475*44/12</f>
        <v>0.78613898752122102</v>
      </c>
      <c r="BR162" s="23">
        <f>EXP(-LN(2)/2)*BR161+(1-EXP(-LN(2)/2))/(LN(2)/2)*BL162*BO162*VLOOKUP('Données projet'!$B$11,Paramètres!$A$1:$I$89,3,0)*0.475*44/12</f>
        <v>2.6598971187007208E-18</v>
      </c>
      <c r="BS162" s="24">
        <f t="shared" si="169"/>
        <v>3.2979352885269675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3.1036506698001178E-14</v>
      </c>
      <c r="CA162" s="14">
        <f t="shared" si="170"/>
        <v>5.3428243983771088E-13</v>
      </c>
      <c r="CB162" s="22">
        <f t="shared" si="171"/>
        <v>9.8459716521636505E-13</v>
      </c>
      <c r="CC162" s="62">
        <f t="shared" si="119"/>
        <v>290.27009489485351</v>
      </c>
      <c r="CD162" s="62">
        <f ca="1">AVERAGE(OFFSET($CC$3,0,0,'Données projet'!$E$12+1,1))-AVERAGE(OFFSET($H$3,0,0,'Données projet'!$E$12+1,1))</f>
        <v>202.72043399839748</v>
      </c>
      <c r="CE162" s="62">
        <f t="shared" si="148"/>
        <v>295.50255983395789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0.16344734946130335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0.16344734946130335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4.9658410716801891E-14</v>
      </c>
      <c r="CV162" s="14">
        <f t="shared" si="173"/>
        <v>8.0934058173791862E-13</v>
      </c>
      <c r="CW162" s="22">
        <f t="shared" si="174"/>
        <v>1.4960899118586383E-12</v>
      </c>
      <c r="CX162" s="62">
        <f t="shared" si="122"/>
        <v>290.27009489485403</v>
      </c>
      <c r="CY162" s="62">
        <f ca="1">AVERAGE(OFFSET($CX$3,0,0,'Données projet'!$E$13+1,1))-AVERAGE(OFFSET($H$3,0,0,'Données projet'!$E$13+1,1))</f>
        <v>297.56177871222496</v>
      </c>
      <c r="CZ162" s="62">
        <f t="shared" si="150"/>
        <v>421.5717731815397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0.94644175335157177</v>
      </c>
      <c r="DH162" s="23">
        <f>EXP(-LN(2)/2)*DH161+(1-EXP(-LN(2)/2))/(LN(2)/2)*DB162*DE162*VLOOKUP('Données projet'!$B$13,Paramètres!$A$1:$I$89,3,0)*0.475*44/12</f>
        <v>6.2428038720199357E-19</v>
      </c>
      <c r="DI162" s="24">
        <f t="shared" si="175"/>
        <v>0.94644175335157177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752.99999999999977</v>
      </c>
      <c r="DP162" s="18">
        <f>DO162*VLOOKUP('Données projet'!$B$14,Paramètres!$A$1:$I$89,3,0)*VLOOKUP('Données projet'!$B$14,Paramètres!$A$1:$I$89,5,0)</f>
        <v>552.09959999999978</v>
      </c>
      <c r="DQ162" s="14">
        <f t="shared" si="176"/>
        <v>122.01091055125165</v>
      </c>
      <c r="DR162" s="22">
        <f t="shared" si="177"/>
        <v>1174.0758058767628</v>
      </c>
      <c r="DS162" s="62">
        <f t="shared" si="125"/>
        <v>1464.3459007716153</v>
      </c>
      <c r="DT162" s="62">
        <f ca="1">AVERAGE(OFFSET($DS$3,0,0,'Données projet'!$E$14+1,1))-AVERAGE(OFFSET($H$3,0,0,'Données projet'!$E$14+1,1))</f>
        <v>667.0152731006724</v>
      </c>
      <c r="DU162" s="62">
        <f t="shared" si="152"/>
        <v>567.40780872008088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0.65344415626780639</v>
      </c>
      <c r="EC162" s="23">
        <f>EXP(-LN(2)/2)*EC161+(1-EXP(-LN(2)/2))/(LN(2)/2)*DW162*DZ162*VLOOKUP('Données projet'!$B$14,Paramètres!$A$1:$I$89,3,0)*0.475*44/12</f>
        <v>5.6852164514513423E-19</v>
      </c>
      <c r="ED162" s="24">
        <f t="shared" si="178"/>
        <v>0.65344415626780639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454.99849419289757</v>
      </c>
      <c r="EP162" s="62">
        <f t="shared" si="154"/>
        <v>288.86643267991928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69.164571334959788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2.7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35.568000000000012</v>
      </c>
      <c r="D163" s="12">
        <f t="shared" si="140"/>
        <v>10.816037660735208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96.938055134752162</v>
      </c>
      <c r="H163" s="70">
        <f t="shared" si="110"/>
        <v>297.8521989257805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427.57091071251745</v>
      </c>
      <c r="T163" s="62">
        <f t="shared" si="142"/>
        <v>272.62827206514726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475.54515523869958</v>
      </c>
      <c r="AO163" s="62">
        <f t="shared" si="144"/>
        <v>301.02979240961452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0.27836916287512364</v>
      </c>
      <c r="AW163" s="23">
        <f>EXP(-LN(2)/2)*AW162+(1-EXP(-LN(2)/2))/(LN(2)/2)*AQ163*AT163*VLOOKUP('Données projet'!$B$10,Paramètres!$A$1:$I$89,3,0)*0.475*44/12</f>
        <v>4.5290459222345423E-19</v>
      </c>
      <c r="AX163" s="23">
        <f t="shared" si="166"/>
        <v>0.27836916287512364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6.3550942286383367E-14</v>
      </c>
      <c r="BF163" s="14">
        <f t="shared" si="167"/>
        <v>1.0064464192543978E-12</v>
      </c>
      <c r="BG163" s="22">
        <f t="shared" si="168"/>
        <v>1.8635787380168604E-12</v>
      </c>
      <c r="BH163" s="62">
        <f t="shared" si="116"/>
        <v>290.32323523338692</v>
      </c>
      <c r="BI163" s="62">
        <f ca="1">AVERAGE(OFFSET($BH$3,0,0,'Données projet'!$E$11+1,1))-AVERAGE(OFFSET($H$3,0,0,'Données projet'!$E$11+1,1))</f>
        <v>381.71417599784968</v>
      </c>
      <c r="BJ163" s="62">
        <f t="shared" si="146"/>
        <v>350.49230135197979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2.4625415075874906</v>
      </c>
      <c r="BQ163" s="23">
        <f>EXP(-LN(2)/25)*BQ162+(1-EXP(-LN(2)/25))/(LN(2)/25)*Calculateur!BL163*Calculateur!BN163*VLOOKUP('Données projet'!$B$11,Paramètres!$A$1:$I$89,3,0)*0.475*44/12</f>
        <v>0.76464197556620062</v>
      </c>
      <c r="BR163" s="23">
        <f>EXP(-LN(2)/2)*BR162+(1-EXP(-LN(2)/2))/(LN(2)/2)*BL163*BO163*VLOOKUP('Données projet'!$B$11,Paramètres!$A$1:$I$89,3,0)*0.475*44/12</f>
        <v>1.8808312898918387E-18</v>
      </c>
      <c r="BS163" s="24">
        <f t="shared" si="169"/>
        <v>3.2271834831536914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3.1036506698001178E-14</v>
      </c>
      <c r="CA163" s="14">
        <f t="shared" si="170"/>
        <v>5.3428243983771088E-13</v>
      </c>
      <c r="CB163" s="22">
        <f t="shared" si="171"/>
        <v>9.8459716521636505E-13</v>
      </c>
      <c r="CC163" s="62">
        <f t="shared" si="119"/>
        <v>290.32323523338601</v>
      </c>
      <c r="CD163" s="62">
        <f ca="1">AVERAGE(OFFSET($CC$3,0,0,'Données projet'!$E$12+1,1))-AVERAGE(OFFSET($H$3,0,0,'Données projet'!$E$12+1,1))</f>
        <v>202.72043399839748</v>
      </c>
      <c r="CE163" s="62">
        <f t="shared" si="148"/>
        <v>295.50255983395789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0.15897787309496147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0.15897787309496147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4.9658410716801891E-14</v>
      </c>
      <c r="CV163" s="14">
        <f t="shared" si="173"/>
        <v>8.0934058173791862E-13</v>
      </c>
      <c r="CW163" s="22">
        <f t="shared" si="174"/>
        <v>1.4960899118586383E-12</v>
      </c>
      <c r="CX163" s="62">
        <f t="shared" si="122"/>
        <v>290.32323523338653</v>
      </c>
      <c r="CY163" s="62">
        <f ca="1">AVERAGE(OFFSET($CX$3,0,0,'Données projet'!$E$13+1,1))-AVERAGE(OFFSET($H$3,0,0,'Données projet'!$E$13+1,1))</f>
        <v>297.56177871222496</v>
      </c>
      <c r="CZ163" s="62">
        <f t="shared" si="150"/>
        <v>421.5717731815397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0.92056125383496434</v>
      </c>
      <c r="DH163" s="23">
        <f>EXP(-LN(2)/2)*DH162+(1-EXP(-LN(2)/2))/(LN(2)/2)*DB163*DE163*VLOOKUP('Données projet'!$B$13,Paramètres!$A$1:$I$89,3,0)*0.475*44/12</f>
        <v>4.4143289515229321E-19</v>
      </c>
      <c r="DI163" s="24">
        <f t="shared" si="175"/>
        <v>0.92056125383496434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752.99999999999977</v>
      </c>
      <c r="DP163" s="18">
        <f>DO163*VLOOKUP('Données projet'!$B$14,Paramètres!$A$1:$I$89,3,0)*VLOOKUP('Données projet'!$B$14,Paramètres!$A$1:$I$89,5,0)</f>
        <v>552.09959999999978</v>
      </c>
      <c r="DQ163" s="14">
        <f t="shared" si="176"/>
        <v>122.01091055125165</v>
      </c>
      <c r="DR163" s="22">
        <f t="shared" si="177"/>
        <v>1174.0758058767628</v>
      </c>
      <c r="DS163" s="62">
        <f t="shared" si="125"/>
        <v>1464.3990411101479</v>
      </c>
      <c r="DT163" s="62">
        <f ca="1">AVERAGE(OFFSET($DS$3,0,0,'Données projet'!$E$14+1,1))-AVERAGE(OFFSET($H$3,0,0,'Données projet'!$E$14+1,1))</f>
        <v>667.0152731006724</v>
      </c>
      <c r="DU163" s="62">
        <f t="shared" si="152"/>
        <v>567.40780872008088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0.63557569145152848</v>
      </c>
      <c r="EC163" s="23">
        <f>EXP(-LN(2)/2)*EC162+(1-EXP(-LN(2)/2))/(LN(2)/2)*DW163*DZ163*VLOOKUP('Données projet'!$B$14,Paramètres!$A$1:$I$89,3,0)*0.475*44/12</f>
        <v>4.0200551053345645E-19</v>
      </c>
      <c r="ED163" s="24">
        <f t="shared" si="178"/>
        <v>0.63557569145152848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454.99849419289757</v>
      </c>
      <c r="EP163" s="62">
        <f t="shared" si="154"/>
        <v>288.86643267991928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69.179064154559555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2.7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35.790300000000009</v>
      </c>
      <c r="D164" s="12">
        <f t="shared" si="140"/>
        <v>10.875747551726517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97.482284748945943</v>
      </c>
      <c r="H164" s="70">
        <f t="shared" si="110"/>
        <v>298.34336615259042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427.57091071251745</v>
      </c>
      <c r="T164" s="62">
        <f t="shared" si="142"/>
        <v>272.62827206514726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475.54515523869958</v>
      </c>
      <c r="AO164" s="62">
        <f t="shared" si="144"/>
        <v>301.02979240961452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0.27075714347750535</v>
      </c>
      <c r="AW164" s="23">
        <f>EXP(-LN(2)/2)*AW163+(1-EXP(-LN(2)/2))/(LN(2)/2)*AQ164*AT164*VLOOKUP('Données projet'!$B$10,Paramètres!$A$1:$I$89,3,0)*0.475*44/12</f>
        <v>3.2025190839173258E-19</v>
      </c>
      <c r="AX164" s="23">
        <f t="shared" si="166"/>
        <v>0.27075714347750535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6.3550942286383367E-14</v>
      </c>
      <c r="BF164" s="14">
        <f t="shared" si="167"/>
        <v>1.0064464192543978E-12</v>
      </c>
      <c r="BG164" s="22">
        <f t="shared" si="168"/>
        <v>1.8635787380168604E-12</v>
      </c>
      <c r="BH164" s="62">
        <f t="shared" si="116"/>
        <v>290.37545370584985</v>
      </c>
      <c r="BI164" s="62">
        <f ca="1">AVERAGE(OFFSET($BH$3,0,0,'Données projet'!$E$11+1,1))-AVERAGE(OFFSET($H$3,0,0,'Données projet'!$E$11+1,1))</f>
        <v>381.71417599784968</v>
      </c>
      <c r="BJ164" s="62">
        <f t="shared" si="146"/>
        <v>350.49230135197979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2.4142525706257092</v>
      </c>
      <c r="BQ164" s="23">
        <f>EXP(-LN(2)/25)*BQ163+(1-EXP(-LN(2)/25))/(LN(2)/25)*Calculateur!BL164*Calculateur!BN164*VLOOKUP('Données projet'!$B$11,Paramètres!$A$1:$I$89,3,0)*0.475*44/12</f>
        <v>0.74373280053356894</v>
      </c>
      <c r="BR164" s="23">
        <f>EXP(-LN(2)/2)*BR163+(1-EXP(-LN(2)/2))/(LN(2)/2)*BL164*BO164*VLOOKUP('Données projet'!$B$11,Paramètres!$A$1:$I$89,3,0)*0.475*44/12</f>
        <v>1.3299485593503604E-18</v>
      </c>
      <c r="BS164" s="24">
        <f t="shared" si="169"/>
        <v>3.157985371159278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3.1036506698001178E-14</v>
      </c>
      <c r="CA164" s="14">
        <f t="shared" si="170"/>
        <v>5.3428243983771088E-13</v>
      </c>
      <c r="CB164" s="22">
        <f t="shared" si="171"/>
        <v>9.8459716521636505E-13</v>
      </c>
      <c r="CC164" s="62">
        <f t="shared" si="119"/>
        <v>290.37545370584894</v>
      </c>
      <c r="CD164" s="62">
        <f ca="1">AVERAGE(OFFSET($CC$3,0,0,'Données projet'!$E$12+1,1))-AVERAGE(OFFSET($H$3,0,0,'Données projet'!$E$12+1,1))</f>
        <v>202.72043399839748</v>
      </c>
      <c r="CE164" s="62">
        <f t="shared" si="148"/>
        <v>295.50255983395789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0.15463061479489676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0.15463061479489676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4.9658410716801891E-14</v>
      </c>
      <c r="CV164" s="14">
        <f t="shared" si="173"/>
        <v>8.0934058173791862E-13</v>
      </c>
      <c r="CW164" s="22">
        <f t="shared" si="174"/>
        <v>1.4960899118586383E-12</v>
      </c>
      <c r="CX164" s="62">
        <f t="shared" si="122"/>
        <v>290.37545370584945</v>
      </c>
      <c r="CY164" s="62">
        <f ca="1">AVERAGE(OFFSET($CX$3,0,0,'Données projet'!$E$13+1,1))-AVERAGE(OFFSET($H$3,0,0,'Données projet'!$E$13+1,1))</f>
        <v>297.56177871222496</v>
      </c>
      <c r="CZ164" s="62">
        <f t="shared" si="150"/>
        <v>421.5717731815397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0.89538845793863486</v>
      </c>
      <c r="DH164" s="23">
        <f>EXP(-LN(2)/2)*DH163+(1-EXP(-LN(2)/2))/(LN(2)/2)*DB164*DE164*VLOOKUP('Données projet'!$B$13,Paramètres!$A$1:$I$89,3,0)*0.475*44/12</f>
        <v>3.1214019360099678E-19</v>
      </c>
      <c r="DI164" s="24">
        <f t="shared" si="175"/>
        <v>0.89538845793863486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752.99999999999977</v>
      </c>
      <c r="DP164" s="18">
        <f>DO164*VLOOKUP('Données projet'!$B$14,Paramètres!$A$1:$I$89,3,0)*VLOOKUP('Données projet'!$B$14,Paramètres!$A$1:$I$89,5,0)</f>
        <v>552.09959999999978</v>
      </c>
      <c r="DQ164" s="14">
        <f t="shared" si="176"/>
        <v>122.01091055125165</v>
      </c>
      <c r="DR164" s="22">
        <f t="shared" si="177"/>
        <v>1174.0758058767628</v>
      </c>
      <c r="DS164" s="62">
        <f t="shared" si="125"/>
        <v>1464.4512595826109</v>
      </c>
      <c r="DT164" s="62">
        <f ca="1">AVERAGE(OFFSET($DS$3,0,0,'Données projet'!$E$14+1,1))-AVERAGE(OFFSET($H$3,0,0,'Données projet'!$E$14+1,1))</f>
        <v>667.0152731006724</v>
      </c>
      <c r="DU164" s="62">
        <f t="shared" si="152"/>
        <v>567.40780872008088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0.61819584074531342</v>
      </c>
      <c r="EC164" s="23">
        <f>EXP(-LN(2)/2)*EC163+(1-EXP(-LN(2)/2))/(LN(2)/2)*DW164*DZ164*VLOOKUP('Données projet'!$B$14,Paramètres!$A$1:$I$89,3,0)*0.475*44/12</f>
        <v>2.8426082257256712E-19</v>
      </c>
      <c r="ED164" s="24">
        <f t="shared" si="178"/>
        <v>0.61819584074531342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454.99849419289757</v>
      </c>
      <c r="EP164" s="62">
        <f t="shared" si="154"/>
        <v>288.86643267991928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69.193305556140359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2.7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36.012600000000006</v>
      </c>
      <c r="D165" s="12">
        <f t="shared" si="140"/>
        <v>10.935414288887205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98.026431083817428</v>
      </c>
      <c r="H165" s="70">
        <f t="shared" si="110"/>
        <v>298.83445821981189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427.57091071251745</v>
      </c>
      <c r="T165" s="62">
        <f t="shared" si="142"/>
        <v>272.62827206514726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475.54515523869958</v>
      </c>
      <c r="AO165" s="62">
        <f t="shared" si="144"/>
        <v>301.02979240961452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0.26335327515061363</v>
      </c>
      <c r="AW165" s="23">
        <f>EXP(-LN(2)/2)*AW164+(1-EXP(-LN(2)/2))/(LN(2)/2)*AQ165*AT165*VLOOKUP('Données projet'!$B$10,Paramètres!$A$1:$I$89,3,0)*0.475*44/12</f>
        <v>2.2645229611172711E-19</v>
      </c>
      <c r="AX165" s="23">
        <f t="shared" si="166"/>
        <v>0.26335327515061363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6.3550942286383367E-14</v>
      </c>
      <c r="BF165" s="14">
        <f t="shared" si="167"/>
        <v>1.0064464192543978E-12</v>
      </c>
      <c r="BG165" s="22">
        <f t="shared" si="168"/>
        <v>1.8635787380168604E-12</v>
      </c>
      <c r="BH165" s="62">
        <f t="shared" si="116"/>
        <v>290.4267663045585</v>
      </c>
      <c r="BI165" s="62">
        <f ca="1">AVERAGE(OFFSET($BH$3,0,0,'Données projet'!$E$11+1,1))-AVERAGE(OFFSET($H$3,0,0,'Données projet'!$E$11+1,1))</f>
        <v>381.71417599784968</v>
      </c>
      <c r="BJ165" s="62">
        <f t="shared" si="146"/>
        <v>350.49230135197979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2.366910550264405</v>
      </c>
      <c r="BQ165" s="23">
        <f>EXP(-LN(2)/25)*BQ164+(1-EXP(-LN(2)/25))/(LN(2)/25)*Calculateur!BL165*Calculateur!BN165*VLOOKUP('Données projet'!$B$11,Paramètres!$A$1:$I$89,3,0)*0.475*44/12</f>
        <v>0.72339538799177039</v>
      </c>
      <c r="BR165" s="23">
        <f>EXP(-LN(2)/2)*BR164+(1-EXP(-LN(2)/2))/(LN(2)/2)*BL165*BO165*VLOOKUP('Données projet'!$B$11,Paramètres!$A$1:$I$89,3,0)*0.475*44/12</f>
        <v>9.4041564494591937E-19</v>
      </c>
      <c r="BS165" s="24">
        <f t="shared" si="169"/>
        <v>3.0903059382561753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3.1036506698001178E-14</v>
      </c>
      <c r="CA165" s="14">
        <f t="shared" si="170"/>
        <v>5.3428243983771088E-13</v>
      </c>
      <c r="CB165" s="22">
        <f t="shared" si="171"/>
        <v>9.8459716521636505E-13</v>
      </c>
      <c r="CC165" s="62">
        <f t="shared" si="119"/>
        <v>290.42676630455759</v>
      </c>
      <c r="CD165" s="62">
        <f ca="1">AVERAGE(OFFSET($CC$3,0,0,'Données projet'!$E$12+1,1))-AVERAGE(OFFSET($H$3,0,0,'Données projet'!$E$12+1,1))</f>
        <v>202.72043399839748</v>
      </c>
      <c r="CE165" s="62">
        <f t="shared" si="148"/>
        <v>295.50255983395789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0.15040223250165968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0.15040223250165968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4.9658410716801891E-14</v>
      </c>
      <c r="CV165" s="14">
        <f t="shared" si="173"/>
        <v>8.0934058173791862E-13</v>
      </c>
      <c r="CW165" s="22">
        <f t="shared" si="174"/>
        <v>1.4960899118586383E-12</v>
      </c>
      <c r="CX165" s="62">
        <f t="shared" si="122"/>
        <v>290.4267663045581</v>
      </c>
      <c r="CY165" s="62">
        <f ca="1">AVERAGE(OFFSET($CX$3,0,0,'Données projet'!$E$13+1,1))-AVERAGE(OFFSET($H$3,0,0,'Données projet'!$E$13+1,1))</f>
        <v>297.56177871222496</v>
      </c>
      <c r="CZ165" s="62">
        <f t="shared" si="150"/>
        <v>421.5717731815397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0.87090401346987034</v>
      </c>
      <c r="DH165" s="23">
        <f>EXP(-LN(2)/2)*DH164+(1-EXP(-LN(2)/2))/(LN(2)/2)*DB165*DE165*VLOOKUP('Données projet'!$B$13,Paramètres!$A$1:$I$89,3,0)*0.475*44/12</f>
        <v>2.2071644757614661E-19</v>
      </c>
      <c r="DI165" s="24">
        <f t="shared" si="175"/>
        <v>0.87090401346987034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752.99999999999977</v>
      </c>
      <c r="DP165" s="18">
        <f>DO165*VLOOKUP('Données projet'!$B$14,Paramètres!$A$1:$I$89,3,0)*VLOOKUP('Données projet'!$B$14,Paramètres!$A$1:$I$89,5,0)</f>
        <v>552.09959999999978</v>
      </c>
      <c r="DQ165" s="14">
        <f t="shared" si="176"/>
        <v>122.01091055125165</v>
      </c>
      <c r="DR165" s="22">
        <f t="shared" si="177"/>
        <v>1174.0758058767628</v>
      </c>
      <c r="DS165" s="62">
        <f t="shared" si="125"/>
        <v>1464.5025721813195</v>
      </c>
      <c r="DT165" s="62">
        <f ca="1">AVERAGE(OFFSET($DS$3,0,0,'Données projet'!$E$14+1,1))-AVERAGE(OFFSET($H$3,0,0,'Données projet'!$E$14+1,1))</f>
        <v>667.0152731006724</v>
      </c>
      <c r="DU165" s="62">
        <f t="shared" si="152"/>
        <v>567.40780872008088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0.60129124297062642</v>
      </c>
      <c r="EC165" s="23">
        <f>EXP(-LN(2)/2)*EC164+(1-EXP(-LN(2)/2))/(LN(2)/2)*DW165*DZ165*VLOOKUP('Données projet'!$B$14,Paramètres!$A$1:$I$89,3,0)*0.475*44/12</f>
        <v>2.0100275526672823E-19</v>
      </c>
      <c r="ED165" s="24">
        <f t="shared" si="178"/>
        <v>0.60129124297062642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454.99849419289757</v>
      </c>
      <c r="EP165" s="62">
        <f t="shared" si="154"/>
        <v>288.86643267991928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69.20729990124272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2.7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36.234900000000003</v>
      </c>
      <c r="D166" s="12">
        <f t="shared" si="140"/>
        <v>10.995038169502758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98.570494713075504</v>
      </c>
      <c r="H166" s="70">
        <f t="shared" si="110"/>
        <v>299.32547564521735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427.57091071251745</v>
      </c>
      <c r="T166" s="62">
        <f t="shared" si="142"/>
        <v>272.62827206514726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475.54515523869958</v>
      </c>
      <c r="AO166" s="62">
        <f t="shared" si="144"/>
        <v>301.02979240961452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0.25615186599247325</v>
      </c>
      <c r="AW166" s="23">
        <f>EXP(-LN(2)/2)*AW165+(1-EXP(-LN(2)/2))/(LN(2)/2)*AQ166*AT166*VLOOKUP('Données projet'!$B$10,Paramètres!$A$1:$I$89,3,0)*0.475*44/12</f>
        <v>1.6012595419586629E-19</v>
      </c>
      <c r="AX166" s="23">
        <f t="shared" si="166"/>
        <v>0.25615186599247325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6.3550942286383367E-14</v>
      </c>
      <c r="BF166" s="14">
        <f t="shared" si="167"/>
        <v>1.0064464192543978E-12</v>
      </c>
      <c r="BG166" s="22">
        <f t="shared" si="168"/>
        <v>1.8635787380168604E-12</v>
      </c>
      <c r="BH166" s="62">
        <f t="shared" si="116"/>
        <v>290.47718874439744</v>
      </c>
      <c r="BI166" s="62">
        <f ca="1">AVERAGE(OFFSET($BH$3,0,0,'Données projet'!$E$11+1,1))-AVERAGE(OFFSET($H$3,0,0,'Données projet'!$E$11+1,1))</f>
        <v>381.71417599784968</v>
      </c>
      <c r="BJ166" s="62">
        <f t="shared" si="146"/>
        <v>350.49230135197979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2.3204968780466046</v>
      </c>
      <c r="BQ166" s="23">
        <f>EXP(-LN(2)/25)*BQ165+(1-EXP(-LN(2)/25))/(LN(2)/25)*Calculateur!BL166*Calculateur!BN166*VLOOKUP('Données projet'!$B$11,Paramètres!$A$1:$I$89,3,0)*0.475*44/12</f>
        <v>0.70361410306542527</v>
      </c>
      <c r="BR166" s="23">
        <f>EXP(-LN(2)/2)*BR165+(1-EXP(-LN(2)/2))/(LN(2)/2)*BL166*BO166*VLOOKUP('Données projet'!$B$11,Paramètres!$A$1:$I$89,3,0)*0.475*44/12</f>
        <v>6.6497427967518019E-19</v>
      </c>
      <c r="BS166" s="24">
        <f t="shared" si="169"/>
        <v>3.0241109811120301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3.1036506698001178E-14</v>
      </c>
      <c r="CA166" s="14">
        <f t="shared" si="170"/>
        <v>5.3428243983771088E-13</v>
      </c>
      <c r="CB166" s="22">
        <f t="shared" si="171"/>
        <v>9.8459716521636505E-13</v>
      </c>
      <c r="CC166" s="62">
        <f t="shared" si="119"/>
        <v>290.47718874439653</v>
      </c>
      <c r="CD166" s="62">
        <f ca="1">AVERAGE(OFFSET($CC$3,0,0,'Données projet'!$E$12+1,1))-AVERAGE(OFFSET($H$3,0,0,'Données projet'!$E$12+1,1))</f>
        <v>202.72043399839748</v>
      </c>
      <c r="CE166" s="62">
        <f t="shared" si="148"/>
        <v>295.50255983395789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0.14628947554459215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0.14628947554459215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4.9658410716801891E-14</v>
      </c>
      <c r="CV166" s="14">
        <f t="shared" si="173"/>
        <v>8.0934058173791862E-13</v>
      </c>
      <c r="CW166" s="22">
        <f t="shared" si="174"/>
        <v>1.4960899118586383E-12</v>
      </c>
      <c r="CX166" s="62">
        <f t="shared" si="122"/>
        <v>290.47718874439704</v>
      </c>
      <c r="CY166" s="62">
        <f ca="1">AVERAGE(OFFSET($CX$3,0,0,'Données projet'!$E$13+1,1))-AVERAGE(OFFSET($H$3,0,0,'Données projet'!$E$13+1,1))</f>
        <v>297.56177871222496</v>
      </c>
      <c r="CZ166" s="62">
        <f t="shared" si="150"/>
        <v>421.5717731815397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0.84708909742268512</v>
      </c>
      <c r="DH166" s="23">
        <f>EXP(-LN(2)/2)*DH165+(1-EXP(-LN(2)/2))/(LN(2)/2)*DB166*DE166*VLOOKUP('Données projet'!$B$13,Paramètres!$A$1:$I$89,3,0)*0.475*44/12</f>
        <v>1.5607009680049839E-19</v>
      </c>
      <c r="DI166" s="24">
        <f t="shared" si="175"/>
        <v>0.84708909742268512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752.99999999999977</v>
      </c>
      <c r="DP166" s="18">
        <f>DO166*VLOOKUP('Données projet'!$B$14,Paramètres!$A$1:$I$89,3,0)*VLOOKUP('Données projet'!$B$14,Paramètres!$A$1:$I$89,5,0)</f>
        <v>552.09959999999978</v>
      </c>
      <c r="DQ166" s="14">
        <f t="shared" si="176"/>
        <v>122.01091055125165</v>
      </c>
      <c r="DR166" s="22">
        <f t="shared" si="177"/>
        <v>1174.0758058767628</v>
      </c>
      <c r="DS166" s="62">
        <f t="shared" si="125"/>
        <v>1464.5529946211584</v>
      </c>
      <c r="DT166" s="62">
        <f ca="1">AVERAGE(OFFSET($DS$3,0,0,'Données projet'!$E$14+1,1))-AVERAGE(OFFSET($H$3,0,0,'Données projet'!$E$14+1,1))</f>
        <v>667.0152731006724</v>
      </c>
      <c r="DU166" s="62">
        <f t="shared" si="152"/>
        <v>567.40780872008088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0.58484890231106246</v>
      </c>
      <c r="EC166" s="23">
        <f>EXP(-LN(2)/2)*EC165+(1-EXP(-LN(2)/2))/(LN(2)/2)*DW166*DZ166*VLOOKUP('Données projet'!$B$14,Paramètres!$A$1:$I$89,3,0)*0.475*44/12</f>
        <v>1.4213041128628356E-19</v>
      </c>
      <c r="ED166" s="24">
        <f t="shared" si="178"/>
        <v>0.58484890231106246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454.99849419289757</v>
      </c>
      <c r="EP166" s="62">
        <f t="shared" si="154"/>
        <v>288.86643267991928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69.221051475744247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2.7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167" s="12">
        <f t="shared" si="140"/>
        <v>11.054619486999963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99.114476202982388</v>
      </c>
      <c r="H167" s="70">
        <f t="shared" si="110"/>
        <v>299.81641893985829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427.57091071251745</v>
      </c>
      <c r="T167" s="62">
        <f t="shared" si="142"/>
        <v>272.62827206514726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475.54515523869958</v>
      </c>
      <c r="AO167" s="62">
        <f t="shared" si="144"/>
        <v>301.02979240961452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0.24914737974646789</v>
      </c>
      <c r="AW167" s="23">
        <f>EXP(-LN(2)/2)*AW166+(1-EXP(-LN(2)/2))/(LN(2)/2)*AQ167*AT167*VLOOKUP('Données projet'!$B$10,Paramètres!$A$1:$I$89,3,0)*0.475*44/12</f>
        <v>1.1322614805586356E-19</v>
      </c>
      <c r="AX167" s="23">
        <f t="shared" si="166"/>
        <v>0.24914737974646789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6.3550942286383367E-14</v>
      </c>
      <c r="BF167" s="14">
        <f t="shared" si="167"/>
        <v>1.0064464192543978E-12</v>
      </c>
      <c r="BG167" s="22">
        <f t="shared" si="168"/>
        <v>1.8635787380168604E-12</v>
      </c>
      <c r="BH167" s="62">
        <f t="shared" si="116"/>
        <v>290.52673646763276</v>
      </c>
      <c r="BI167" s="62">
        <f ca="1">AVERAGE(OFFSET($BH$3,0,0,'Données projet'!$E$11+1,1))-AVERAGE(OFFSET($H$3,0,0,'Données projet'!$E$11+1,1))</f>
        <v>381.71417599784968</v>
      </c>
      <c r="BJ167" s="62">
        <f t="shared" si="146"/>
        <v>350.49230135197979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2.2749933496314507</v>
      </c>
      <c r="BQ167" s="23">
        <f>EXP(-LN(2)/25)*BQ166+(1-EXP(-LN(2)/25))/(LN(2)/25)*Calculateur!BL167*Calculateur!BN167*VLOOKUP('Données projet'!$B$11,Paramètres!$A$1:$I$89,3,0)*0.475*44/12</f>
        <v>0.68437373841564364</v>
      </c>
      <c r="BR167" s="23">
        <f>EXP(-LN(2)/2)*BR166+(1-EXP(-LN(2)/2))/(LN(2)/2)*BL167*BO167*VLOOKUP('Données projet'!$B$11,Paramètres!$A$1:$I$89,3,0)*0.475*44/12</f>
        <v>4.7020782247295969E-19</v>
      </c>
      <c r="BS167" s="24">
        <f t="shared" si="169"/>
        <v>2.9593670880470944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3.1036506698001178E-14</v>
      </c>
      <c r="CA167" s="14">
        <f t="shared" si="170"/>
        <v>5.3428243983771088E-13</v>
      </c>
      <c r="CB167" s="22">
        <f t="shared" si="171"/>
        <v>9.8459716521636505E-13</v>
      </c>
      <c r="CC167" s="62">
        <f t="shared" si="119"/>
        <v>290.52673646763185</v>
      </c>
      <c r="CD167" s="62">
        <f ca="1">AVERAGE(OFFSET($CC$3,0,0,'Données projet'!$E$12+1,1))-AVERAGE(OFFSET($H$3,0,0,'Données projet'!$E$12+1,1))</f>
        <v>202.72043399839748</v>
      </c>
      <c r="CE167" s="62">
        <f t="shared" si="148"/>
        <v>295.50255983395789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0.14228918214279612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0.14228918214279612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4.9658410716801891E-14</v>
      </c>
      <c r="CV167" s="14">
        <f t="shared" si="173"/>
        <v>8.0934058173791862E-13</v>
      </c>
      <c r="CW167" s="22">
        <f t="shared" si="174"/>
        <v>1.4960899118586383E-12</v>
      </c>
      <c r="CX167" s="62">
        <f t="shared" si="122"/>
        <v>290.52673646763236</v>
      </c>
      <c r="CY167" s="62">
        <f ca="1">AVERAGE(OFFSET($CX$3,0,0,'Données projet'!$E$13+1,1))-AVERAGE(OFFSET($H$3,0,0,'Données projet'!$E$13+1,1))</f>
        <v>297.56177871222496</v>
      </c>
      <c r="CZ167" s="62">
        <f t="shared" si="150"/>
        <v>421.5717731815397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0.82392540150718219</v>
      </c>
      <c r="DH167" s="23">
        <f>EXP(-LN(2)/2)*DH166+(1-EXP(-LN(2)/2))/(LN(2)/2)*DB167*DE167*VLOOKUP('Données projet'!$B$13,Paramètres!$A$1:$I$89,3,0)*0.475*44/12</f>
        <v>1.103582237880733E-19</v>
      </c>
      <c r="DI167" s="24">
        <f t="shared" si="175"/>
        <v>0.82392540150718219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752.99999999999977</v>
      </c>
      <c r="DP167" s="18">
        <f>DO167*VLOOKUP('Données projet'!$B$14,Paramètres!$A$1:$I$89,3,0)*VLOOKUP('Données projet'!$B$14,Paramètres!$A$1:$I$89,5,0)</f>
        <v>552.09959999999978</v>
      </c>
      <c r="DQ167" s="14">
        <f t="shared" si="176"/>
        <v>122.01091055125165</v>
      </c>
      <c r="DR167" s="22">
        <f t="shared" si="177"/>
        <v>1174.0758058767628</v>
      </c>
      <c r="DS167" s="62">
        <f t="shared" si="125"/>
        <v>1464.6025423443937</v>
      </c>
      <c r="DT167" s="62">
        <f ca="1">AVERAGE(OFFSET($DS$3,0,0,'Données projet'!$E$14+1,1))-AVERAGE(OFFSET($H$3,0,0,'Données projet'!$E$14+1,1))</f>
        <v>667.0152731006724</v>
      </c>
      <c r="DU167" s="62">
        <f t="shared" si="152"/>
        <v>567.40780872008088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0.56885617832149937</v>
      </c>
      <c r="EC167" s="23">
        <f>EXP(-LN(2)/2)*EC166+(1-EXP(-LN(2)/2))/(LN(2)/2)*DW167*DZ167*VLOOKUP('Données projet'!$B$14,Paramètres!$A$1:$I$89,3,0)*0.475*44/12</f>
        <v>1.0050137763336411E-19</v>
      </c>
      <c r="ED167" s="24">
        <f t="shared" si="178"/>
        <v>0.56885617832149937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454.99849419289757</v>
      </c>
      <c r="EP167" s="62">
        <f t="shared" si="154"/>
        <v>288.86643267991928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69.234564491172065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2.7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36.679499999999997</v>
      </c>
      <c r="D168" s="12">
        <f t="shared" si="140"/>
        <v>11.11415853102028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99.65837611249529</v>
      </c>
      <c r="H168" s="70">
        <f t="shared" si="110"/>
        <v>300.30728860819369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427.57091071251745</v>
      </c>
      <c r="T168" s="62">
        <f t="shared" si="142"/>
        <v>272.62827206514726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475.54515523869958</v>
      </c>
      <c r="AO168" s="62">
        <f t="shared" si="144"/>
        <v>301.02979240961452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0.24233443154520945</v>
      </c>
      <c r="AW168" s="23">
        <f>EXP(-LN(2)/2)*AW167+(1-EXP(-LN(2)/2))/(LN(2)/2)*AQ168*AT168*VLOOKUP('Données projet'!$B$10,Paramètres!$A$1:$I$89,3,0)*0.475*44/12</f>
        <v>8.0062977097933146E-20</v>
      </c>
      <c r="AX168" s="23">
        <f t="shared" si="166"/>
        <v>0.24233443154520945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6.3550942286383367E-14</v>
      </c>
      <c r="BF168" s="14">
        <f t="shared" si="167"/>
        <v>1.0064464192543978E-12</v>
      </c>
      <c r="BG168" s="22">
        <f t="shared" si="168"/>
        <v>1.8635787380168604E-12</v>
      </c>
      <c r="BH168" s="62">
        <f t="shared" si="116"/>
        <v>290.57542464864213</v>
      </c>
      <c r="BI168" s="62">
        <f ca="1">AVERAGE(OFFSET($BH$3,0,0,'Données projet'!$E$11+1,1))-AVERAGE(OFFSET($H$3,0,0,'Données projet'!$E$11+1,1))</f>
        <v>381.71417599784968</v>
      </c>
      <c r="BJ168" s="62">
        <f t="shared" si="146"/>
        <v>350.49230135197979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2.2303821176541061</v>
      </c>
      <c r="BQ168" s="23">
        <f>EXP(-LN(2)/25)*BQ167+(1-EXP(-LN(2)/25))/(LN(2)/25)*Calculateur!BL168*Calculateur!BN168*VLOOKUP('Données projet'!$B$11,Paramètres!$A$1:$I$89,3,0)*0.475*44/12</f>
        <v>0.66565950254901707</v>
      </c>
      <c r="BR168" s="23">
        <f>EXP(-LN(2)/2)*BR167+(1-EXP(-LN(2)/2))/(LN(2)/2)*BL168*BO168*VLOOKUP('Données projet'!$B$11,Paramètres!$A$1:$I$89,3,0)*0.475*44/12</f>
        <v>3.324871398375901E-19</v>
      </c>
      <c r="BS168" s="24">
        <f t="shared" si="169"/>
        <v>2.8960416202031229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3.1036506698001178E-14</v>
      </c>
      <c r="CA168" s="14">
        <f t="shared" si="170"/>
        <v>5.3428243983771088E-13</v>
      </c>
      <c r="CB168" s="22">
        <f t="shared" si="171"/>
        <v>9.8459716521636505E-13</v>
      </c>
      <c r="CC168" s="62">
        <f t="shared" si="119"/>
        <v>290.57542464864122</v>
      </c>
      <c r="CD168" s="62">
        <f ca="1">AVERAGE(OFFSET($CC$3,0,0,'Données projet'!$E$12+1,1))-AVERAGE(OFFSET($H$3,0,0,'Données projet'!$E$12+1,1))</f>
        <v>202.72043399839748</v>
      </c>
      <c r="CE168" s="62">
        <f t="shared" si="148"/>
        <v>295.50255983395789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0.13839827697443849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0.13839827697443849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4.9658410716801891E-14</v>
      </c>
      <c r="CV168" s="14">
        <f t="shared" si="173"/>
        <v>8.0934058173791862E-13</v>
      </c>
      <c r="CW168" s="22">
        <f t="shared" si="174"/>
        <v>1.4960899118586383E-12</v>
      </c>
      <c r="CX168" s="62">
        <f t="shared" si="122"/>
        <v>290.57542464864173</v>
      </c>
      <c r="CY168" s="62">
        <f ca="1">AVERAGE(OFFSET($CX$3,0,0,'Données projet'!$E$13+1,1))-AVERAGE(OFFSET($H$3,0,0,'Données projet'!$E$13+1,1))</f>
        <v>297.56177871222496</v>
      </c>
      <c r="CZ168" s="62">
        <f t="shared" si="150"/>
        <v>421.5717731815397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0.8013951180746145</v>
      </c>
      <c r="DH168" s="23">
        <f>EXP(-LN(2)/2)*DH167+(1-EXP(-LN(2)/2))/(LN(2)/2)*DB168*DE168*VLOOKUP('Données projet'!$B$13,Paramètres!$A$1:$I$89,3,0)*0.475*44/12</f>
        <v>7.8035048400249196E-20</v>
      </c>
      <c r="DI168" s="24">
        <f t="shared" si="175"/>
        <v>0.8013951180746145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752.99999999999977</v>
      </c>
      <c r="DP168" s="18">
        <f>DO168*VLOOKUP('Données projet'!$B$14,Paramètres!$A$1:$I$89,3,0)*VLOOKUP('Données projet'!$B$14,Paramètres!$A$1:$I$89,5,0)</f>
        <v>552.09959999999978</v>
      </c>
      <c r="DQ168" s="14">
        <f t="shared" si="176"/>
        <v>122.01091055125165</v>
      </c>
      <c r="DR168" s="22">
        <f t="shared" si="177"/>
        <v>1174.0758058767628</v>
      </c>
      <c r="DS168" s="62">
        <f t="shared" si="125"/>
        <v>1464.6512305254032</v>
      </c>
      <c r="DT168" s="62">
        <f ca="1">AVERAGE(OFFSET($DS$3,0,0,'Données projet'!$E$14+1,1))-AVERAGE(OFFSET($H$3,0,0,'Données projet'!$E$14+1,1))</f>
        <v>667.0152731006724</v>
      </c>
      <c r="DU168" s="62">
        <f t="shared" si="152"/>
        <v>567.40780872008088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0.55330077621045171</v>
      </c>
      <c r="EC168" s="23">
        <f>EXP(-LN(2)/2)*EC167+(1-EXP(-LN(2)/2))/(LN(2)/2)*DW168*DZ168*VLOOKUP('Données projet'!$B$14,Paramètres!$A$1:$I$89,3,0)*0.475*44/12</f>
        <v>7.1065205643141779E-20</v>
      </c>
      <c r="ED168" s="24">
        <f t="shared" si="178"/>
        <v>0.55330077621045171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454.99849419289757</v>
      </c>
      <c r="EP168" s="62">
        <f t="shared" si="154"/>
        <v>288.86643267991928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69.247843085992798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2.7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36.901799999999994</v>
      </c>
      <c r="D169" s="12">
        <f t="shared" si="140"/>
        <v>11.173655587491252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100.20219499340416</v>
      </c>
      <c r="H169" s="70">
        <f t="shared" si="110"/>
        <v>300.79808514821394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427.57091071251745</v>
      </c>
      <c r="T169" s="62">
        <f t="shared" si="142"/>
        <v>272.62827206514726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475.54515523869958</v>
      </c>
      <c r="AO169" s="62">
        <f t="shared" si="144"/>
        <v>301.02979240961452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0.2357077837707918</v>
      </c>
      <c r="AW169" s="23">
        <f>EXP(-LN(2)/2)*AW168+(1-EXP(-LN(2)/2))/(LN(2)/2)*AQ169*AT169*VLOOKUP('Données projet'!$B$10,Paramètres!$A$1:$I$89,3,0)*0.475*44/12</f>
        <v>5.6613074027931778E-20</v>
      </c>
      <c r="AX169" s="23">
        <f t="shared" si="166"/>
        <v>0.2357077837707918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6.3550942286383367E-14</v>
      </c>
      <c r="BF169" s="14">
        <f t="shared" si="167"/>
        <v>1.0064464192543978E-12</v>
      </c>
      <c r="BG169" s="22">
        <f t="shared" si="168"/>
        <v>1.8635787380168604E-12</v>
      </c>
      <c r="BH169" s="62">
        <f t="shared" si="116"/>
        <v>290.62326819856145</v>
      </c>
      <c r="BI169" s="62">
        <f ca="1">AVERAGE(OFFSET($BH$3,0,0,'Données projet'!$E$11+1,1))-AVERAGE(OFFSET($H$3,0,0,'Données projet'!$E$11+1,1))</f>
        <v>381.71417599784968</v>
      </c>
      <c r="BJ169" s="62">
        <f t="shared" si="146"/>
        <v>350.49230135197979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2.1866456847256726</v>
      </c>
      <c r="BQ169" s="23">
        <f>EXP(-LN(2)/25)*BQ168+(1-EXP(-LN(2)/25))/(LN(2)/25)*Calculateur!BL169*Calculateur!BN169*VLOOKUP('Données projet'!$B$11,Paramètres!$A$1:$I$89,3,0)*0.475*44/12</f>
        <v>0.64745700844630238</v>
      </c>
      <c r="BR169" s="23">
        <f>EXP(-LN(2)/2)*BR168+(1-EXP(-LN(2)/2))/(LN(2)/2)*BL169*BO169*VLOOKUP('Données projet'!$B$11,Paramètres!$A$1:$I$89,3,0)*0.475*44/12</f>
        <v>2.3510391123647984E-19</v>
      </c>
      <c r="BS169" s="24">
        <f t="shared" si="169"/>
        <v>2.8341026931719751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3.1036506698001178E-14</v>
      </c>
      <c r="CA169" s="14">
        <f t="shared" si="170"/>
        <v>5.3428243983771088E-13</v>
      </c>
      <c r="CB169" s="22">
        <f t="shared" si="171"/>
        <v>9.8459716521636505E-13</v>
      </c>
      <c r="CC169" s="62">
        <f t="shared" si="119"/>
        <v>290.62326819856054</v>
      </c>
      <c r="CD169" s="62">
        <f ca="1">AVERAGE(OFFSET($CC$3,0,0,'Données projet'!$E$12+1,1))-AVERAGE(OFFSET($H$3,0,0,'Données projet'!$E$12+1,1))</f>
        <v>202.72043399839748</v>
      </c>
      <c r="CE169" s="62">
        <f t="shared" si="148"/>
        <v>295.50255983395789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0.1346137688125234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0.1346137688125234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4.9658410716801891E-14</v>
      </c>
      <c r="CV169" s="14">
        <f t="shared" si="173"/>
        <v>8.0934058173791862E-13</v>
      </c>
      <c r="CW169" s="22">
        <f t="shared" si="174"/>
        <v>1.4960899118586383E-12</v>
      </c>
      <c r="CX169" s="62">
        <f t="shared" si="122"/>
        <v>290.62326819856105</v>
      </c>
      <c r="CY169" s="62">
        <f ca="1">AVERAGE(OFFSET($CX$3,0,0,'Données projet'!$E$13+1,1))-AVERAGE(OFFSET($H$3,0,0,'Données projet'!$E$13+1,1))</f>
        <v>297.56177871222496</v>
      </c>
      <c r="CZ169" s="62">
        <f t="shared" si="150"/>
        <v>421.5717731815397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0.77948092642732647</v>
      </c>
      <c r="DH169" s="23">
        <f>EXP(-LN(2)/2)*DH168+(1-EXP(-LN(2)/2))/(LN(2)/2)*DB169*DE169*VLOOKUP('Données projet'!$B$13,Paramètres!$A$1:$I$89,3,0)*0.475*44/12</f>
        <v>5.5179111894036652E-20</v>
      </c>
      <c r="DI169" s="24">
        <f t="shared" si="175"/>
        <v>0.77948092642732647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752.99999999999977</v>
      </c>
      <c r="DP169" s="18">
        <f>DO169*VLOOKUP('Données projet'!$B$14,Paramètres!$A$1:$I$89,3,0)*VLOOKUP('Données projet'!$B$14,Paramètres!$A$1:$I$89,5,0)</f>
        <v>552.09959999999978</v>
      </c>
      <c r="DQ169" s="14">
        <f t="shared" si="176"/>
        <v>122.01091055125165</v>
      </c>
      <c r="DR169" s="22">
        <f t="shared" si="177"/>
        <v>1174.0758058767628</v>
      </c>
      <c r="DS169" s="62">
        <f t="shared" si="125"/>
        <v>1464.6990740753224</v>
      </c>
      <c r="DT169" s="62">
        <f ca="1">AVERAGE(OFFSET($DS$3,0,0,'Données projet'!$E$14+1,1))-AVERAGE(OFFSET($H$3,0,0,'Données projet'!$E$14+1,1))</f>
        <v>667.0152731006724</v>
      </c>
      <c r="DU169" s="62">
        <f t="shared" si="152"/>
        <v>567.40780872008088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0.53817073738815369</v>
      </c>
      <c r="EC169" s="23">
        <f>EXP(-LN(2)/2)*EC168+(1-EXP(-LN(2)/2))/(LN(2)/2)*DW169*DZ169*VLOOKUP('Données projet'!$B$14,Paramètres!$A$1:$I$89,3,0)*0.475*44/12</f>
        <v>5.0250688816682057E-20</v>
      </c>
      <c r="ED169" s="24">
        <f t="shared" si="178"/>
        <v>0.53817073738815369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454.99849419289757</v>
      </c>
      <c r="EP169" s="62">
        <f t="shared" si="154"/>
        <v>288.86643267991928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69.260891326879886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2.7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37.124099999999991</v>
      </c>
      <c r="D170" s="12">
        <f t="shared" si="140"/>
        <v>11.233110938696237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100.74593339046639</v>
      </c>
      <c r="H170" s="70">
        <f t="shared" si="110"/>
        <v>301.28880905156262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427.57091071251745</v>
      </c>
      <c r="T170" s="62">
        <f t="shared" si="142"/>
        <v>272.62827206514726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475.54515523869958</v>
      </c>
      <c r="AO170" s="62">
        <f t="shared" si="144"/>
        <v>301.02979240961452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0.22926234202824586</v>
      </c>
      <c r="AW170" s="23">
        <f>EXP(-LN(2)/2)*AW169+(1-EXP(-LN(2)/2))/(LN(2)/2)*AQ170*AT170*VLOOKUP('Données projet'!$B$10,Paramètres!$A$1:$I$89,3,0)*0.475*44/12</f>
        <v>4.0031488548966573E-20</v>
      </c>
      <c r="AX170" s="23">
        <f t="shared" si="166"/>
        <v>0.22926234202824586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6.3550942286383367E-14</v>
      </c>
      <c r="BF170" s="14">
        <f t="shared" si="167"/>
        <v>1.0064464192543978E-12</v>
      </c>
      <c r="BG170" s="22">
        <f t="shared" si="168"/>
        <v>1.8635787380168604E-12</v>
      </c>
      <c r="BH170" s="62">
        <f t="shared" si="116"/>
        <v>290.67028176985178</v>
      </c>
      <c r="BI170" s="62">
        <f ca="1">AVERAGE(OFFSET($BH$3,0,0,'Données projet'!$E$11+1,1))-AVERAGE(OFFSET($H$3,0,0,'Données projet'!$E$11+1,1))</f>
        <v>381.71417599784968</v>
      </c>
      <c r="BJ170" s="62">
        <f t="shared" si="146"/>
        <v>350.49230135197979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2.1437668965703756</v>
      </c>
      <c r="BQ170" s="23">
        <f>EXP(-LN(2)/25)*BQ169+(1-EXP(-LN(2)/25))/(LN(2)/25)*Calculateur!BL170*Calculateur!BN170*VLOOKUP('Données projet'!$B$11,Paramètres!$A$1:$I$89,3,0)*0.475*44/12</f>
        <v>0.62975226250205396</v>
      </c>
      <c r="BR170" s="23">
        <f>EXP(-LN(2)/2)*BR169+(1-EXP(-LN(2)/2))/(LN(2)/2)*BL170*BO170*VLOOKUP('Données projet'!$B$11,Paramètres!$A$1:$I$89,3,0)*0.475*44/12</f>
        <v>1.6624356991879505E-19</v>
      </c>
      <c r="BS170" s="24">
        <f t="shared" si="169"/>
        <v>2.7735191590724293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3.1036506698001178E-14</v>
      </c>
      <c r="CA170" s="14">
        <f t="shared" si="170"/>
        <v>5.3428243983771088E-13</v>
      </c>
      <c r="CB170" s="22">
        <f t="shared" si="171"/>
        <v>9.8459716521636505E-13</v>
      </c>
      <c r="CC170" s="62">
        <f t="shared" si="119"/>
        <v>290.67028176985087</v>
      </c>
      <c r="CD170" s="62">
        <f ca="1">AVERAGE(OFFSET($CC$3,0,0,'Données projet'!$E$12+1,1))-AVERAGE(OFFSET($H$3,0,0,'Données projet'!$E$12+1,1))</f>
        <v>202.72043399839748</v>
      </c>
      <c r="CE170" s="62">
        <f t="shared" si="148"/>
        <v>295.50255983395789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0.1309327482253145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0.1309327482253145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4.9658410716801891E-14</v>
      </c>
      <c r="CV170" s="14">
        <f t="shared" si="173"/>
        <v>8.0934058173791862E-13</v>
      </c>
      <c r="CW170" s="22">
        <f t="shared" si="174"/>
        <v>1.4960899118586383E-12</v>
      </c>
      <c r="CX170" s="62">
        <f t="shared" si="122"/>
        <v>290.67028176985139</v>
      </c>
      <c r="CY170" s="62">
        <f ca="1">AVERAGE(OFFSET($CX$3,0,0,'Données projet'!$E$13+1,1))-AVERAGE(OFFSET($H$3,0,0,'Données projet'!$E$13+1,1))</f>
        <v>297.56177871222496</v>
      </c>
      <c r="CZ170" s="62">
        <f t="shared" si="150"/>
        <v>421.5717731815397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0.75816597950305087</v>
      </c>
      <c r="DH170" s="23">
        <f>EXP(-LN(2)/2)*DH169+(1-EXP(-LN(2)/2))/(LN(2)/2)*DB170*DE170*VLOOKUP('Données projet'!$B$13,Paramètres!$A$1:$I$89,3,0)*0.475*44/12</f>
        <v>3.9017524200124598E-20</v>
      </c>
      <c r="DI170" s="24">
        <f t="shared" si="175"/>
        <v>0.75816597950305087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752.99999999999977</v>
      </c>
      <c r="DP170" s="18">
        <f>DO170*VLOOKUP('Données projet'!$B$14,Paramètres!$A$1:$I$89,3,0)*VLOOKUP('Données projet'!$B$14,Paramètres!$A$1:$I$89,5,0)</f>
        <v>552.09959999999978</v>
      </c>
      <c r="DQ170" s="14">
        <f t="shared" si="176"/>
        <v>122.01091055125165</v>
      </c>
      <c r="DR170" s="22">
        <f t="shared" si="177"/>
        <v>1174.0758058767628</v>
      </c>
      <c r="DS170" s="62">
        <f t="shared" si="125"/>
        <v>1464.7460876466128</v>
      </c>
      <c r="DT170" s="62">
        <f ca="1">AVERAGE(OFFSET($DS$3,0,0,'Données projet'!$E$14+1,1))-AVERAGE(OFFSET($H$3,0,0,'Données projet'!$E$14+1,1))</f>
        <v>667.0152731006724</v>
      </c>
      <c r="DU170" s="62">
        <f t="shared" si="152"/>
        <v>567.40780872008088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0.52345443027310556</v>
      </c>
      <c r="EC170" s="23">
        <f>EXP(-LN(2)/2)*EC169+(1-EXP(-LN(2)/2))/(LN(2)/2)*DW170*DZ170*VLOOKUP('Données projet'!$B$14,Paramètres!$A$1:$I$89,3,0)*0.475*44/12</f>
        <v>3.5532602821570889E-20</v>
      </c>
      <c r="ED170" s="24">
        <f t="shared" si="178"/>
        <v>0.52345443027310556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454.99849419289757</v>
      </c>
      <c r="EP170" s="62">
        <f t="shared" si="154"/>
        <v>288.86643267991928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69.27371320995907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2.7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37.346399999999988</v>
      </c>
      <c r="D171" s="12">
        <f t="shared" si="140"/>
        <v>11.292524863342392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101.28959184153791</v>
      </c>
      <c r="H171" s="70">
        <f t="shared" si="110"/>
        <v>301.77946080365467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427.57091071251745</v>
      </c>
      <c r="T171" s="62">
        <f t="shared" si="142"/>
        <v>272.62827206514726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475.54515523869958</v>
      </c>
      <c r="AO171" s="62">
        <f t="shared" si="144"/>
        <v>301.02979240961452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0.22299315122910091</v>
      </c>
      <c r="AW171" s="23">
        <f>EXP(-LN(2)/2)*AW170+(1-EXP(-LN(2)/2))/(LN(2)/2)*AQ171*AT171*VLOOKUP('Données projet'!$B$10,Paramètres!$A$1:$I$89,3,0)*0.475*44/12</f>
        <v>2.8306537013965889E-20</v>
      </c>
      <c r="AX171" s="23">
        <f t="shared" si="166"/>
        <v>0.22299315122910091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6.3550942286383367E-14</v>
      </c>
      <c r="BF171" s="14">
        <f t="shared" si="167"/>
        <v>1.0064464192543978E-12</v>
      </c>
      <c r="BG171" s="22">
        <f t="shared" si="168"/>
        <v>1.8635787380168604E-12</v>
      </c>
      <c r="BH171" s="62">
        <f t="shared" si="116"/>
        <v>290.7164797607868</v>
      </c>
      <c r="BI171" s="62">
        <f ca="1">AVERAGE(OFFSET($BH$3,0,0,'Données projet'!$E$11+1,1))-AVERAGE(OFFSET($H$3,0,0,'Données projet'!$E$11+1,1))</f>
        <v>381.71417599784968</v>
      </c>
      <c r="BJ171" s="62">
        <f t="shared" si="146"/>
        <v>350.49230135197979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2.1017289352973259</v>
      </c>
      <c r="BQ171" s="23">
        <f>EXP(-LN(2)/25)*BQ170+(1-EXP(-LN(2)/25))/(LN(2)/25)*Calculateur!BL171*Calculateur!BN171*VLOOKUP('Données projet'!$B$11,Paramètres!$A$1:$I$89,3,0)*0.475*44/12</f>
        <v>0.61253165376670315</v>
      </c>
      <c r="BR171" s="23">
        <f>EXP(-LN(2)/2)*BR170+(1-EXP(-LN(2)/2))/(LN(2)/2)*BL171*BO171*VLOOKUP('Données projet'!$B$11,Paramètres!$A$1:$I$89,3,0)*0.475*44/12</f>
        <v>1.1755195561823992E-19</v>
      </c>
      <c r="BS171" s="24">
        <f t="shared" si="169"/>
        <v>2.714260589064029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3.1036506698001178E-14</v>
      </c>
      <c r="CA171" s="14">
        <f t="shared" si="170"/>
        <v>5.3428243983771088E-13</v>
      </c>
      <c r="CB171" s="22">
        <f t="shared" si="171"/>
        <v>9.8459716521636505E-13</v>
      </c>
      <c r="CC171" s="62">
        <f t="shared" si="119"/>
        <v>290.71647976078589</v>
      </c>
      <c r="CD171" s="62">
        <f ca="1">AVERAGE(OFFSET($CC$3,0,0,'Données projet'!$E$12+1,1))-AVERAGE(OFFSET($H$3,0,0,'Données projet'!$E$12+1,1))</f>
        <v>202.72043399839748</v>
      </c>
      <c r="CE171" s="62">
        <f t="shared" si="148"/>
        <v>295.50255983395789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0.1273523853396393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0.1273523853396393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4.9658410716801891E-14</v>
      </c>
      <c r="CV171" s="14">
        <f t="shared" si="173"/>
        <v>8.0934058173791862E-13</v>
      </c>
      <c r="CW171" s="22">
        <f t="shared" si="174"/>
        <v>1.4960899118586383E-12</v>
      </c>
      <c r="CX171" s="62">
        <f t="shared" si="122"/>
        <v>290.7164797607864</v>
      </c>
      <c r="CY171" s="62">
        <f ca="1">AVERAGE(OFFSET($CX$3,0,0,'Données projet'!$E$13+1,1))-AVERAGE(OFFSET($H$3,0,0,'Données projet'!$E$13+1,1))</f>
        <v>297.56177871222496</v>
      </c>
      <c r="CZ171" s="62">
        <f t="shared" si="150"/>
        <v>421.5717731815397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0.7374338909233239</v>
      </c>
      <c r="DH171" s="23">
        <f>EXP(-LN(2)/2)*DH170+(1-EXP(-LN(2)/2))/(LN(2)/2)*DB171*DE171*VLOOKUP('Données projet'!$B$13,Paramètres!$A$1:$I$89,3,0)*0.475*44/12</f>
        <v>2.7589555947018326E-20</v>
      </c>
      <c r="DI171" s="24">
        <f t="shared" si="175"/>
        <v>0.7374338909233239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752.99999999999977</v>
      </c>
      <c r="DP171" s="18">
        <f>DO171*VLOOKUP('Données projet'!$B$14,Paramètres!$A$1:$I$89,3,0)*VLOOKUP('Données projet'!$B$14,Paramètres!$A$1:$I$89,5,0)</f>
        <v>552.09959999999978</v>
      </c>
      <c r="DQ171" s="14">
        <f t="shared" si="176"/>
        <v>122.01091055125165</v>
      </c>
      <c r="DR171" s="22">
        <f t="shared" si="177"/>
        <v>1174.0758058767628</v>
      </c>
      <c r="DS171" s="62">
        <f t="shared" si="125"/>
        <v>1464.7922856375478</v>
      </c>
      <c r="DT171" s="62">
        <f ca="1">AVERAGE(OFFSET($DS$3,0,0,'Données projet'!$E$14+1,1))-AVERAGE(OFFSET($H$3,0,0,'Données projet'!$E$14+1,1))</f>
        <v>667.0152731006724</v>
      </c>
      <c r="DU171" s="62">
        <f t="shared" si="152"/>
        <v>567.40780872008088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0.50914054135001541</v>
      </c>
      <c r="EC171" s="23">
        <f>EXP(-LN(2)/2)*EC170+(1-EXP(-LN(2)/2))/(LN(2)/2)*DW171*DZ171*VLOOKUP('Données projet'!$B$14,Paramètres!$A$1:$I$89,3,0)*0.475*44/12</f>
        <v>2.5125344408341028E-20</v>
      </c>
      <c r="ED171" s="24">
        <f t="shared" si="178"/>
        <v>0.50914054135001541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454.99849419289757</v>
      </c>
      <c r="EP171" s="62">
        <f t="shared" si="154"/>
        <v>288.86643267991928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69.286312662032259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2.7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37.568699999999986</v>
      </c>
      <c r="D172" s="12">
        <f t="shared" si="140"/>
        <v>11.351897636626971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101.83317087770115</v>
      </c>
      <c r="H172" s="70">
        <f t="shared" si="110"/>
        <v>302.27004088379198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427.57091071251745</v>
      </c>
      <c r="T172" s="62">
        <f t="shared" si="142"/>
        <v>272.62827206514726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475.54515523869958</v>
      </c>
      <c r="AO172" s="62">
        <f t="shared" si="144"/>
        <v>301.02979240961452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0.21689539178204098</v>
      </c>
      <c r="AW172" s="23">
        <f>EXP(-LN(2)/2)*AW171+(1-EXP(-LN(2)/2))/(LN(2)/2)*AQ172*AT172*VLOOKUP('Données projet'!$B$10,Paramètres!$A$1:$I$89,3,0)*0.475*44/12</f>
        <v>2.0015744274483287E-20</v>
      </c>
      <c r="AX172" s="23">
        <f t="shared" si="166"/>
        <v>0.21689539178204098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6.3550942286383367E-14</v>
      </c>
      <c r="BF172" s="14">
        <f t="shared" si="167"/>
        <v>1.0064464192543978E-12</v>
      </c>
      <c r="BG172" s="22">
        <f t="shared" si="168"/>
        <v>1.8635787380168604E-12</v>
      </c>
      <c r="BH172" s="62">
        <f t="shared" si="116"/>
        <v>290.76187631986244</v>
      </c>
      <c r="BI172" s="62">
        <f ca="1">AVERAGE(OFFSET($BH$3,0,0,'Données projet'!$E$11+1,1))-AVERAGE(OFFSET($H$3,0,0,'Données projet'!$E$11+1,1))</f>
        <v>381.71417599784968</v>
      </c>
      <c r="BJ172" s="62">
        <f t="shared" si="146"/>
        <v>350.49230135197979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2.060515312804216</v>
      </c>
      <c r="BQ172" s="23">
        <f>EXP(-LN(2)/25)*BQ171+(1-EXP(-LN(2)/25))/(LN(2)/25)*Calculateur!BL172*Calculateur!BN172*VLOOKUP('Données projet'!$B$11,Paramètres!$A$1:$I$89,3,0)*0.475*44/12</f>
        <v>0.59578194348281299</v>
      </c>
      <c r="BR172" s="23">
        <f>EXP(-LN(2)/2)*BR171+(1-EXP(-LN(2)/2))/(LN(2)/2)*BL172*BO172*VLOOKUP('Données projet'!$B$11,Paramètres!$A$1:$I$89,3,0)*0.475*44/12</f>
        <v>8.3121784959397524E-20</v>
      </c>
      <c r="BS172" s="24">
        <f t="shared" si="169"/>
        <v>2.6562972562870288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3.1036506698001178E-14</v>
      </c>
      <c r="CA172" s="14">
        <f t="shared" si="170"/>
        <v>5.3428243983771088E-13</v>
      </c>
      <c r="CB172" s="22">
        <f t="shared" si="171"/>
        <v>9.8459716521636505E-13</v>
      </c>
      <c r="CC172" s="62">
        <f t="shared" si="119"/>
        <v>290.76187631986153</v>
      </c>
      <c r="CD172" s="62">
        <f ca="1">AVERAGE(OFFSET($CC$3,0,0,'Données projet'!$E$12+1,1))-AVERAGE(OFFSET($H$3,0,0,'Données projet'!$E$12+1,1))</f>
        <v>202.72043399839748</v>
      </c>
      <c r="CE172" s="62">
        <f t="shared" si="148"/>
        <v>295.50255983395789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0.12386992766535598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0.12386992766535598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4.9658410716801891E-14</v>
      </c>
      <c r="CV172" s="14">
        <f t="shared" si="173"/>
        <v>8.0934058173791862E-13</v>
      </c>
      <c r="CW172" s="22">
        <f t="shared" si="174"/>
        <v>1.4960899118586383E-12</v>
      </c>
      <c r="CX172" s="62">
        <f t="shared" si="122"/>
        <v>290.76187631986204</v>
      </c>
      <c r="CY172" s="62">
        <f ca="1">AVERAGE(OFFSET($CX$3,0,0,'Données projet'!$E$13+1,1))-AVERAGE(OFFSET($H$3,0,0,'Données projet'!$E$13+1,1))</f>
        <v>297.56177871222496</v>
      </c>
      <c r="CZ172" s="62">
        <f t="shared" si="150"/>
        <v>421.5717731815397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0.71726872239606276</v>
      </c>
      <c r="DH172" s="23">
        <f>EXP(-LN(2)/2)*DH171+(1-EXP(-LN(2)/2))/(LN(2)/2)*DB172*DE172*VLOOKUP('Données projet'!$B$13,Paramètres!$A$1:$I$89,3,0)*0.475*44/12</f>
        <v>1.9508762100062299E-20</v>
      </c>
      <c r="DI172" s="24">
        <f t="shared" si="175"/>
        <v>0.71726872239606276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752.99999999999977</v>
      </c>
      <c r="DP172" s="18">
        <f>DO172*VLOOKUP('Données projet'!$B$14,Paramètres!$A$1:$I$89,3,0)*VLOOKUP('Données projet'!$B$14,Paramètres!$A$1:$I$89,5,0)</f>
        <v>552.09959999999978</v>
      </c>
      <c r="DQ172" s="14">
        <f t="shared" si="176"/>
        <v>122.01091055125165</v>
      </c>
      <c r="DR172" s="22">
        <f t="shared" si="177"/>
        <v>1174.0758058767628</v>
      </c>
      <c r="DS172" s="62">
        <f t="shared" si="125"/>
        <v>1464.8376821966235</v>
      </c>
      <c r="DT172" s="62">
        <f ca="1">AVERAGE(OFFSET($DS$3,0,0,'Données projet'!$E$14+1,1))-AVERAGE(OFFSET($H$3,0,0,'Données projet'!$E$14+1,1))</f>
        <v>667.0152731006724</v>
      </c>
      <c r="DU172" s="62">
        <f t="shared" si="152"/>
        <v>567.40780872008088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0.4952180664722618</v>
      </c>
      <c r="EC172" s="23">
        <f>EXP(-LN(2)/2)*EC171+(1-EXP(-LN(2)/2))/(LN(2)/2)*DW172*DZ172*VLOOKUP('Données projet'!$B$14,Paramètres!$A$1:$I$89,3,0)*0.475*44/12</f>
        <v>1.7766301410785445E-20</v>
      </c>
      <c r="ED172" s="24">
        <f t="shared" si="178"/>
        <v>0.4952180664722618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454.99849419289757</v>
      </c>
      <c r="EP172" s="62">
        <f t="shared" si="154"/>
        <v>288.86643267991928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69.298693541780153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2.7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37.790999999999983</v>
      </c>
      <c r="D173" s="12">
        <f t="shared" si="140"/>
        <v>11.411229530302052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102.37667102338989</v>
      </c>
      <c r="H173" s="70">
        <f t="shared" si="110"/>
        <v>302.7605497652761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427.57091071251745</v>
      </c>
      <c r="T173" s="62">
        <f t="shared" si="142"/>
        <v>272.62827206514726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475.54515523869958</v>
      </c>
      <c r="AO173" s="62">
        <f t="shared" si="144"/>
        <v>301.02979240961452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0.21096437588772815</v>
      </c>
      <c r="AW173" s="23">
        <f>EXP(-LN(2)/2)*AW172+(1-EXP(-LN(2)/2))/(LN(2)/2)*AQ173*AT173*VLOOKUP('Données projet'!$B$10,Paramètres!$A$1:$I$89,3,0)*0.475*44/12</f>
        <v>1.4153268506982945E-20</v>
      </c>
      <c r="AX173" s="23">
        <f t="shared" si="166"/>
        <v>0.21096437588772815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6.3550942286383367E-14</v>
      </c>
      <c r="BF173" s="14">
        <f t="shared" si="167"/>
        <v>1.0064464192543978E-12</v>
      </c>
      <c r="BG173" s="22">
        <f t="shared" si="168"/>
        <v>1.8635787380168604E-12</v>
      </c>
      <c r="BH173" s="62">
        <f t="shared" si="116"/>
        <v>290.80648535012961</v>
      </c>
      <c r="BI173" s="62">
        <f ca="1">AVERAGE(OFFSET($BH$3,0,0,'Données projet'!$E$11+1,1))-AVERAGE(OFFSET($H$3,0,0,'Données projet'!$E$11+1,1))</f>
        <v>381.71417599784968</v>
      </c>
      <c r="BJ173" s="62">
        <f t="shared" si="146"/>
        <v>350.49230135197979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2.0201098643103683</v>
      </c>
      <c r="BQ173" s="23">
        <f>EXP(-LN(2)/25)*BQ172+(1-EXP(-LN(2)/25))/(LN(2)/25)*Calculateur!BL173*Calculateur!BN173*VLOOKUP('Données projet'!$B$11,Paramètres!$A$1:$I$89,3,0)*0.475*44/12</f>
        <v>0.57949025490746475</v>
      </c>
      <c r="BR173" s="23">
        <f>EXP(-LN(2)/2)*BR172+(1-EXP(-LN(2)/2))/(LN(2)/2)*BL173*BO173*VLOOKUP('Données projet'!$B$11,Paramètres!$A$1:$I$89,3,0)*0.475*44/12</f>
        <v>5.8775977809119961E-20</v>
      </c>
      <c r="BS173" s="24">
        <f t="shared" si="169"/>
        <v>2.5996001192178331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3.1036506698001178E-14</v>
      </c>
      <c r="CA173" s="14">
        <f t="shared" si="170"/>
        <v>5.3428243983771088E-13</v>
      </c>
      <c r="CB173" s="22">
        <f t="shared" si="171"/>
        <v>9.8459716521636505E-13</v>
      </c>
      <c r="CC173" s="62">
        <f t="shared" si="119"/>
        <v>290.8064853501287</v>
      </c>
      <c r="CD173" s="62">
        <f ca="1">AVERAGE(OFFSET($CC$3,0,0,'Données projet'!$E$12+1,1))-AVERAGE(OFFSET($H$3,0,0,'Données projet'!$E$12+1,1))</f>
        <v>202.72043399839748</v>
      </c>
      <c r="CE173" s="62">
        <f t="shared" si="148"/>
        <v>295.50255983395789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0.12048269797931044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0.12048269797931044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4.9658410716801891E-14</v>
      </c>
      <c r="CV173" s="14">
        <f t="shared" si="173"/>
        <v>8.0934058173791862E-13</v>
      </c>
      <c r="CW173" s="22">
        <f t="shared" si="174"/>
        <v>1.4960899118586383E-12</v>
      </c>
      <c r="CX173" s="62">
        <f t="shared" si="122"/>
        <v>290.80648535012921</v>
      </c>
      <c r="CY173" s="62">
        <f ca="1">AVERAGE(OFFSET($CX$3,0,0,'Données projet'!$E$13+1,1))-AVERAGE(OFFSET($H$3,0,0,'Données projet'!$E$13+1,1))</f>
        <v>297.56177871222496</v>
      </c>
      <c r="CZ173" s="62">
        <f t="shared" si="150"/>
        <v>421.5717731815397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0.69765497146261968</v>
      </c>
      <c r="DH173" s="23">
        <f>EXP(-LN(2)/2)*DH172+(1-EXP(-LN(2)/2))/(LN(2)/2)*DB173*DE173*VLOOKUP('Données projet'!$B$13,Paramètres!$A$1:$I$89,3,0)*0.475*44/12</f>
        <v>1.3794777973509163E-20</v>
      </c>
      <c r="DI173" s="24">
        <f t="shared" si="175"/>
        <v>0.69765497146261968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752.99999999999977</v>
      </c>
      <c r="DP173" s="18">
        <f>DO173*VLOOKUP('Données projet'!$B$14,Paramètres!$A$1:$I$89,3,0)*VLOOKUP('Données projet'!$B$14,Paramètres!$A$1:$I$89,5,0)</f>
        <v>552.09959999999978</v>
      </c>
      <c r="DQ173" s="14">
        <f t="shared" si="176"/>
        <v>122.01091055125165</v>
      </c>
      <c r="DR173" s="22">
        <f t="shared" si="177"/>
        <v>1174.0758058767628</v>
      </c>
      <c r="DS173" s="62">
        <f t="shared" si="125"/>
        <v>1464.8822912268906</v>
      </c>
      <c r="DT173" s="62">
        <f ca="1">AVERAGE(OFFSET($DS$3,0,0,'Données projet'!$E$14+1,1))-AVERAGE(OFFSET($H$3,0,0,'Données projet'!$E$14+1,1))</f>
        <v>667.0152731006724</v>
      </c>
      <c r="DU173" s="62">
        <f t="shared" si="152"/>
        <v>567.40780872008088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0.4816763024021915</v>
      </c>
      <c r="EC173" s="23">
        <f>EXP(-LN(2)/2)*EC172+(1-EXP(-LN(2)/2))/(LN(2)/2)*DW173*DZ173*VLOOKUP('Données projet'!$B$14,Paramètres!$A$1:$I$89,3,0)*0.475*44/12</f>
        <v>1.2562672204170514E-20</v>
      </c>
      <c r="ED173" s="24">
        <f t="shared" si="178"/>
        <v>0.4816763024021915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454.99849419289757</v>
      </c>
      <c r="EP173" s="62">
        <f t="shared" si="154"/>
        <v>288.86643267991928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69.310859640943917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2.7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38.01329999999998</v>
      </c>
      <c r="D174" s="12">
        <f t="shared" si="140"/>
        <v>11.470520812737652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102.92009279651123</v>
      </c>
      <c r="H174" s="70">
        <f t="shared" si="110"/>
        <v>303.25098791551807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427.57091071251745</v>
      </c>
      <c r="T174" s="62">
        <f t="shared" si="142"/>
        <v>272.62827206514726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475.54515523869958</v>
      </c>
      <c r="AO174" s="62">
        <f t="shared" si="144"/>
        <v>301.02979240961452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0.20519554393494385</v>
      </c>
      <c r="AW174" s="23">
        <f>EXP(-LN(2)/2)*AW173+(1-EXP(-LN(2)/2))/(LN(2)/2)*AQ174*AT174*VLOOKUP('Données projet'!$B$10,Paramètres!$A$1:$I$89,3,0)*0.475*44/12</f>
        <v>1.0007872137241643E-20</v>
      </c>
      <c r="AX174" s="23">
        <f t="shared" si="166"/>
        <v>0.20519554393494385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6.3550942286383367E-14</v>
      </c>
      <c r="BF174" s="14">
        <f t="shared" si="167"/>
        <v>1.0064464192543978E-12</v>
      </c>
      <c r="BG174" s="22">
        <f t="shared" si="168"/>
        <v>1.8635787380168604E-12</v>
      </c>
      <c r="BH174" s="62">
        <f t="shared" si="116"/>
        <v>290.8503205134524</v>
      </c>
      <c r="BI174" s="62">
        <f ca="1">AVERAGE(OFFSET($BH$3,0,0,'Données projet'!$E$11+1,1))-AVERAGE(OFFSET($H$3,0,0,'Données projet'!$E$11+1,1))</f>
        <v>381.71417599784968</v>
      </c>
      <c r="BJ174" s="62">
        <f t="shared" si="146"/>
        <v>350.49230135197979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1.9804967420165949</v>
      </c>
      <c r="BQ174" s="23">
        <f>EXP(-LN(2)/25)*BQ173+(1-EXP(-LN(2)/25))/(LN(2)/25)*Calculateur!BL174*Calculateur!BN174*VLOOKUP('Données projet'!$B$11,Paramètres!$A$1:$I$89,3,0)*0.475*44/12</f>
        <v>0.56364406341295203</v>
      </c>
      <c r="BR174" s="23">
        <f>EXP(-LN(2)/2)*BR173+(1-EXP(-LN(2)/2))/(LN(2)/2)*BL174*BO174*VLOOKUP('Données projet'!$B$11,Paramètres!$A$1:$I$89,3,0)*0.475*44/12</f>
        <v>4.1560892479698762E-20</v>
      </c>
      <c r="BS174" s="24">
        <f t="shared" si="169"/>
        <v>2.5441408054295467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3.1036506698001178E-14</v>
      </c>
      <c r="CA174" s="14">
        <f t="shared" si="170"/>
        <v>5.3428243983771088E-13</v>
      </c>
      <c r="CB174" s="22">
        <f t="shared" si="171"/>
        <v>9.8459716521636505E-13</v>
      </c>
      <c r="CC174" s="62">
        <f t="shared" si="119"/>
        <v>290.85032051345149</v>
      </c>
      <c r="CD174" s="62">
        <f ca="1">AVERAGE(OFFSET($CC$3,0,0,'Données projet'!$E$12+1,1))-AVERAGE(OFFSET($H$3,0,0,'Données projet'!$E$12+1,1))</f>
        <v>202.72043399839748</v>
      </c>
      <c r="CE174" s="62">
        <f t="shared" si="148"/>
        <v>295.50255983395789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0.11718809226715647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0.11718809226715647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4.9658410716801891E-14</v>
      </c>
      <c r="CV174" s="14">
        <f t="shared" si="173"/>
        <v>8.0934058173791862E-13</v>
      </c>
      <c r="CW174" s="22">
        <f t="shared" si="174"/>
        <v>1.4960899118586383E-12</v>
      </c>
      <c r="CX174" s="62">
        <f t="shared" si="122"/>
        <v>290.850320513452</v>
      </c>
      <c r="CY174" s="62">
        <f ca="1">AVERAGE(OFFSET($CX$3,0,0,'Données projet'!$E$13+1,1))-AVERAGE(OFFSET($H$3,0,0,'Données projet'!$E$13+1,1))</f>
        <v>297.56177871222496</v>
      </c>
      <c r="CZ174" s="62">
        <f t="shared" si="150"/>
        <v>421.5717731815397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0.67857755957989385</v>
      </c>
      <c r="DH174" s="23">
        <f>EXP(-LN(2)/2)*DH173+(1-EXP(-LN(2)/2))/(LN(2)/2)*DB174*DE174*VLOOKUP('Données projet'!$B$13,Paramètres!$A$1:$I$89,3,0)*0.475*44/12</f>
        <v>9.7543810500311495E-21</v>
      </c>
      <c r="DI174" s="24">
        <f t="shared" si="175"/>
        <v>0.67857755957989385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752.99999999999977</v>
      </c>
      <c r="DP174" s="18">
        <f>DO174*VLOOKUP('Données projet'!$B$14,Paramètres!$A$1:$I$89,3,0)*VLOOKUP('Données projet'!$B$14,Paramètres!$A$1:$I$89,5,0)</f>
        <v>552.09959999999978</v>
      </c>
      <c r="DQ174" s="14">
        <f t="shared" si="176"/>
        <v>122.01091055125165</v>
      </c>
      <c r="DR174" s="22">
        <f t="shared" si="177"/>
        <v>1174.0758058767628</v>
      </c>
      <c r="DS174" s="62">
        <f t="shared" si="125"/>
        <v>1464.9261263902133</v>
      </c>
      <c r="DT174" s="62">
        <f ca="1">AVERAGE(OFFSET($DS$3,0,0,'Données projet'!$E$14+1,1))-AVERAGE(OFFSET($H$3,0,0,'Données projet'!$E$14+1,1))</f>
        <v>667.0152731006724</v>
      </c>
      <c r="DU174" s="62">
        <f t="shared" si="152"/>
        <v>567.40780872008088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0.46850483858274772</v>
      </c>
      <c r="EC174" s="23">
        <f>EXP(-LN(2)/2)*EC173+(1-EXP(-LN(2)/2))/(LN(2)/2)*DW174*DZ174*VLOOKUP('Données projet'!$B$14,Paramètres!$A$1:$I$89,3,0)*0.475*44/12</f>
        <v>8.8831507053927223E-21</v>
      </c>
      <c r="ED174" s="24">
        <f t="shared" si="178"/>
        <v>0.46850483858274772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454.99849419289757</v>
      </c>
      <c r="EP174" s="62">
        <f t="shared" si="154"/>
        <v>288.86643267991928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69.322814685486506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2.7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38.235599999999977</v>
      </c>
      <c r="D175" s="12">
        <f t="shared" si="140"/>
        <v>11.529771748983341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103.4634367085643</v>
      </c>
      <c r="H175" s="70">
        <f t="shared" si="110"/>
        <v>303.74135579614597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427.57091071251745</v>
      </c>
      <c r="T175" s="62">
        <f t="shared" si="142"/>
        <v>272.62827206514726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475.54515523869958</v>
      </c>
      <c r="AO175" s="62">
        <f t="shared" si="144"/>
        <v>301.02979240961452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0.19958446099527813</v>
      </c>
      <c r="AW175" s="23">
        <f>EXP(-LN(2)/2)*AW174+(1-EXP(-LN(2)/2))/(LN(2)/2)*AQ175*AT175*VLOOKUP('Données projet'!$B$10,Paramètres!$A$1:$I$89,3,0)*0.475*44/12</f>
        <v>7.0766342534914723E-21</v>
      </c>
      <c r="AX175" s="23">
        <f t="shared" si="166"/>
        <v>0.19958446099527813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6.3550942286383367E-14</v>
      </c>
      <c r="BF175" s="14">
        <f t="shared" si="167"/>
        <v>1.0064464192543978E-12</v>
      </c>
      <c r="BG175" s="22">
        <f t="shared" si="168"/>
        <v>1.8635787380168604E-12</v>
      </c>
      <c r="BH175" s="62">
        <f t="shared" si="116"/>
        <v>290.89339523469232</v>
      </c>
      <c r="BI175" s="62">
        <f ca="1">AVERAGE(OFFSET($BH$3,0,0,'Données projet'!$E$11+1,1))-AVERAGE(OFFSET($H$3,0,0,'Données projet'!$E$11+1,1))</f>
        <v>381.71417599784968</v>
      </c>
      <c r="BJ175" s="62">
        <f t="shared" si="146"/>
        <v>350.49230135197979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1.9416604088893836</v>
      </c>
      <c r="BQ175" s="23">
        <f>EXP(-LN(2)/25)*BQ174+(1-EXP(-LN(2)/25))/(LN(2)/25)*Calculateur!BL175*Calculateur!BN175*VLOOKUP('Données projet'!$B$11,Paramètres!$A$1:$I$89,3,0)*0.475*44/12</f>
        <v>0.54823118685817174</v>
      </c>
      <c r="BR175" s="23">
        <f>EXP(-LN(2)/2)*BR174+(1-EXP(-LN(2)/2))/(LN(2)/2)*BL175*BO175*VLOOKUP('Données projet'!$B$11,Paramètres!$A$1:$I$89,3,0)*0.475*44/12</f>
        <v>2.938798890455998E-20</v>
      </c>
      <c r="BS175" s="24">
        <f t="shared" si="169"/>
        <v>2.4898915957475554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3.1036506698001178E-14</v>
      </c>
      <c r="CA175" s="14">
        <f t="shared" si="170"/>
        <v>5.3428243983771088E-13</v>
      </c>
      <c r="CB175" s="22">
        <f t="shared" si="171"/>
        <v>9.8459716521636505E-13</v>
      </c>
      <c r="CC175" s="62">
        <f t="shared" si="119"/>
        <v>290.89339523469141</v>
      </c>
      <c r="CD175" s="62">
        <f ca="1">AVERAGE(OFFSET($CC$3,0,0,'Données projet'!$E$12+1,1))-AVERAGE(OFFSET($H$3,0,0,'Données projet'!$E$12+1,1))</f>
        <v>202.72043399839748</v>
      </c>
      <c r="CE175" s="62">
        <f t="shared" si="148"/>
        <v>295.50255983395789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0.11398357772145715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0.11398357772145715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4.9658410716801891E-14</v>
      </c>
      <c r="CV175" s="14">
        <f t="shared" si="173"/>
        <v>8.0934058173791862E-13</v>
      </c>
      <c r="CW175" s="22">
        <f t="shared" si="174"/>
        <v>1.4960899118586383E-12</v>
      </c>
      <c r="CX175" s="62">
        <f t="shared" si="122"/>
        <v>290.89339523469192</v>
      </c>
      <c r="CY175" s="62">
        <f ca="1">AVERAGE(OFFSET($CX$3,0,0,'Données projet'!$E$13+1,1))-AVERAGE(OFFSET($H$3,0,0,'Données projet'!$E$13+1,1))</f>
        <v>297.56177871222496</v>
      </c>
      <c r="CZ175" s="62">
        <f t="shared" si="150"/>
        <v>421.5717731815397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0.66002182052833869</v>
      </c>
      <c r="DH175" s="23">
        <f>EXP(-LN(2)/2)*DH174+(1-EXP(-LN(2)/2))/(LN(2)/2)*DB175*DE175*VLOOKUP('Données projet'!$B$13,Paramètres!$A$1:$I$89,3,0)*0.475*44/12</f>
        <v>6.8973889867545815E-21</v>
      </c>
      <c r="DI175" s="24">
        <f t="shared" si="175"/>
        <v>0.66002182052833869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752.99999999999977</v>
      </c>
      <c r="DP175" s="18">
        <f>DO175*VLOOKUP('Données projet'!$B$14,Paramètres!$A$1:$I$89,3,0)*VLOOKUP('Données projet'!$B$14,Paramètres!$A$1:$I$89,5,0)</f>
        <v>552.09959999999978</v>
      </c>
      <c r="DQ175" s="14">
        <f t="shared" si="176"/>
        <v>122.01091055125165</v>
      </c>
      <c r="DR175" s="22">
        <f t="shared" si="177"/>
        <v>1174.0758058767628</v>
      </c>
      <c r="DS175" s="62">
        <f t="shared" si="125"/>
        <v>1464.9692011114532</v>
      </c>
      <c r="DT175" s="62">
        <f ca="1">AVERAGE(OFFSET($DS$3,0,0,'Données projet'!$E$14+1,1))-AVERAGE(OFFSET($H$3,0,0,'Données projet'!$E$14+1,1))</f>
        <v>667.0152731006724</v>
      </c>
      <c r="DU175" s="62">
        <f t="shared" si="152"/>
        <v>567.40780872008088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0.45569354913410381</v>
      </c>
      <c r="EC175" s="23">
        <f>EXP(-LN(2)/2)*EC174+(1-EXP(-LN(2)/2))/(LN(2)/2)*DW175*DZ175*VLOOKUP('Données projet'!$B$14,Paramètres!$A$1:$I$89,3,0)*0.475*44/12</f>
        <v>6.2813361020852571E-21</v>
      </c>
      <c r="ED175" s="24">
        <f t="shared" si="178"/>
        <v>0.45569354913410381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454.99849419289757</v>
      </c>
      <c r="EP175" s="62">
        <f t="shared" si="154"/>
        <v>288.86643267991928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69.334562336733768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2.7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38.457899999999974</v>
      </c>
      <c r="D176" s="12">
        <f t="shared" si="140"/>
        <v>11.588982600828418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104.00670326475654</v>
      </c>
      <c r="H176" s="70">
        <f t="shared" si="110"/>
        <v>304.2316538631095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427.57091071251745</v>
      </c>
      <c r="T176" s="62">
        <f t="shared" si="142"/>
        <v>272.62827206514726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475.54515523869958</v>
      </c>
      <c r="AO176" s="62">
        <f t="shared" si="144"/>
        <v>301.02979240961452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0.19412681341367161</v>
      </c>
      <c r="AW176" s="23">
        <f>EXP(-LN(2)/2)*AW175+(1-EXP(-LN(2)/2))/(LN(2)/2)*AQ176*AT176*VLOOKUP('Données projet'!$B$10,Paramètres!$A$1:$I$89,3,0)*0.475*44/12</f>
        <v>5.0039360686208216E-21</v>
      </c>
      <c r="AX176" s="23">
        <f t="shared" si="166"/>
        <v>0.19412681341367161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6.3550942286383367E-14</v>
      </c>
      <c r="BF176" s="14">
        <f t="shared" si="167"/>
        <v>1.0064464192543978E-12</v>
      </c>
      <c r="BG176" s="22">
        <f t="shared" si="168"/>
        <v>1.8635787380168604E-12</v>
      </c>
      <c r="BH176" s="62">
        <f t="shared" si="116"/>
        <v>290.93572270581939</v>
      </c>
      <c r="BI176" s="62">
        <f ca="1">AVERAGE(OFFSET($BH$3,0,0,'Données projet'!$E$11+1,1))-AVERAGE(OFFSET($H$3,0,0,'Données projet'!$E$11+1,1))</f>
        <v>381.71417599784968</v>
      </c>
      <c r="BJ176" s="62">
        <f t="shared" si="146"/>
        <v>350.49230135197979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1.9035856325669727</v>
      </c>
      <c r="BQ176" s="23">
        <f>EXP(-LN(2)/25)*BQ175+(1-EXP(-LN(2)/25))/(LN(2)/25)*Calculateur!BL176*Calculateur!BN176*VLOOKUP('Données projet'!$B$11,Paramètres!$A$1:$I$89,3,0)*0.475*44/12</f>
        <v>0.53323977622330987</v>
      </c>
      <c r="BR176" s="23">
        <f>EXP(-LN(2)/2)*BR175+(1-EXP(-LN(2)/2))/(LN(2)/2)*BL176*BO176*VLOOKUP('Données projet'!$B$11,Paramètres!$A$1:$I$89,3,0)*0.475*44/12</f>
        <v>2.0780446239849381E-20</v>
      </c>
      <c r="BS176" s="24">
        <f t="shared" si="169"/>
        <v>2.4368254087902823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3.1036506698001178E-14</v>
      </c>
      <c r="CA176" s="14">
        <f t="shared" si="170"/>
        <v>5.3428243983771088E-13</v>
      </c>
      <c r="CB176" s="22">
        <f t="shared" si="171"/>
        <v>9.8459716521636505E-13</v>
      </c>
      <c r="CC176" s="62">
        <f t="shared" si="119"/>
        <v>290.93572270581848</v>
      </c>
      <c r="CD176" s="62">
        <f ca="1">AVERAGE(OFFSET($CC$3,0,0,'Données projet'!$E$12+1,1))-AVERAGE(OFFSET($H$3,0,0,'Données projet'!$E$12+1,1))</f>
        <v>202.72043399839748</v>
      </c>
      <c r="CE176" s="62">
        <f t="shared" si="148"/>
        <v>295.50255983395789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0.11086669079452806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0.11086669079452806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4.9658410716801891E-14</v>
      </c>
      <c r="CV176" s="14">
        <f t="shared" si="173"/>
        <v>8.0934058173791862E-13</v>
      </c>
      <c r="CW176" s="22">
        <f t="shared" si="174"/>
        <v>1.4960899118586383E-12</v>
      </c>
      <c r="CX176" s="62">
        <f t="shared" si="122"/>
        <v>290.93572270581899</v>
      </c>
      <c r="CY176" s="62">
        <f ca="1">AVERAGE(OFFSET($CX$3,0,0,'Données projet'!$E$13+1,1))-AVERAGE(OFFSET($H$3,0,0,'Données projet'!$E$13+1,1))</f>
        <v>297.56177871222496</v>
      </c>
      <c r="CZ176" s="62">
        <f t="shared" si="150"/>
        <v>421.5717731815397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0.64197348913695218</v>
      </c>
      <c r="DH176" s="23">
        <f>EXP(-LN(2)/2)*DH175+(1-EXP(-LN(2)/2))/(LN(2)/2)*DB176*DE176*VLOOKUP('Données projet'!$B$13,Paramètres!$A$1:$I$89,3,0)*0.475*44/12</f>
        <v>4.8771905250155747E-21</v>
      </c>
      <c r="DI176" s="24">
        <f t="shared" si="175"/>
        <v>0.64197348913695218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752.99999999999977</v>
      </c>
      <c r="DP176" s="18">
        <f>DO176*VLOOKUP('Données projet'!$B$14,Paramètres!$A$1:$I$89,3,0)*VLOOKUP('Données projet'!$B$14,Paramètres!$A$1:$I$89,5,0)</f>
        <v>552.09959999999978</v>
      </c>
      <c r="DQ176" s="14">
        <f t="shared" si="176"/>
        <v>122.01091055125165</v>
      </c>
      <c r="DR176" s="22">
        <f t="shared" si="177"/>
        <v>1174.0758058767628</v>
      </c>
      <c r="DS176" s="62">
        <f t="shared" si="125"/>
        <v>1465.0115285825805</v>
      </c>
      <c r="DT176" s="62">
        <f ca="1">AVERAGE(OFFSET($DS$3,0,0,'Données projet'!$E$14+1,1))-AVERAGE(OFFSET($H$3,0,0,'Données projet'!$E$14+1,1))</f>
        <v>667.0152731006724</v>
      </c>
      <c r="DU176" s="62">
        <f t="shared" si="152"/>
        <v>567.40780872008088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0.44323258506914948</v>
      </c>
      <c r="EC176" s="23">
        <f>EXP(-LN(2)/2)*EC175+(1-EXP(-LN(2)/2))/(LN(2)/2)*DW176*DZ176*VLOOKUP('Données projet'!$B$14,Paramètres!$A$1:$I$89,3,0)*0.475*44/12</f>
        <v>4.4415753526963612E-21</v>
      </c>
      <c r="ED176" s="24">
        <f t="shared" si="178"/>
        <v>0.44323258506914948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454.99849419289757</v>
      </c>
      <c r="EP176" s="62">
        <f t="shared" si="154"/>
        <v>288.86643267991928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69.346106192495682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2.7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38.680199999999971</v>
      </c>
      <c r="D177" s="12">
        <f t="shared" si="140"/>
        <v>11.64815362686058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104.54989296411685</v>
      </c>
      <c r="H177" s="70">
        <f t="shared" si="110"/>
        <v>304.72188256678214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427.57091071251745</v>
      </c>
      <c r="T177" s="62">
        <f t="shared" si="142"/>
        <v>272.62827206514726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475.54515523869958</v>
      </c>
      <c r="AO177" s="62">
        <f t="shared" si="144"/>
        <v>301.02979240961452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0.18881840549218931</v>
      </c>
      <c r="AW177" s="23">
        <f>EXP(-LN(2)/2)*AW176+(1-EXP(-LN(2)/2))/(LN(2)/2)*AQ177*AT177*VLOOKUP('Données projet'!$B$10,Paramètres!$A$1:$I$89,3,0)*0.475*44/12</f>
        <v>3.5383171267457361E-21</v>
      </c>
      <c r="AX177" s="23">
        <f t="shared" si="166"/>
        <v>0.18881840549218931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6.3550942286383367E-14</v>
      </c>
      <c r="BF177" s="14">
        <f t="shared" si="167"/>
        <v>1.0064464192543978E-12</v>
      </c>
      <c r="BG177" s="22">
        <f t="shared" si="168"/>
        <v>1.8635787380168604E-12</v>
      </c>
      <c r="BH177" s="62">
        <f t="shared" si="116"/>
        <v>290.97731588995248</v>
      </c>
      <c r="BI177" s="62">
        <f ca="1">AVERAGE(OFFSET($BH$3,0,0,'Données projet'!$E$11+1,1))-AVERAGE(OFFSET($H$3,0,0,'Données projet'!$E$11+1,1))</f>
        <v>381.71417599784968</v>
      </c>
      <c r="BJ177" s="62">
        <f t="shared" si="146"/>
        <v>350.49230135197979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1.8662574793849238</v>
      </c>
      <c r="BQ177" s="23">
        <f>EXP(-LN(2)/25)*BQ176+(1-EXP(-LN(2)/25))/(LN(2)/25)*Calculateur!BL177*Calculateur!BN177*VLOOKUP('Données projet'!$B$11,Paramètres!$A$1:$I$89,3,0)*0.475*44/12</f>
        <v>0.51865830650062239</v>
      </c>
      <c r="BR177" s="23">
        <f>EXP(-LN(2)/2)*BR176+(1-EXP(-LN(2)/2))/(LN(2)/2)*BL177*BO177*VLOOKUP('Données projet'!$B$11,Paramètres!$A$1:$I$89,3,0)*0.475*44/12</f>
        <v>1.469399445227999E-20</v>
      </c>
      <c r="BS177" s="24">
        <f t="shared" si="169"/>
        <v>2.3849157858855463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3.1036506698001178E-14</v>
      </c>
      <c r="CA177" s="14">
        <f t="shared" si="170"/>
        <v>5.3428243983771088E-13</v>
      </c>
      <c r="CB177" s="22">
        <f t="shared" si="171"/>
        <v>9.8459716521636505E-13</v>
      </c>
      <c r="CC177" s="62">
        <f t="shared" si="119"/>
        <v>290.97731588995157</v>
      </c>
      <c r="CD177" s="62">
        <f ca="1">AVERAGE(OFFSET($CC$3,0,0,'Données projet'!$E$12+1,1))-AVERAGE(OFFSET($H$3,0,0,'Données projet'!$E$12+1,1))</f>
        <v>202.72043399839748</v>
      </c>
      <c r="CE177" s="62">
        <f t="shared" si="148"/>
        <v>295.50255983395789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0.1078350353045258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0.1078350353045258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4.9658410716801891E-14</v>
      </c>
      <c r="CV177" s="14">
        <f t="shared" si="173"/>
        <v>8.0934058173791862E-13</v>
      </c>
      <c r="CW177" s="22">
        <f t="shared" si="174"/>
        <v>1.4960899118586383E-12</v>
      </c>
      <c r="CX177" s="62">
        <f t="shared" si="122"/>
        <v>290.97731588995208</v>
      </c>
      <c r="CY177" s="62">
        <f ca="1">AVERAGE(OFFSET($CX$3,0,0,'Données projet'!$E$13+1,1))-AVERAGE(OFFSET($H$3,0,0,'Données projet'!$E$13+1,1))</f>
        <v>297.56177871222496</v>
      </c>
      <c r="CZ177" s="62">
        <f t="shared" si="150"/>
        <v>421.5717731815397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0.6244186903165837</v>
      </c>
      <c r="DH177" s="23">
        <f>EXP(-LN(2)/2)*DH176+(1-EXP(-LN(2)/2))/(LN(2)/2)*DB177*DE177*VLOOKUP('Données projet'!$B$13,Paramètres!$A$1:$I$89,3,0)*0.475*44/12</f>
        <v>3.4486944933772907E-21</v>
      </c>
      <c r="DI177" s="24">
        <f t="shared" si="175"/>
        <v>0.6244186903165837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752.99999999999977</v>
      </c>
      <c r="DP177" s="18">
        <f>DO177*VLOOKUP('Données projet'!$B$14,Paramètres!$A$1:$I$89,3,0)*VLOOKUP('Données projet'!$B$14,Paramètres!$A$1:$I$89,5,0)</f>
        <v>552.09959999999978</v>
      </c>
      <c r="DQ177" s="14">
        <f t="shared" si="176"/>
        <v>122.01091055125165</v>
      </c>
      <c r="DR177" s="22">
        <f t="shared" si="177"/>
        <v>1174.0758058767628</v>
      </c>
      <c r="DS177" s="62">
        <f t="shared" si="125"/>
        <v>1465.0531217667135</v>
      </c>
      <c r="DT177" s="62">
        <f ca="1">AVERAGE(OFFSET($DS$3,0,0,'Données projet'!$E$14+1,1))-AVERAGE(OFFSET($H$3,0,0,'Données projet'!$E$14+1,1))</f>
        <v>667.0152731006724</v>
      </c>
      <c r="DU177" s="62">
        <f t="shared" si="152"/>
        <v>567.40780872008088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0.43111236672184494</v>
      </c>
      <c r="EC177" s="23">
        <f>EXP(-LN(2)/2)*EC176+(1-EXP(-LN(2)/2))/(LN(2)/2)*DW177*DZ177*VLOOKUP('Données projet'!$B$14,Paramètres!$A$1:$I$89,3,0)*0.475*44/12</f>
        <v>3.1406680510426285E-21</v>
      </c>
      <c r="ED177" s="24">
        <f t="shared" si="178"/>
        <v>0.43111236672184494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454.99849419289757</v>
      </c>
      <c r="EP177" s="62">
        <f t="shared" si="154"/>
        <v>288.86643267991928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69.357449788168339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2.7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38.902499999999968</v>
      </c>
      <c r="D178" s="12">
        <f t="shared" si="140"/>
        <v>11.707285082523278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105.09300629960626</v>
      </c>
      <c r="H178" s="70">
        <f t="shared" si="110"/>
        <v>305.2120423520613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427.57091071251745</v>
      </c>
      <c r="T178" s="62">
        <f t="shared" si="142"/>
        <v>272.62827206514726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475.54515523869958</v>
      </c>
      <c r="AO178" s="62">
        <f t="shared" si="144"/>
        <v>301.02979240961452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0.18365515626447701</v>
      </c>
      <c r="AW178" s="23">
        <f>EXP(-LN(2)/2)*AW177+(1-EXP(-LN(2)/2))/(LN(2)/2)*AQ178*AT178*VLOOKUP('Données projet'!$B$10,Paramètres!$A$1:$I$89,3,0)*0.475*44/12</f>
        <v>2.5019680343104108E-21</v>
      </c>
      <c r="AX178" s="23">
        <f t="shared" si="166"/>
        <v>0.18365515626447701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6.3550942286383367E-14</v>
      </c>
      <c r="BF178" s="14">
        <f t="shared" si="167"/>
        <v>1.0064464192543978E-12</v>
      </c>
      <c r="BG178" s="22">
        <f t="shared" si="168"/>
        <v>1.8635787380168604E-12</v>
      </c>
      <c r="BH178" s="62">
        <f t="shared" si="116"/>
        <v>291.01818752532921</v>
      </c>
      <c r="BI178" s="62">
        <f ca="1">AVERAGE(OFFSET($BH$3,0,0,'Données projet'!$E$11+1,1))-AVERAGE(OFFSET($H$3,0,0,'Données projet'!$E$11+1,1))</f>
        <v>381.71417599784968</v>
      </c>
      <c r="BJ178" s="62">
        <f t="shared" si="146"/>
        <v>350.49230135197979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1.8296613085188496</v>
      </c>
      <c r="BQ178" s="23">
        <f>EXP(-LN(2)/25)*BQ177+(1-EXP(-LN(2)/25))/(LN(2)/25)*Calculateur!BL178*Calculateur!BN178*VLOOKUP('Données projet'!$B$11,Paramètres!$A$1:$I$89,3,0)*0.475*44/12</f>
        <v>0.50447556783430791</v>
      </c>
      <c r="BR178" s="23">
        <f>EXP(-LN(2)/2)*BR177+(1-EXP(-LN(2)/2))/(LN(2)/2)*BL178*BO178*VLOOKUP('Données projet'!$B$11,Paramètres!$A$1:$I$89,3,0)*0.475*44/12</f>
        <v>1.0390223119924691E-20</v>
      </c>
      <c r="BS178" s="24">
        <f t="shared" si="169"/>
        <v>2.3341368763531576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3.1036506698001178E-14</v>
      </c>
      <c r="CA178" s="14">
        <f t="shared" si="170"/>
        <v>5.3428243983771088E-13</v>
      </c>
      <c r="CB178" s="22">
        <f t="shared" si="171"/>
        <v>9.8459716521636505E-13</v>
      </c>
      <c r="CC178" s="62">
        <f t="shared" si="119"/>
        <v>291.0181875253283</v>
      </c>
      <c r="CD178" s="62">
        <f ca="1">AVERAGE(OFFSET($CC$3,0,0,'Données projet'!$E$12+1,1))-AVERAGE(OFFSET($H$3,0,0,'Données projet'!$E$12+1,1))</f>
        <v>202.72043399839748</v>
      </c>
      <c r="CE178" s="62">
        <f t="shared" si="148"/>
        <v>295.50255983395789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0.1048862805933255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0.1048862805933255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4.9658410716801891E-14</v>
      </c>
      <c r="CV178" s="14">
        <f t="shared" si="173"/>
        <v>8.0934058173791862E-13</v>
      </c>
      <c r="CW178" s="22">
        <f t="shared" si="174"/>
        <v>1.4960899118586383E-12</v>
      </c>
      <c r="CX178" s="62">
        <f t="shared" si="122"/>
        <v>291.01818752532881</v>
      </c>
      <c r="CY178" s="62">
        <f ca="1">AVERAGE(OFFSET($CX$3,0,0,'Données projet'!$E$13+1,1))-AVERAGE(OFFSET($H$3,0,0,'Données projet'!$E$13+1,1))</f>
        <v>297.56177871222496</v>
      </c>
      <c r="CZ178" s="62">
        <f t="shared" si="150"/>
        <v>421.5717731815397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0.6073439283931249</v>
      </c>
      <c r="DH178" s="23">
        <f>EXP(-LN(2)/2)*DH177+(1-EXP(-LN(2)/2))/(LN(2)/2)*DB178*DE178*VLOOKUP('Données projet'!$B$13,Paramètres!$A$1:$I$89,3,0)*0.475*44/12</f>
        <v>2.4385952625077874E-21</v>
      </c>
      <c r="DI178" s="24">
        <f t="shared" si="175"/>
        <v>0.6073439283931249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752.99999999999977</v>
      </c>
      <c r="DP178" s="18">
        <f>DO178*VLOOKUP('Données projet'!$B$14,Paramètres!$A$1:$I$89,3,0)*VLOOKUP('Données projet'!$B$14,Paramètres!$A$1:$I$89,5,0)</f>
        <v>552.09959999999978</v>
      </c>
      <c r="DQ178" s="14">
        <f t="shared" si="176"/>
        <v>122.01091055125165</v>
      </c>
      <c r="DR178" s="22">
        <f t="shared" si="177"/>
        <v>1174.0758058767628</v>
      </c>
      <c r="DS178" s="62">
        <f t="shared" si="125"/>
        <v>1465.0939934020903</v>
      </c>
      <c r="DT178" s="62">
        <f ca="1">AVERAGE(OFFSET($DS$3,0,0,'Données projet'!$E$14+1,1))-AVERAGE(OFFSET($H$3,0,0,'Données projet'!$E$14+1,1))</f>
        <v>667.0152731006724</v>
      </c>
      <c r="DU178" s="62">
        <f t="shared" si="152"/>
        <v>567.40780872008088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0.41932357638262202</v>
      </c>
      <c r="EC178" s="23">
        <f>EXP(-LN(2)/2)*EC177+(1-EXP(-LN(2)/2))/(LN(2)/2)*DW178*DZ178*VLOOKUP('Données projet'!$B$14,Paramètres!$A$1:$I$89,3,0)*0.475*44/12</f>
        <v>2.2207876763481806E-21</v>
      </c>
      <c r="ED178" s="24">
        <f t="shared" si="178"/>
        <v>0.41932357638262202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454.99849419289757</v>
      </c>
      <c r="EP178" s="62">
        <f t="shared" si="154"/>
        <v>288.86643267991928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69.368596597816548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2.7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39.124799999999965</v>
      </c>
      <c r="D179" s="12">
        <f t="shared" si="140"/>
        <v>11.766377220171675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105.63604375822598</v>
      </c>
      <c r="H179" s="70">
        <f t="shared" si="110"/>
        <v>305.70213365846564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427.57091071251745</v>
      </c>
      <c r="T179" s="62">
        <f t="shared" si="142"/>
        <v>272.62827206514726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475.54515523869958</v>
      </c>
      <c r="AO179" s="62">
        <f t="shared" si="144"/>
        <v>301.02979240961452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0.17863309635841998</v>
      </c>
      <c r="AW179" s="23">
        <f>EXP(-LN(2)/2)*AW178+(1-EXP(-LN(2)/2))/(LN(2)/2)*AQ179*AT179*VLOOKUP('Données projet'!$B$10,Paramètres!$A$1:$I$89,3,0)*0.475*44/12</f>
        <v>1.7691585633728681E-21</v>
      </c>
      <c r="AX179" s="23">
        <f t="shared" si="166"/>
        <v>0.17863309635841998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6.3550942286383367E-14</v>
      </c>
      <c r="BF179" s="14">
        <f t="shared" si="167"/>
        <v>1.0064464192543978E-12</v>
      </c>
      <c r="BG179" s="22">
        <f t="shared" si="168"/>
        <v>1.8635787380168604E-12</v>
      </c>
      <c r="BH179" s="62">
        <f t="shared" si="116"/>
        <v>291.0583501292075</v>
      </c>
      <c r="BI179" s="62">
        <f ca="1">AVERAGE(OFFSET($BH$3,0,0,'Données projet'!$E$11+1,1))-AVERAGE(OFFSET($H$3,0,0,'Données projet'!$E$11+1,1))</f>
        <v>381.71417599784968</v>
      </c>
      <c r="BJ179" s="62">
        <f t="shared" si="146"/>
        <v>350.49230135197979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1.7937827662419989</v>
      </c>
      <c r="BQ179" s="23">
        <f>EXP(-LN(2)/25)*BQ178+(1-EXP(-LN(2)/25))/(LN(2)/25)*Calculateur!BL179*Calculateur!BN179*VLOOKUP('Données projet'!$B$11,Paramètres!$A$1:$I$89,3,0)*0.475*44/12</f>
        <v>0.49068065690266166</v>
      </c>
      <c r="BR179" s="23">
        <f>EXP(-LN(2)/2)*BR178+(1-EXP(-LN(2)/2))/(LN(2)/2)*BL179*BO179*VLOOKUP('Données projet'!$B$11,Paramètres!$A$1:$I$89,3,0)*0.475*44/12</f>
        <v>7.3469972261399951E-21</v>
      </c>
      <c r="BS179" s="24">
        <f t="shared" si="169"/>
        <v>2.2844634231446608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3.1036506698001178E-14</v>
      </c>
      <c r="CA179" s="14">
        <f t="shared" si="170"/>
        <v>5.3428243983771088E-13</v>
      </c>
      <c r="CB179" s="22">
        <f t="shared" si="171"/>
        <v>9.8459716521636505E-13</v>
      </c>
      <c r="CC179" s="62">
        <f t="shared" si="119"/>
        <v>291.05835012920659</v>
      </c>
      <c r="CD179" s="62">
        <f ca="1">AVERAGE(OFFSET($CC$3,0,0,'Données projet'!$E$12+1,1))-AVERAGE(OFFSET($H$3,0,0,'Données projet'!$E$12+1,1))</f>
        <v>202.72043399839748</v>
      </c>
      <c r="CE179" s="62">
        <f t="shared" si="148"/>
        <v>295.50255983395789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0.10201815973477124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0.10201815973477124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4.9658410716801891E-14</v>
      </c>
      <c r="CV179" s="14">
        <f t="shared" si="173"/>
        <v>8.0934058173791862E-13</v>
      </c>
      <c r="CW179" s="22">
        <f t="shared" si="174"/>
        <v>1.4960899118586383E-12</v>
      </c>
      <c r="CX179" s="62">
        <f t="shared" si="122"/>
        <v>291.0583501292071</v>
      </c>
      <c r="CY179" s="62">
        <f ca="1">AVERAGE(OFFSET($CX$3,0,0,'Données projet'!$E$13+1,1))-AVERAGE(OFFSET($H$3,0,0,'Données projet'!$E$13+1,1))</f>
        <v>297.56177871222496</v>
      </c>
      <c r="CZ179" s="62">
        <f t="shared" si="150"/>
        <v>421.5717731815397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0.59073607673238582</v>
      </c>
      <c r="DH179" s="23">
        <f>EXP(-LN(2)/2)*DH178+(1-EXP(-LN(2)/2))/(LN(2)/2)*DB179*DE179*VLOOKUP('Données projet'!$B$13,Paramètres!$A$1:$I$89,3,0)*0.475*44/12</f>
        <v>1.7243472466886454E-21</v>
      </c>
      <c r="DI179" s="24">
        <f t="shared" si="175"/>
        <v>0.59073607673238582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752.99999999999977</v>
      </c>
      <c r="DP179" s="18">
        <f>DO179*VLOOKUP('Données projet'!$B$14,Paramètres!$A$1:$I$89,3,0)*VLOOKUP('Données projet'!$B$14,Paramètres!$A$1:$I$89,5,0)</f>
        <v>552.09959999999978</v>
      </c>
      <c r="DQ179" s="14">
        <f t="shared" si="176"/>
        <v>122.01091055125165</v>
      </c>
      <c r="DR179" s="22">
        <f t="shared" si="177"/>
        <v>1174.0758058767628</v>
      </c>
      <c r="DS179" s="62">
        <f t="shared" si="125"/>
        <v>1465.1341560059684</v>
      </c>
      <c r="DT179" s="62">
        <f ca="1">AVERAGE(OFFSET($DS$3,0,0,'Données projet'!$E$14+1,1))-AVERAGE(OFFSET($H$3,0,0,'Données projet'!$E$14+1,1))</f>
        <v>667.0152731006724</v>
      </c>
      <c r="DU179" s="62">
        <f t="shared" si="152"/>
        <v>567.40780872008088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0.40785715113517074</v>
      </c>
      <c r="EC179" s="23">
        <f>EXP(-LN(2)/2)*EC178+(1-EXP(-LN(2)/2))/(LN(2)/2)*DW179*DZ179*VLOOKUP('Données projet'!$B$14,Paramètres!$A$1:$I$89,3,0)*0.475*44/12</f>
        <v>1.5703340255213143E-21</v>
      </c>
      <c r="ED179" s="24">
        <f t="shared" si="178"/>
        <v>0.40785715113517074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454.99849419289757</v>
      </c>
      <c r="EP179" s="62">
        <f t="shared" si="154"/>
        <v>288.86643267991928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69.379550035237898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2.7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39.347099999999962</v>
      </c>
      <c r="D180" s="12">
        <f t="shared" si="140"/>
        <v>11.825430289127327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106.17900582112284</v>
      </c>
      <c r="H180" s="70">
        <f t="shared" si="110"/>
        <v>306.19215692023005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427.57091071251745</v>
      </c>
      <c r="T180" s="62">
        <f t="shared" si="142"/>
        <v>272.62827206514726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475.54515523869958</v>
      </c>
      <c r="AO180" s="62">
        <f t="shared" si="144"/>
        <v>301.02979240961452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0.17374836494459273</v>
      </c>
      <c r="AW180" s="23">
        <f>EXP(-LN(2)/2)*AW179+(1-EXP(-LN(2)/2))/(LN(2)/2)*AQ180*AT180*VLOOKUP('Données projet'!$B$10,Paramètres!$A$1:$I$89,3,0)*0.475*44/12</f>
        <v>1.2509840171552054E-21</v>
      </c>
      <c r="AX180" s="23">
        <f t="shared" si="166"/>
        <v>0.17374836494459273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6.3550942286383367E-14</v>
      </c>
      <c r="BF180" s="14">
        <f t="shared" si="167"/>
        <v>1.0064464192543978E-12</v>
      </c>
      <c r="BG180" s="22">
        <f t="shared" si="168"/>
        <v>1.8635787380168604E-12</v>
      </c>
      <c r="BH180" s="62">
        <f t="shared" si="116"/>
        <v>291.09781600169867</v>
      </c>
      <c r="BI180" s="62">
        <f ca="1">AVERAGE(OFFSET($BH$3,0,0,'Données projet'!$E$11+1,1))-AVERAGE(OFFSET($H$3,0,0,'Données projet'!$E$11+1,1))</f>
        <v>381.71417599784968</v>
      </c>
      <c r="BJ180" s="62">
        <f t="shared" si="146"/>
        <v>350.49230135197979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1.7586077802954474</v>
      </c>
      <c r="BQ180" s="23">
        <f>EXP(-LN(2)/25)*BQ179+(1-EXP(-LN(2)/25))/(LN(2)/25)*Calculateur!BL180*Calculateur!BN180*VLOOKUP('Données projet'!$B$11,Paramètres!$A$1:$I$89,3,0)*0.475*44/12</f>
        <v>0.47726296853588407</v>
      </c>
      <c r="BR180" s="23">
        <f>EXP(-LN(2)/2)*BR179+(1-EXP(-LN(2)/2))/(LN(2)/2)*BL180*BO180*VLOOKUP('Données projet'!$B$11,Paramètres!$A$1:$I$89,3,0)*0.475*44/12</f>
        <v>5.1951115599623453E-21</v>
      </c>
      <c r="BS180" s="24">
        <f t="shared" si="169"/>
        <v>2.2358707488313314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3.1036506698001178E-14</v>
      </c>
      <c r="CA180" s="14">
        <f t="shared" si="170"/>
        <v>5.3428243983771088E-13</v>
      </c>
      <c r="CB180" s="22">
        <f t="shared" si="171"/>
        <v>9.8459716521636505E-13</v>
      </c>
      <c r="CC180" s="62">
        <f t="shared" si="119"/>
        <v>291.09781600169777</v>
      </c>
      <c r="CD180" s="62">
        <f ca="1">AVERAGE(OFFSET($CC$3,0,0,'Données projet'!$E$12+1,1))-AVERAGE(OFFSET($H$3,0,0,'Données projet'!$E$12+1,1))</f>
        <v>202.72043399839748</v>
      </c>
      <c r="CE180" s="62">
        <f t="shared" si="148"/>
        <v>295.50255983395789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9.922846779192207E-2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9.922846779192207E-2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4.9658410716801891E-14</v>
      </c>
      <c r="CV180" s="14">
        <f t="shared" si="173"/>
        <v>8.0934058173791862E-13</v>
      </c>
      <c r="CW180" s="22">
        <f t="shared" si="174"/>
        <v>1.4960899118586383E-12</v>
      </c>
      <c r="CX180" s="62">
        <f t="shared" si="122"/>
        <v>291.09781600169828</v>
      </c>
      <c r="CY180" s="62">
        <f ca="1">AVERAGE(OFFSET($CX$3,0,0,'Données projet'!$E$13+1,1))-AVERAGE(OFFSET($H$3,0,0,'Données projet'!$E$13+1,1))</f>
        <v>297.56177871222496</v>
      </c>
      <c r="CZ180" s="62">
        <f t="shared" si="150"/>
        <v>421.5717731815397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0.57458236764867865</v>
      </c>
      <c r="DH180" s="23">
        <f>EXP(-LN(2)/2)*DH179+(1-EXP(-LN(2)/2))/(LN(2)/2)*DB180*DE180*VLOOKUP('Données projet'!$B$13,Paramètres!$A$1:$I$89,3,0)*0.475*44/12</f>
        <v>1.2192976312538937E-21</v>
      </c>
      <c r="DI180" s="24">
        <f t="shared" si="175"/>
        <v>0.57458236764867865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752.99999999999977</v>
      </c>
      <c r="DP180" s="18">
        <f>DO180*VLOOKUP('Données projet'!$B$14,Paramètres!$A$1:$I$89,3,0)*VLOOKUP('Données projet'!$B$14,Paramètres!$A$1:$I$89,5,0)</f>
        <v>552.09959999999978</v>
      </c>
      <c r="DQ180" s="14">
        <f t="shared" si="176"/>
        <v>122.01091055125165</v>
      </c>
      <c r="DR180" s="22">
        <f t="shared" si="177"/>
        <v>1174.0758058767628</v>
      </c>
      <c r="DS180" s="62">
        <f t="shared" si="125"/>
        <v>1465.1736218784597</v>
      </c>
      <c r="DT180" s="62">
        <f ca="1">AVERAGE(OFFSET($DS$3,0,0,'Données projet'!$E$14+1,1))-AVERAGE(OFFSET($H$3,0,0,'Données projet'!$E$14+1,1))</f>
        <v>667.0152731006724</v>
      </c>
      <c r="DU180" s="62">
        <f t="shared" si="152"/>
        <v>567.40780872008088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0.39670427588910406</v>
      </c>
      <c r="EC180" s="23">
        <f>EXP(-LN(2)/2)*EC179+(1-EXP(-LN(2)/2))/(LN(2)/2)*DW180*DZ180*VLOOKUP('Données projet'!$B$14,Paramètres!$A$1:$I$89,3,0)*0.475*44/12</f>
        <v>1.1103938381740903E-21</v>
      </c>
      <c r="ED180" s="24">
        <f t="shared" si="178"/>
        <v>0.39670427588910406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454.99849419289757</v>
      </c>
      <c r="EP180" s="62">
        <f t="shared" si="154"/>
        <v>288.86643267991928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69.390313455008211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2.7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39.569399999999959</v>
      </c>
      <c r="D181" s="12">
        <f t="shared" si="140"/>
        <v>11.88444453573155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106.72189296369237</v>
      </c>
      <c r="H181" s="70">
        <f t="shared" si="110"/>
        <v>306.68211256639904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427.57091071251745</v>
      </c>
      <c r="T181" s="62">
        <f t="shared" si="142"/>
        <v>272.62827206514726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475.54515523869958</v>
      </c>
      <c r="AO181" s="62">
        <f t="shared" si="144"/>
        <v>301.02979240961452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0.16899720676815344</v>
      </c>
      <c r="AW181" s="23">
        <f>EXP(-LN(2)/2)*AW180+(1-EXP(-LN(2)/2))/(LN(2)/2)*AQ181*AT181*VLOOKUP('Données projet'!$B$10,Paramètres!$A$1:$I$89,3,0)*0.475*44/12</f>
        <v>8.8457928168643403E-22</v>
      </c>
      <c r="AX181" s="23">
        <f t="shared" si="166"/>
        <v>0.16899720676815344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6.3550942286383367E-14</v>
      </c>
      <c r="BF181" s="14">
        <f t="shared" si="167"/>
        <v>1.0064464192543978E-12</v>
      </c>
      <c r="BG181" s="22">
        <f t="shared" si="168"/>
        <v>1.8635787380168604E-12</v>
      </c>
      <c r="BH181" s="62">
        <f t="shared" si="116"/>
        <v>291.13659722953446</v>
      </c>
      <c r="BI181" s="62">
        <f ca="1">AVERAGE(OFFSET($BH$3,0,0,'Données projet'!$E$11+1,1))-AVERAGE(OFFSET($H$3,0,0,'Données projet'!$E$11+1,1))</f>
        <v>381.71417599784968</v>
      </c>
      <c r="BJ181" s="62">
        <f t="shared" si="146"/>
        <v>350.49230135197979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1.7241225543686847</v>
      </c>
      <c r="BQ181" s="23">
        <f>EXP(-LN(2)/25)*BQ180+(1-EXP(-LN(2)/25))/(LN(2)/25)*Calculateur!BL181*Calculateur!BN181*VLOOKUP('Données projet'!$B$11,Paramètres!$A$1:$I$89,3,0)*0.475*44/12</f>
        <v>0.46421218756310162</v>
      </c>
      <c r="BR181" s="23">
        <f>EXP(-LN(2)/2)*BR180+(1-EXP(-LN(2)/2))/(LN(2)/2)*BL181*BO181*VLOOKUP('Données projet'!$B$11,Paramètres!$A$1:$I$89,3,0)*0.475*44/12</f>
        <v>3.6734986130699975E-21</v>
      </c>
      <c r="BS181" s="24">
        <f t="shared" si="169"/>
        <v>2.1883347419317865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3.1036506698001178E-14</v>
      </c>
      <c r="CA181" s="14">
        <f t="shared" si="170"/>
        <v>5.3428243983771088E-13</v>
      </c>
      <c r="CB181" s="22">
        <f t="shared" si="171"/>
        <v>9.8459716521636505E-13</v>
      </c>
      <c r="CC181" s="62">
        <f t="shared" si="119"/>
        <v>291.13659722953355</v>
      </c>
      <c r="CD181" s="62">
        <f ca="1">AVERAGE(OFFSET($CC$3,0,0,'Données projet'!$E$12+1,1))-AVERAGE(OFFSET($H$3,0,0,'Données projet'!$E$12+1,1))</f>
        <v>202.72043399839748</v>
      </c>
      <c r="CE181" s="62">
        <f t="shared" si="148"/>
        <v>295.50255983395789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9.6515060121953627E-2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9.6515060121953627E-2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4.9658410716801891E-14</v>
      </c>
      <c r="CV181" s="14">
        <f t="shared" si="173"/>
        <v>8.0934058173791862E-13</v>
      </c>
      <c r="CW181" s="22">
        <f t="shared" si="174"/>
        <v>1.4960899118586383E-12</v>
      </c>
      <c r="CX181" s="62">
        <f t="shared" si="122"/>
        <v>291.13659722953406</v>
      </c>
      <c r="CY181" s="62">
        <f ca="1">AVERAGE(OFFSET($CX$3,0,0,'Données projet'!$E$13+1,1))-AVERAGE(OFFSET($H$3,0,0,'Données projet'!$E$13+1,1))</f>
        <v>297.56177871222496</v>
      </c>
      <c r="CZ181" s="62">
        <f t="shared" si="150"/>
        <v>421.5717731815397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0.55887038258935207</v>
      </c>
      <c r="DH181" s="23">
        <f>EXP(-LN(2)/2)*DH180+(1-EXP(-LN(2)/2))/(LN(2)/2)*DB181*DE181*VLOOKUP('Données projet'!$B$13,Paramètres!$A$1:$I$89,3,0)*0.475*44/12</f>
        <v>8.6217362334432269E-22</v>
      </c>
      <c r="DI181" s="24">
        <f t="shared" si="175"/>
        <v>0.55887038258935207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752.99999999999977</v>
      </c>
      <c r="DP181" s="18">
        <f>DO181*VLOOKUP('Données projet'!$B$14,Paramètres!$A$1:$I$89,3,0)*VLOOKUP('Données projet'!$B$14,Paramètres!$A$1:$I$89,5,0)</f>
        <v>552.09959999999978</v>
      </c>
      <c r="DQ181" s="14">
        <f t="shared" si="176"/>
        <v>122.01091055125165</v>
      </c>
      <c r="DR181" s="22">
        <f t="shared" si="177"/>
        <v>1174.0758058767628</v>
      </c>
      <c r="DS181" s="62">
        <f t="shared" si="125"/>
        <v>1465.2124031062954</v>
      </c>
      <c r="DT181" s="62">
        <f ca="1">AVERAGE(OFFSET($DS$3,0,0,'Données projet'!$E$14+1,1))-AVERAGE(OFFSET($H$3,0,0,'Données projet'!$E$14+1,1))</f>
        <v>667.0152731006724</v>
      </c>
      <c r="DU181" s="62">
        <f t="shared" si="152"/>
        <v>567.40780872008088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0.38585637660314531</v>
      </c>
      <c r="EC181" s="23">
        <f>EXP(-LN(2)/2)*EC180+(1-EXP(-LN(2)/2))/(LN(2)/2)*DW181*DZ181*VLOOKUP('Données projet'!$B$14,Paramètres!$A$1:$I$89,3,0)*0.475*44/12</f>
        <v>7.8516701276065714E-22</v>
      </c>
      <c r="ED181" s="24">
        <f t="shared" si="178"/>
        <v>0.38585637660314531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454.99849419289757</v>
      </c>
      <c r="EP181" s="62">
        <f t="shared" si="154"/>
        <v>288.86643267991928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69.400890153508897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2.7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39.791699999999956</v>
      </c>
      <c r="D182" s="12">
        <f t="shared" si="140"/>
        <v>11.943420203397626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107.26470565567956</v>
      </c>
      <c r="H182" s="70">
        <f t="shared" si="110"/>
        <v>307.17200102091749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427.57091071251745</v>
      </c>
      <c r="T182" s="62">
        <f t="shared" si="142"/>
        <v>272.62827206514726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475.54515523869958</v>
      </c>
      <c r="AO182" s="62">
        <f t="shared" si="144"/>
        <v>301.02979240961452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0.16437596926190143</v>
      </c>
      <c r="AW182" s="23">
        <f>EXP(-LN(2)/2)*AW181+(1-EXP(-LN(2)/2))/(LN(2)/2)*AQ182*AT182*VLOOKUP('Données projet'!$B$10,Paramètres!$A$1:$I$89,3,0)*0.475*44/12</f>
        <v>6.254920085776027E-22</v>
      </c>
      <c r="AX182" s="23">
        <f t="shared" si="166"/>
        <v>0.16437596926190143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6.3550942286383367E-14</v>
      </c>
      <c r="BF182" s="14">
        <f t="shared" si="167"/>
        <v>1.0064464192543978E-12</v>
      </c>
      <c r="BG182" s="22">
        <f t="shared" si="168"/>
        <v>1.8635787380168604E-12</v>
      </c>
      <c r="BH182" s="62">
        <f t="shared" si="116"/>
        <v>291.17470568976933</v>
      </c>
      <c r="BI182" s="62">
        <f ca="1">AVERAGE(OFFSET($BH$3,0,0,'Données projet'!$E$11+1,1))-AVERAGE(OFFSET($H$3,0,0,'Données projet'!$E$11+1,1))</f>
        <v>381.71417599784968</v>
      </c>
      <c r="BJ182" s="62">
        <f t="shared" si="146"/>
        <v>350.49230135197979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1.6903135626884349</v>
      </c>
      <c r="BQ182" s="23">
        <f>EXP(-LN(2)/25)*BQ181+(1-EXP(-LN(2)/25))/(LN(2)/25)*Calculateur!BL182*Calculateur!BN182*VLOOKUP('Données projet'!$B$11,Paramètres!$A$1:$I$89,3,0)*0.475*44/12</f>
        <v>0.45151828088233065</v>
      </c>
      <c r="BR182" s="23">
        <f>EXP(-LN(2)/2)*BR181+(1-EXP(-LN(2)/2))/(LN(2)/2)*BL182*BO182*VLOOKUP('Données projet'!$B$11,Paramètres!$A$1:$I$89,3,0)*0.475*44/12</f>
        <v>2.5975557799811726E-21</v>
      </c>
      <c r="BS182" s="24">
        <f t="shared" si="169"/>
        <v>2.1418318435707655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3.1036506698001178E-14</v>
      </c>
      <c r="CA182" s="14">
        <f t="shared" si="170"/>
        <v>5.3428243983771088E-13</v>
      </c>
      <c r="CB182" s="22">
        <f t="shared" si="171"/>
        <v>9.8459716521636505E-13</v>
      </c>
      <c r="CC182" s="62">
        <f t="shared" si="119"/>
        <v>291.17470568976842</v>
      </c>
      <c r="CD182" s="62">
        <f ca="1">AVERAGE(OFFSET($CC$3,0,0,'Données projet'!$E$12+1,1))-AVERAGE(OFFSET($H$3,0,0,'Données projet'!$E$12+1,1))</f>
        <v>202.72043399839748</v>
      </c>
      <c r="CE182" s="62">
        <f t="shared" si="148"/>
        <v>295.50255983395789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9.3875850727412377E-2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9.3875850727412377E-2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4.9658410716801891E-14</v>
      </c>
      <c r="CV182" s="14">
        <f t="shared" si="173"/>
        <v>8.0934058173791862E-13</v>
      </c>
      <c r="CW182" s="22">
        <f t="shared" si="174"/>
        <v>1.4960899118586383E-12</v>
      </c>
      <c r="CX182" s="62">
        <f t="shared" si="122"/>
        <v>291.17470568976893</v>
      </c>
      <c r="CY182" s="62">
        <f ca="1">AVERAGE(OFFSET($CX$3,0,0,'Données projet'!$E$13+1,1))-AVERAGE(OFFSET($H$3,0,0,'Données projet'!$E$13+1,1))</f>
        <v>297.56177871222496</v>
      </c>
      <c r="CZ182" s="62">
        <f t="shared" si="150"/>
        <v>421.5717731815397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0.54358804258773008</v>
      </c>
      <c r="DH182" s="23">
        <f>EXP(-LN(2)/2)*DH181+(1-EXP(-LN(2)/2))/(LN(2)/2)*DB182*DE182*VLOOKUP('Données projet'!$B$13,Paramètres!$A$1:$I$89,3,0)*0.475*44/12</f>
        <v>6.0964881562694684E-22</v>
      </c>
      <c r="DI182" s="24">
        <f t="shared" si="175"/>
        <v>0.54358804258773008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752.99999999999977</v>
      </c>
      <c r="DP182" s="18">
        <f>DO182*VLOOKUP('Données projet'!$B$14,Paramètres!$A$1:$I$89,3,0)*VLOOKUP('Données projet'!$B$14,Paramètres!$A$1:$I$89,5,0)</f>
        <v>552.09959999999978</v>
      </c>
      <c r="DQ182" s="14">
        <f t="shared" si="176"/>
        <v>122.01091055125165</v>
      </c>
      <c r="DR182" s="22">
        <f t="shared" si="177"/>
        <v>1174.0758058767628</v>
      </c>
      <c r="DS182" s="62">
        <f t="shared" si="125"/>
        <v>1465.2505115665303</v>
      </c>
      <c r="DT182" s="62">
        <f ca="1">AVERAGE(OFFSET($DS$3,0,0,'Données projet'!$E$14+1,1))-AVERAGE(OFFSET($H$3,0,0,'Données projet'!$E$14+1,1))</f>
        <v>667.0152731006724</v>
      </c>
      <c r="DU182" s="62">
        <f t="shared" si="152"/>
        <v>567.40780872008088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0.37530511369362735</v>
      </c>
      <c r="EC182" s="23">
        <f>EXP(-LN(2)/2)*EC181+(1-EXP(-LN(2)/2))/(LN(2)/2)*DW182*DZ182*VLOOKUP('Données projet'!$B$14,Paramètres!$A$1:$I$89,3,0)*0.475*44/12</f>
        <v>5.5519691908704515E-22</v>
      </c>
      <c r="ED182" s="24">
        <f t="shared" si="178"/>
        <v>0.37530511369362735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454.99849419289757</v>
      </c>
      <c r="EP182" s="62">
        <f t="shared" si="154"/>
        <v>288.86643267991928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69.411283369936569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2.7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40.013999999999953</v>
      </c>
      <c r="D183" s="12">
        <f t="shared" si="140"/>
        <v>12.002357532661721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107.80744436127691</v>
      </c>
      <c r="H183" s="70">
        <f t="shared" si="110"/>
        <v>307.66182270271906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427.57091071251745</v>
      </c>
      <c r="T183" s="62">
        <f t="shared" si="142"/>
        <v>272.62827206514726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475.54515523869958</v>
      </c>
      <c r="AO183" s="62">
        <f t="shared" si="144"/>
        <v>301.02979240961452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0.15988109973827819</v>
      </c>
      <c r="AW183" s="23">
        <f>EXP(-LN(2)/2)*AW182+(1-EXP(-LN(2)/2))/(LN(2)/2)*AQ183*AT183*VLOOKUP('Données projet'!$B$10,Paramètres!$A$1:$I$89,3,0)*0.475*44/12</f>
        <v>4.4228964084321702E-22</v>
      </c>
      <c r="AX183" s="23">
        <f t="shared" si="166"/>
        <v>0.15988109973827819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6.3550942286383367E-14</v>
      </c>
      <c r="BF183" s="14">
        <f t="shared" si="167"/>
        <v>1.0064464192543978E-12</v>
      </c>
      <c r="BG183" s="22">
        <f t="shared" si="168"/>
        <v>1.8635787380168604E-12</v>
      </c>
      <c r="BH183" s="62">
        <f t="shared" si="116"/>
        <v>291.21215305341673</v>
      </c>
      <c r="BI183" s="62">
        <f ca="1">AVERAGE(OFFSET($BH$3,0,0,'Données projet'!$E$11+1,1))-AVERAGE(OFFSET($H$3,0,0,'Données projet'!$E$11+1,1))</f>
        <v>381.71417599784968</v>
      </c>
      <c r="BJ183" s="62">
        <f t="shared" si="146"/>
        <v>350.49230135197979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1.6571675447135863</v>
      </c>
      <c r="BQ183" s="23">
        <f>EXP(-LN(2)/25)*BQ182+(1-EXP(-LN(2)/25))/(LN(2)/25)*Calculateur!BL183*Calculateur!BN183*VLOOKUP('Données projet'!$B$11,Paramètres!$A$1:$I$89,3,0)*0.475*44/12</f>
        <v>0.43917148974728887</v>
      </c>
      <c r="BR183" s="23">
        <f>EXP(-LN(2)/2)*BR182+(1-EXP(-LN(2)/2))/(LN(2)/2)*BL183*BO183*VLOOKUP('Données projet'!$B$11,Paramètres!$A$1:$I$89,3,0)*0.475*44/12</f>
        <v>1.8367493065349988E-21</v>
      </c>
      <c r="BS183" s="24">
        <f t="shared" si="169"/>
        <v>2.096339034460875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3.1036506698001178E-14</v>
      </c>
      <c r="CA183" s="14">
        <f t="shared" si="170"/>
        <v>5.3428243983771088E-13</v>
      </c>
      <c r="CB183" s="22">
        <f t="shared" si="171"/>
        <v>9.8459716521636505E-13</v>
      </c>
      <c r="CC183" s="62">
        <f t="shared" si="119"/>
        <v>291.21215305341582</v>
      </c>
      <c r="CD183" s="62">
        <f ca="1">AVERAGE(OFFSET($CC$3,0,0,'Données projet'!$E$12+1,1))-AVERAGE(OFFSET($H$3,0,0,'Données projet'!$E$12+1,1))</f>
        <v>202.72043399839748</v>
      </c>
      <c r="CE183" s="62">
        <f t="shared" si="148"/>
        <v>295.50255983395789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9.1308810652554848E-2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9.1308810652554848E-2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4.9658410716801891E-14</v>
      </c>
      <c r="CV183" s="14">
        <f t="shared" si="173"/>
        <v>8.0934058173791862E-13</v>
      </c>
      <c r="CW183" s="22">
        <f t="shared" si="174"/>
        <v>1.4960899118586383E-12</v>
      </c>
      <c r="CX183" s="62">
        <f t="shared" si="122"/>
        <v>291.21215305341633</v>
      </c>
      <c r="CY183" s="62">
        <f ca="1">AVERAGE(OFFSET($CX$3,0,0,'Données projet'!$E$13+1,1))-AVERAGE(OFFSET($H$3,0,0,'Données projet'!$E$13+1,1))</f>
        <v>297.56177871222496</v>
      </c>
      <c r="CZ183" s="62">
        <f t="shared" si="150"/>
        <v>421.5717731815397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0.52872359897711585</v>
      </c>
      <c r="DH183" s="23">
        <f>EXP(-LN(2)/2)*DH182+(1-EXP(-LN(2)/2))/(LN(2)/2)*DB183*DE183*VLOOKUP('Données projet'!$B$13,Paramètres!$A$1:$I$89,3,0)*0.475*44/12</f>
        <v>4.3108681167216134E-22</v>
      </c>
      <c r="DI183" s="24">
        <f t="shared" si="175"/>
        <v>0.52872359897711585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752.99999999999977</v>
      </c>
      <c r="DP183" s="18">
        <f>DO183*VLOOKUP('Données projet'!$B$14,Paramètres!$A$1:$I$89,3,0)*VLOOKUP('Données projet'!$B$14,Paramètres!$A$1:$I$89,5,0)</f>
        <v>552.09959999999978</v>
      </c>
      <c r="DQ183" s="14">
        <f t="shared" si="176"/>
        <v>122.01091055125165</v>
      </c>
      <c r="DR183" s="22">
        <f t="shared" si="177"/>
        <v>1174.0758058767628</v>
      </c>
      <c r="DS183" s="62">
        <f t="shared" si="125"/>
        <v>1465.2879589301776</v>
      </c>
      <c r="DT183" s="62">
        <f ca="1">AVERAGE(OFFSET($DS$3,0,0,'Données projet'!$E$14+1,1))-AVERAGE(OFFSET($H$3,0,0,'Données projet'!$E$14+1,1))</f>
        <v>667.0152731006724</v>
      </c>
      <c r="DU183" s="62">
        <f t="shared" si="152"/>
        <v>567.40780872008088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0.36504237562323694</v>
      </c>
      <c r="EC183" s="23">
        <f>EXP(-LN(2)/2)*EC182+(1-EXP(-LN(2)/2))/(LN(2)/2)*DW183*DZ183*VLOOKUP('Données projet'!$B$14,Paramètres!$A$1:$I$89,3,0)*0.475*44/12</f>
        <v>3.9258350638032857E-22</v>
      </c>
      <c r="ED183" s="24">
        <f t="shared" si="178"/>
        <v>0.36504237562323694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454.99849419289757</v>
      </c>
      <c r="EP183" s="62">
        <f t="shared" si="154"/>
        <v>288.86643267991928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69.421496287294957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2.7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40.23629999999995</v>
      </c>
      <c r="D184" s="12">
        <f t="shared" si="140"/>
        <v>12.061256761232711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108.35010953922094</v>
      </c>
      <c r="H184" s="70">
        <f t="shared" si="110"/>
        <v>308.15157802581359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427.57091071251745</v>
      </c>
      <c r="T184" s="62">
        <f t="shared" si="142"/>
        <v>272.62827206514726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475.54515523869958</v>
      </c>
      <c r="AO184" s="62">
        <f t="shared" si="144"/>
        <v>301.02979240961452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0.15550914265815335</v>
      </c>
      <c r="AW184" s="23">
        <f>EXP(-LN(2)/2)*AW183+(1-EXP(-LN(2)/2))/(LN(2)/2)*AQ184*AT184*VLOOKUP('Données projet'!$B$10,Paramètres!$A$1:$I$89,3,0)*0.475*44/12</f>
        <v>3.1274600428880135E-22</v>
      </c>
      <c r="AX184" s="23">
        <f t="shared" si="166"/>
        <v>0.15550914265815335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6.3550942286383367E-14</v>
      </c>
      <c r="BF184" s="14">
        <f t="shared" si="167"/>
        <v>1.0064464192543978E-12</v>
      </c>
      <c r="BG184" s="22">
        <f t="shared" si="168"/>
        <v>1.8635787380168604E-12</v>
      </c>
      <c r="BH184" s="62">
        <f t="shared" si="116"/>
        <v>291.24895078902466</v>
      </c>
      <c r="BI184" s="62">
        <f ca="1">AVERAGE(OFFSET($BH$3,0,0,'Données projet'!$E$11+1,1))-AVERAGE(OFFSET($H$3,0,0,'Données projet'!$E$11+1,1))</f>
        <v>381.71417599784968</v>
      </c>
      <c r="BJ184" s="62">
        <f t="shared" si="146"/>
        <v>350.49230135197979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1.6246714999341496</v>
      </c>
      <c r="BQ184" s="23">
        <f>EXP(-LN(2)/25)*BQ183+(1-EXP(-LN(2)/25))/(LN(2)/25)*Calculateur!BL184*Calculateur!BN184*VLOOKUP('Données projet'!$B$11,Paramètres!$A$1:$I$89,3,0)*0.475*44/12</f>
        <v>0.42716232226512435</v>
      </c>
      <c r="BR184" s="23">
        <f>EXP(-LN(2)/2)*BR183+(1-EXP(-LN(2)/2))/(LN(2)/2)*BL184*BO184*VLOOKUP('Données projet'!$B$11,Paramètres!$A$1:$I$89,3,0)*0.475*44/12</f>
        <v>1.2987778899905863E-21</v>
      </c>
      <c r="BS184" s="24">
        <f t="shared" si="169"/>
        <v>2.0518338221992738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3.1036506698001178E-14</v>
      </c>
      <c r="CA184" s="14">
        <f t="shared" si="170"/>
        <v>5.3428243983771088E-13</v>
      </c>
      <c r="CB184" s="22">
        <f t="shared" si="171"/>
        <v>9.8459716521636505E-13</v>
      </c>
      <c r="CC184" s="62">
        <f t="shared" si="119"/>
        <v>291.24895078902375</v>
      </c>
      <c r="CD184" s="62">
        <f ca="1">AVERAGE(OFFSET($CC$3,0,0,'Données projet'!$E$12+1,1))-AVERAGE(OFFSET($H$3,0,0,'Données projet'!$E$12+1,1))</f>
        <v>202.72043399839748</v>
      </c>
      <c r="CE184" s="62">
        <f t="shared" si="148"/>
        <v>295.50255983395789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8.8811966423539071E-2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8.8811966423539071E-2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4.9658410716801891E-14</v>
      </c>
      <c r="CV184" s="14">
        <f t="shared" si="173"/>
        <v>8.0934058173791862E-13</v>
      </c>
      <c r="CW184" s="22">
        <f t="shared" si="174"/>
        <v>1.4960899118586383E-12</v>
      </c>
      <c r="CX184" s="62">
        <f t="shared" si="122"/>
        <v>291.24895078902426</v>
      </c>
      <c r="CY184" s="62">
        <f ca="1">AVERAGE(OFFSET($CX$3,0,0,'Données projet'!$E$13+1,1))-AVERAGE(OFFSET($H$3,0,0,'Données projet'!$E$13+1,1))</f>
        <v>297.56177871222496</v>
      </c>
      <c r="CZ184" s="62">
        <f t="shared" si="150"/>
        <v>421.5717731815397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0.51426562435872092</v>
      </c>
      <c r="DH184" s="23">
        <f>EXP(-LN(2)/2)*DH183+(1-EXP(-LN(2)/2))/(LN(2)/2)*DB184*DE184*VLOOKUP('Données projet'!$B$13,Paramètres!$A$1:$I$89,3,0)*0.475*44/12</f>
        <v>3.0482440781347342E-22</v>
      </c>
      <c r="DI184" s="24">
        <f t="shared" si="175"/>
        <v>0.51426562435872092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752.99999999999977</v>
      </c>
      <c r="DP184" s="18">
        <f>DO184*VLOOKUP('Données projet'!$B$14,Paramètres!$A$1:$I$89,3,0)*VLOOKUP('Données projet'!$B$14,Paramètres!$A$1:$I$89,5,0)</f>
        <v>552.09959999999978</v>
      </c>
      <c r="DQ184" s="14">
        <f t="shared" si="176"/>
        <v>122.01091055125165</v>
      </c>
      <c r="DR184" s="22">
        <f t="shared" si="177"/>
        <v>1174.0758058767628</v>
      </c>
      <c r="DS184" s="62">
        <f t="shared" si="125"/>
        <v>1465.3247566657856</v>
      </c>
      <c r="DT184" s="62">
        <f ca="1">AVERAGE(OFFSET($DS$3,0,0,'Données projet'!$E$14+1,1))-AVERAGE(OFFSET($H$3,0,0,'Données projet'!$E$14+1,1))</f>
        <v>667.0152731006724</v>
      </c>
      <c r="DU184" s="62">
        <f t="shared" si="152"/>
        <v>567.40780872008088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0.35506027266507528</v>
      </c>
      <c r="EC184" s="23">
        <f>EXP(-LN(2)/2)*EC183+(1-EXP(-LN(2)/2))/(LN(2)/2)*DW184*DZ184*VLOOKUP('Données projet'!$B$14,Paramètres!$A$1:$I$89,3,0)*0.475*44/12</f>
        <v>2.7759845954352257E-22</v>
      </c>
      <c r="ED184" s="24">
        <f t="shared" si="178"/>
        <v>0.35506027266507528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454.99849419289757</v>
      </c>
      <c r="EP184" s="62">
        <f t="shared" si="154"/>
        <v>288.86643267991928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69.431532033369848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2.7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40.458599999999947</v>
      </c>
      <c r="D185" s="12">
        <f t="shared" si="140"/>
        <v>12.120118124040841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108.89270164288574</v>
      </c>
      <c r="H185" s="70">
        <f t="shared" si="110"/>
        <v>308.64126739937103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427.57091071251745</v>
      </c>
      <c r="T185" s="62">
        <f t="shared" si="142"/>
        <v>272.62827206514726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475.54515523869958</v>
      </c>
      <c r="AO185" s="62">
        <f t="shared" si="144"/>
        <v>301.02979240961452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0.15125673697429576</v>
      </c>
      <c r="AW185" s="23">
        <f>EXP(-LN(2)/2)*AW184+(1-EXP(-LN(2)/2))/(LN(2)/2)*AQ185*AT185*VLOOKUP('Données projet'!$B$10,Paramètres!$A$1:$I$89,3,0)*0.475*44/12</f>
        <v>2.2114482042160851E-22</v>
      </c>
      <c r="AX185" s="23">
        <f t="shared" si="166"/>
        <v>0.15125673697429576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6.3550942286383367E-14</v>
      </c>
      <c r="BF185" s="14">
        <f t="shared" si="167"/>
        <v>1.0064464192543978E-12</v>
      </c>
      <c r="BG185" s="22">
        <f t="shared" si="168"/>
        <v>1.8635787380168604E-12</v>
      </c>
      <c r="BH185" s="62">
        <f t="shared" si="116"/>
        <v>291.28511016618722</v>
      </c>
      <c r="BI185" s="62">
        <f ca="1">AVERAGE(OFFSET($BH$3,0,0,'Données projet'!$E$11+1,1))-AVERAGE(OFFSET($H$3,0,0,'Données projet'!$E$11+1,1))</f>
        <v>381.71417599784968</v>
      </c>
      <c r="BJ185" s="62">
        <f t="shared" si="146"/>
        <v>350.49230135197979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1.5928126827722076</v>
      </c>
      <c r="BQ185" s="23">
        <f>EXP(-LN(2)/25)*BQ184+(1-EXP(-LN(2)/25))/(LN(2)/25)*Calculateur!BL185*Calculateur!BN185*VLOOKUP('Données projet'!$B$11,Paramètres!$A$1:$I$89,3,0)*0.475*44/12</f>
        <v>0.41548154609929427</v>
      </c>
      <c r="BR185" s="23">
        <f>EXP(-LN(2)/2)*BR184+(1-EXP(-LN(2)/2))/(LN(2)/2)*BL185*BO185*VLOOKUP('Données projet'!$B$11,Paramètres!$A$1:$I$89,3,0)*0.475*44/12</f>
        <v>9.1837465326749939E-22</v>
      </c>
      <c r="BS185" s="24">
        <f t="shared" si="169"/>
        <v>2.008294228871502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3.1036506698001178E-14</v>
      </c>
      <c r="CA185" s="14">
        <f t="shared" si="170"/>
        <v>5.3428243983771088E-13</v>
      </c>
      <c r="CB185" s="22">
        <f t="shared" si="171"/>
        <v>9.8459716521636505E-13</v>
      </c>
      <c r="CC185" s="62">
        <f t="shared" si="119"/>
        <v>291.28511016618631</v>
      </c>
      <c r="CD185" s="62">
        <f ca="1">AVERAGE(OFFSET($CC$3,0,0,'Données projet'!$E$12+1,1))-AVERAGE(OFFSET($H$3,0,0,'Données projet'!$E$12+1,1))</f>
        <v>202.72043399839748</v>
      </c>
      <c r="CE185" s="62">
        <f t="shared" si="148"/>
        <v>295.50255983395789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8.6383398531269057E-2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8.6383398531269057E-2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4.9658410716801891E-14</v>
      </c>
      <c r="CV185" s="14">
        <f t="shared" si="173"/>
        <v>8.0934058173791862E-13</v>
      </c>
      <c r="CW185" s="22">
        <f t="shared" si="174"/>
        <v>1.4960899118586383E-12</v>
      </c>
      <c r="CX185" s="62">
        <f t="shared" si="122"/>
        <v>291.28511016618683</v>
      </c>
      <c r="CY185" s="62">
        <f ca="1">AVERAGE(OFFSET($CX$3,0,0,'Données projet'!$E$13+1,1))-AVERAGE(OFFSET($H$3,0,0,'Données projet'!$E$13+1,1))</f>
        <v>297.56177871222496</v>
      </c>
      <c r="CZ185" s="62">
        <f t="shared" si="150"/>
        <v>421.5717731815397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0.5002030038165779</v>
      </c>
      <c r="DH185" s="23">
        <f>EXP(-LN(2)/2)*DH184+(1-EXP(-LN(2)/2))/(LN(2)/2)*DB185*DE185*VLOOKUP('Données projet'!$B$13,Paramètres!$A$1:$I$89,3,0)*0.475*44/12</f>
        <v>2.1554340583608067E-22</v>
      </c>
      <c r="DI185" s="24">
        <f t="shared" si="175"/>
        <v>0.5002030038165779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752.99999999999977</v>
      </c>
      <c r="DP185" s="18">
        <f>DO185*VLOOKUP('Données projet'!$B$14,Paramètres!$A$1:$I$89,3,0)*VLOOKUP('Données projet'!$B$14,Paramètres!$A$1:$I$89,5,0)</f>
        <v>552.09959999999978</v>
      </c>
      <c r="DQ185" s="14">
        <f t="shared" si="176"/>
        <v>122.01091055125165</v>
      </c>
      <c r="DR185" s="22">
        <f t="shared" si="177"/>
        <v>1174.0758058767628</v>
      </c>
      <c r="DS185" s="62">
        <f t="shared" si="125"/>
        <v>1465.3609160429482</v>
      </c>
      <c r="DT185" s="62">
        <f ca="1">AVERAGE(OFFSET($DS$3,0,0,'Données projet'!$E$14+1,1))-AVERAGE(OFFSET($H$3,0,0,'Données projet'!$E$14+1,1))</f>
        <v>667.0152731006724</v>
      </c>
      <c r="DU185" s="62">
        <f t="shared" si="152"/>
        <v>567.40780872008088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0.34535113083724056</v>
      </c>
      <c r="EC185" s="23">
        <f>EXP(-LN(2)/2)*EC184+(1-EXP(-LN(2)/2))/(LN(2)/2)*DW185*DZ185*VLOOKUP('Données projet'!$B$14,Paramètres!$A$1:$I$89,3,0)*0.475*44/12</f>
        <v>1.9629175319016428E-22</v>
      </c>
      <c r="ED185" s="24">
        <f t="shared" si="178"/>
        <v>0.34535113083724056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454.99849419289757</v>
      </c>
      <c r="EP185" s="62">
        <f t="shared" si="154"/>
        <v>288.86643267991928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69.441393681686904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2.7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40.680899999999944</v>
      </c>
      <c r="D186" s="12">
        <f t="shared" si="140"/>
        <v>12.178941853285266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109.43522112037498</v>
      </c>
      <c r="H186" s="70">
        <f t="shared" si="110"/>
        <v>309.13089122780508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427.57091071251745</v>
      </c>
      <c r="T186" s="62">
        <f t="shared" si="142"/>
        <v>272.62827206514726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475.54515523869958</v>
      </c>
      <c r="AO186" s="62">
        <f t="shared" si="144"/>
        <v>301.02979240961452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0.14712061354748754</v>
      </c>
      <c r="AW186" s="23">
        <f>EXP(-LN(2)/2)*AW185+(1-EXP(-LN(2)/2))/(LN(2)/2)*AQ186*AT186*VLOOKUP('Données projet'!$B$10,Paramètres!$A$1:$I$89,3,0)*0.475*44/12</f>
        <v>1.5637300214440068E-22</v>
      </c>
      <c r="AX186" s="23">
        <f t="shared" si="166"/>
        <v>0.14712061354748754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6.3550942286383367E-14</v>
      </c>
      <c r="BF186" s="14">
        <f t="shared" si="167"/>
        <v>1.0064464192543978E-12</v>
      </c>
      <c r="BG186" s="22">
        <f t="shared" si="168"/>
        <v>1.8635787380168604E-12</v>
      </c>
      <c r="BH186" s="62">
        <f t="shared" si="116"/>
        <v>291.3206422589962</v>
      </c>
      <c r="BI186" s="62">
        <f ca="1">AVERAGE(OFFSET($BH$3,0,0,'Données projet'!$E$11+1,1))-AVERAGE(OFFSET($H$3,0,0,'Données projet'!$E$11+1,1))</f>
        <v>381.71417599784968</v>
      </c>
      <c r="BJ186" s="62">
        <f t="shared" si="146"/>
        <v>350.49230135197979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1.5615785975828513</v>
      </c>
      <c r="BQ186" s="23">
        <f>EXP(-LN(2)/25)*BQ185+(1-EXP(-LN(2)/25))/(LN(2)/25)*Calculateur!BL186*Calculateur!BN186*VLOOKUP('Données projet'!$B$11,Paramètres!$A$1:$I$89,3,0)*0.475*44/12</f>
        <v>0.40412018137198413</v>
      </c>
      <c r="BR186" s="23">
        <f>EXP(-LN(2)/2)*BR185+(1-EXP(-LN(2)/2))/(LN(2)/2)*BL186*BO186*VLOOKUP('Données projet'!$B$11,Paramètres!$A$1:$I$89,3,0)*0.475*44/12</f>
        <v>6.4938894499529316E-22</v>
      </c>
      <c r="BS186" s="24">
        <f t="shared" si="169"/>
        <v>1.9656987789548355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3.1036506698001178E-14</v>
      </c>
      <c r="CA186" s="14">
        <f t="shared" si="170"/>
        <v>5.3428243983771088E-13</v>
      </c>
      <c r="CB186" s="22">
        <f t="shared" si="171"/>
        <v>9.8459716521636505E-13</v>
      </c>
      <c r="CC186" s="62">
        <f t="shared" si="119"/>
        <v>291.32064225899529</v>
      </c>
      <c r="CD186" s="62">
        <f ca="1">AVERAGE(OFFSET($CC$3,0,0,'Données projet'!$E$12+1,1))-AVERAGE(OFFSET($H$3,0,0,'Données projet'!$E$12+1,1))</f>
        <v>202.72043399839748</v>
      </c>
      <c r="CE186" s="62">
        <f t="shared" si="148"/>
        <v>295.50255983395789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8.402123995572601E-2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8.402123995572601E-2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4.9658410716801891E-14</v>
      </c>
      <c r="CV186" s="14">
        <f t="shared" si="173"/>
        <v>8.0934058173791862E-13</v>
      </c>
      <c r="CW186" s="22">
        <f t="shared" si="174"/>
        <v>1.4960899118586383E-12</v>
      </c>
      <c r="CX186" s="62">
        <f t="shared" si="122"/>
        <v>291.3206422589958</v>
      </c>
      <c r="CY186" s="62">
        <f ca="1">AVERAGE(OFFSET($CX$3,0,0,'Données projet'!$E$13+1,1))-AVERAGE(OFFSET($H$3,0,0,'Données projet'!$E$13+1,1))</f>
        <v>297.56177871222496</v>
      </c>
      <c r="CZ186" s="62">
        <f t="shared" si="150"/>
        <v>421.5717731815397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0.48652492637268085</v>
      </c>
      <c r="DH186" s="23">
        <f>EXP(-LN(2)/2)*DH185+(1-EXP(-LN(2)/2))/(LN(2)/2)*DB186*DE186*VLOOKUP('Données projet'!$B$13,Paramètres!$A$1:$I$89,3,0)*0.475*44/12</f>
        <v>1.5241220390673671E-22</v>
      </c>
      <c r="DI186" s="24">
        <f t="shared" si="175"/>
        <v>0.48652492637268085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752.99999999999977</v>
      </c>
      <c r="DP186" s="18">
        <f>DO186*VLOOKUP('Données projet'!$B$14,Paramètres!$A$1:$I$89,3,0)*VLOOKUP('Données projet'!$B$14,Paramètres!$A$1:$I$89,5,0)</f>
        <v>552.09959999999978</v>
      </c>
      <c r="DQ186" s="14">
        <f t="shared" si="176"/>
        <v>122.01091055125165</v>
      </c>
      <c r="DR186" s="22">
        <f t="shared" si="177"/>
        <v>1174.0758058767628</v>
      </c>
      <c r="DS186" s="62">
        <f t="shared" si="125"/>
        <v>1465.3964481357571</v>
      </c>
      <c r="DT186" s="62">
        <f ca="1">AVERAGE(OFFSET($DS$3,0,0,'Données projet'!$E$14+1,1))-AVERAGE(OFFSET($H$3,0,0,'Données projet'!$E$14+1,1))</f>
        <v>667.0152731006724</v>
      </c>
      <c r="DU186" s="62">
        <f t="shared" si="152"/>
        <v>567.40780872008088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0.33590748600326958</v>
      </c>
      <c r="EC186" s="23">
        <f>EXP(-LN(2)/2)*EC185+(1-EXP(-LN(2)/2))/(LN(2)/2)*DW186*DZ186*VLOOKUP('Données projet'!$B$14,Paramètres!$A$1:$I$89,3,0)*0.475*44/12</f>
        <v>1.3879922977176129E-22</v>
      </c>
      <c r="ED186" s="24">
        <f t="shared" si="178"/>
        <v>0.33590748600326958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454.99849419289757</v>
      </c>
      <c r="EP186" s="62">
        <f t="shared" si="154"/>
        <v>288.86643267991928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69.451084252453001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2.7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40.903199999999941</v>
      </c>
      <c r="D187" s="12">
        <f t="shared" si="140"/>
        <v>12.237728178480584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109.97766841461154</v>
      </c>
      <c r="H187" s="70">
        <f t="shared" si="110"/>
        <v>309.62044991085361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427.57091071251745</v>
      </c>
      <c r="T187" s="62">
        <f t="shared" si="142"/>
        <v>272.62827206514726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475.54515523869958</v>
      </c>
      <c r="AO187" s="62">
        <f t="shared" si="144"/>
        <v>301.02979240961452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0.14309759263329466</v>
      </c>
      <c r="AW187" s="23">
        <f>EXP(-LN(2)/2)*AW186+(1-EXP(-LN(2)/2))/(LN(2)/2)*AQ187*AT187*VLOOKUP('Données projet'!$B$10,Paramètres!$A$1:$I$89,3,0)*0.475*44/12</f>
        <v>1.1057241021080425E-22</v>
      </c>
      <c r="AX187" s="23">
        <f t="shared" si="166"/>
        <v>0.14309759263329466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6.3550942286383367E-14</v>
      </c>
      <c r="BF187" s="14">
        <f t="shared" si="167"/>
        <v>1.0064464192543978E-12</v>
      </c>
      <c r="BG187" s="22">
        <f t="shared" si="168"/>
        <v>1.8635787380168604E-12</v>
      </c>
      <c r="BH187" s="62">
        <f t="shared" si="116"/>
        <v>291.35555794943286</v>
      </c>
      <c r="BI187" s="62">
        <f ca="1">AVERAGE(OFFSET($BH$3,0,0,'Données projet'!$E$11+1,1))-AVERAGE(OFFSET($H$3,0,0,'Données projet'!$E$11+1,1))</f>
        <v>381.71417599784968</v>
      </c>
      <c r="BJ187" s="62">
        <f t="shared" si="146"/>
        <v>350.49230135197979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1.5309569937531478</v>
      </c>
      <c r="BQ187" s="23">
        <f>EXP(-LN(2)/25)*BQ186+(1-EXP(-LN(2)/25))/(LN(2)/25)*Calculateur!BL187*Calculateur!BN187*VLOOKUP('Données projet'!$B$11,Paramètres!$A$1:$I$89,3,0)*0.475*44/12</f>
        <v>0.39306949376061051</v>
      </c>
      <c r="BR187" s="23">
        <f>EXP(-LN(2)/2)*BR186+(1-EXP(-LN(2)/2))/(LN(2)/2)*BL187*BO187*VLOOKUP('Données projet'!$B$11,Paramètres!$A$1:$I$89,3,0)*0.475*44/12</f>
        <v>4.5918732663374969E-22</v>
      </c>
      <c r="BS187" s="24">
        <f t="shared" si="169"/>
        <v>1.9240264875137583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3.1036506698001178E-14</v>
      </c>
      <c r="CA187" s="14">
        <f t="shared" si="170"/>
        <v>5.3428243983771088E-13</v>
      </c>
      <c r="CB187" s="22">
        <f t="shared" si="171"/>
        <v>9.8459716521636505E-13</v>
      </c>
      <c r="CC187" s="62">
        <f t="shared" si="119"/>
        <v>291.35555794943195</v>
      </c>
      <c r="CD187" s="62">
        <f ca="1">AVERAGE(OFFSET($CC$3,0,0,'Données projet'!$E$12+1,1))-AVERAGE(OFFSET($H$3,0,0,'Données projet'!$E$12+1,1))</f>
        <v>202.72043399839748</v>
      </c>
      <c r="CE187" s="62">
        <f t="shared" si="148"/>
        <v>295.50255983395789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8.1723674730651702E-2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8.1723674730651702E-2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4.9658410716801891E-14</v>
      </c>
      <c r="CV187" s="14">
        <f t="shared" si="173"/>
        <v>8.0934058173791862E-13</v>
      </c>
      <c r="CW187" s="22">
        <f t="shared" si="174"/>
        <v>1.4960899118586383E-12</v>
      </c>
      <c r="CX187" s="62">
        <f t="shared" si="122"/>
        <v>291.35555794943247</v>
      </c>
      <c r="CY187" s="62">
        <f ca="1">AVERAGE(OFFSET($CX$3,0,0,'Données projet'!$E$13+1,1))-AVERAGE(OFFSET($H$3,0,0,'Données projet'!$E$13+1,1))</f>
        <v>297.56177871222496</v>
      </c>
      <c r="CZ187" s="62">
        <f t="shared" si="150"/>
        <v>421.5717731815397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0.473220876675786</v>
      </c>
      <c r="DH187" s="23">
        <f>EXP(-LN(2)/2)*DH186+(1-EXP(-LN(2)/2))/(LN(2)/2)*DB187*DE187*VLOOKUP('Données projet'!$B$13,Paramètres!$A$1:$I$89,3,0)*0.475*44/12</f>
        <v>1.0777170291804034E-22</v>
      </c>
      <c r="DI187" s="24">
        <f t="shared" si="175"/>
        <v>0.473220876675786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752.99999999999977</v>
      </c>
      <c r="DP187" s="18">
        <f>DO187*VLOOKUP('Données projet'!$B$14,Paramètres!$A$1:$I$89,3,0)*VLOOKUP('Données projet'!$B$14,Paramètres!$A$1:$I$89,5,0)</f>
        <v>552.09959999999978</v>
      </c>
      <c r="DQ187" s="14">
        <f t="shared" si="176"/>
        <v>122.01091055125165</v>
      </c>
      <c r="DR187" s="22">
        <f t="shared" si="177"/>
        <v>1174.0758058767628</v>
      </c>
      <c r="DS187" s="62">
        <f t="shared" si="125"/>
        <v>1465.4313638261938</v>
      </c>
      <c r="DT187" s="62">
        <f ca="1">AVERAGE(OFFSET($DS$3,0,0,'Données projet'!$E$14+1,1))-AVERAGE(OFFSET($H$3,0,0,'Données projet'!$E$14+1,1))</f>
        <v>667.0152731006724</v>
      </c>
      <c r="DU187" s="62">
        <f t="shared" si="152"/>
        <v>567.40780872008088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0.32672207813390319</v>
      </c>
      <c r="EC187" s="23">
        <f>EXP(-LN(2)/2)*EC186+(1-EXP(-LN(2)/2))/(LN(2)/2)*DW187*DZ187*VLOOKUP('Données projet'!$B$14,Paramètres!$A$1:$I$89,3,0)*0.475*44/12</f>
        <v>9.8145876595082142E-23</v>
      </c>
      <c r="ED187" s="24">
        <f t="shared" si="178"/>
        <v>0.32672207813390319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454.99849419289757</v>
      </c>
      <c r="EP187" s="62">
        <f t="shared" si="154"/>
        <v>288.86643267991928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69.460606713481184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2.7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41.125499999999938</v>
      </c>
      <c r="D188" s="12">
        <f t="shared" si="140"/>
        <v>12.296477326502277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110.52004396342532</v>
      </c>
      <c r="H188" s="70">
        <f t="shared" si="110"/>
        <v>310.10994384365802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427.57091071251745</v>
      </c>
      <c r="T188" s="62">
        <f t="shared" si="142"/>
        <v>272.62827206514726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475.54515523869958</v>
      </c>
      <c r="AO188" s="62">
        <f t="shared" si="144"/>
        <v>301.02979240961452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0.13918458143756188</v>
      </c>
      <c r="AW188" s="23">
        <f>EXP(-LN(2)/2)*AW187+(1-EXP(-LN(2)/2))/(LN(2)/2)*AQ188*AT188*VLOOKUP('Données projet'!$B$10,Paramètres!$A$1:$I$89,3,0)*0.475*44/12</f>
        <v>7.8186501072200338E-23</v>
      </c>
      <c r="AX188" s="23">
        <f t="shared" si="166"/>
        <v>0.13918458143756188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6.3550942286383367E-14</v>
      </c>
      <c r="BF188" s="14">
        <f t="shared" si="167"/>
        <v>1.0064464192543978E-12</v>
      </c>
      <c r="BG188" s="22">
        <f t="shared" si="168"/>
        <v>1.8635787380168604E-12</v>
      </c>
      <c r="BH188" s="62">
        <f t="shared" si="116"/>
        <v>291.38986793070018</v>
      </c>
      <c r="BI188" s="62">
        <f ca="1">AVERAGE(OFFSET($BH$3,0,0,'Données projet'!$E$11+1,1))-AVERAGE(OFFSET($H$3,0,0,'Données projet'!$E$11+1,1))</f>
        <v>381.71417599784968</v>
      </c>
      <c r="BJ188" s="62">
        <f t="shared" si="146"/>
        <v>350.49230135197979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1.5009358608972105</v>
      </c>
      <c r="BQ188" s="23">
        <f>EXP(-LN(2)/25)*BQ187+(1-EXP(-LN(2)/25))/(LN(2)/25)*Calculateur!BL188*Calculateur!BN188*VLOOKUP('Données projet'!$B$11,Paramètres!$A$1:$I$89,3,0)*0.475*44/12</f>
        <v>0.38232098778310031</v>
      </c>
      <c r="BR188" s="23">
        <f>EXP(-LN(2)/2)*BR187+(1-EXP(-LN(2)/2))/(LN(2)/2)*BL188*BO188*VLOOKUP('Données projet'!$B$11,Paramètres!$A$1:$I$89,3,0)*0.475*44/12</f>
        <v>3.2469447249764658E-22</v>
      </c>
      <c r="BS188" s="24">
        <f t="shared" si="169"/>
        <v>1.8832568486803107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3.1036506698001178E-14</v>
      </c>
      <c r="CA188" s="14">
        <f t="shared" si="170"/>
        <v>5.3428243983771088E-13</v>
      </c>
      <c r="CB188" s="22">
        <f t="shared" si="171"/>
        <v>9.8459716521636505E-13</v>
      </c>
      <c r="CC188" s="62">
        <f t="shared" si="119"/>
        <v>291.38986793069927</v>
      </c>
      <c r="CD188" s="62">
        <f ca="1">AVERAGE(OFFSET($CC$3,0,0,'Données projet'!$E$12+1,1))-AVERAGE(OFFSET($H$3,0,0,'Données projet'!$E$12+1,1))</f>
        <v>202.72043399839748</v>
      </c>
      <c r="CE188" s="62">
        <f t="shared" si="148"/>
        <v>295.50255983395789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7.9488936547480765E-2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7.9488936547480765E-2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4.9658410716801891E-14</v>
      </c>
      <c r="CV188" s="14">
        <f t="shared" si="173"/>
        <v>8.0934058173791862E-13</v>
      </c>
      <c r="CW188" s="22">
        <f t="shared" si="174"/>
        <v>1.4960899118586383E-12</v>
      </c>
      <c r="CX188" s="62">
        <f t="shared" si="122"/>
        <v>291.38986793069978</v>
      </c>
      <c r="CY188" s="62">
        <f ca="1">AVERAGE(OFFSET($CX$3,0,0,'Données projet'!$E$13+1,1))-AVERAGE(OFFSET($H$3,0,0,'Données projet'!$E$13+1,1))</f>
        <v>297.56177871222496</v>
      </c>
      <c r="CZ188" s="62">
        <f t="shared" si="150"/>
        <v>421.5717731815397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0.46028062691748228</v>
      </c>
      <c r="DH188" s="23">
        <f>EXP(-LN(2)/2)*DH187+(1-EXP(-LN(2)/2))/(LN(2)/2)*DB188*DE188*VLOOKUP('Données projet'!$B$13,Paramètres!$A$1:$I$89,3,0)*0.475*44/12</f>
        <v>7.6206101953368355E-23</v>
      </c>
      <c r="DI188" s="24">
        <f t="shared" si="175"/>
        <v>0.46028062691748228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752.99999999999977</v>
      </c>
      <c r="DP188" s="18">
        <f>DO188*VLOOKUP('Données projet'!$B$14,Paramètres!$A$1:$I$89,3,0)*VLOOKUP('Données projet'!$B$14,Paramètres!$A$1:$I$89,5,0)</f>
        <v>552.09959999999978</v>
      </c>
      <c r="DQ188" s="14">
        <f t="shared" si="176"/>
        <v>122.01091055125165</v>
      </c>
      <c r="DR188" s="22">
        <f t="shared" si="177"/>
        <v>1174.0758058767628</v>
      </c>
      <c r="DS188" s="62">
        <f t="shared" si="125"/>
        <v>1465.4656738074611</v>
      </c>
      <c r="DT188" s="62">
        <f ca="1">AVERAGE(OFFSET($DS$3,0,0,'Données projet'!$E$14+1,1))-AVERAGE(OFFSET($H$3,0,0,'Données projet'!$E$14+1,1))</f>
        <v>667.0152731006724</v>
      </c>
      <c r="DU188" s="62">
        <f t="shared" si="152"/>
        <v>567.40780872008088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0.31778784572576424</v>
      </c>
      <c r="EC188" s="23">
        <f>EXP(-LN(2)/2)*EC187+(1-EXP(-LN(2)/2))/(LN(2)/2)*DW188*DZ188*VLOOKUP('Données projet'!$B$14,Paramètres!$A$1:$I$89,3,0)*0.475*44/12</f>
        <v>6.9399614885880643E-23</v>
      </c>
      <c r="ED188" s="24">
        <f t="shared" si="178"/>
        <v>0.31778784572576424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454.99849419289757</v>
      </c>
      <c r="EP188" s="62">
        <f t="shared" si="154"/>
        <v>288.86643267991928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69.469963981099539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2.7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41.347799999999935</v>
      </c>
      <c r="D189" s="12">
        <f t="shared" si="140"/>
        <v>12.355189521631138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111.0623481996389</v>
      </c>
      <c r="H189" s="70">
        <f t="shared" si="110"/>
        <v>310.59937341684082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427.57091071251745</v>
      </c>
      <c r="T189" s="62">
        <f t="shared" si="142"/>
        <v>272.62827206514726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475.54515523869958</v>
      </c>
      <c r="AO189" s="62">
        <f t="shared" si="144"/>
        <v>301.02979240961452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0.13537857173875273</v>
      </c>
      <c r="AW189" s="23">
        <f>EXP(-LN(2)/2)*AW188+(1-EXP(-LN(2)/2))/(LN(2)/2)*AQ189*AT189*VLOOKUP('Données projet'!$B$10,Paramètres!$A$1:$I$89,3,0)*0.475*44/12</f>
        <v>5.5286205105402127E-23</v>
      </c>
      <c r="AX189" s="23">
        <f t="shared" si="166"/>
        <v>0.13537857173875273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6.3550942286383367E-14</v>
      </c>
      <c r="BF189" s="14">
        <f t="shared" si="167"/>
        <v>1.0064464192543978E-12</v>
      </c>
      <c r="BG189" s="22">
        <f t="shared" si="168"/>
        <v>1.8635787380168604E-12</v>
      </c>
      <c r="BH189" s="62">
        <f t="shared" si="116"/>
        <v>291.42358271049818</v>
      </c>
      <c r="BI189" s="62">
        <f ca="1">AVERAGE(OFFSET($BH$3,0,0,'Données projet'!$E$11+1,1))-AVERAGE(OFFSET($H$3,0,0,'Données projet'!$E$11+1,1))</f>
        <v>381.71417599784968</v>
      </c>
      <c r="BJ189" s="62">
        <f t="shared" si="146"/>
        <v>350.49230135197979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1.4715034241454952</v>
      </c>
      <c r="BQ189" s="23">
        <f>EXP(-LN(2)/25)*BQ188+(1-EXP(-LN(2)/25))/(LN(2)/25)*Calculateur!BL189*Calculateur!BN189*VLOOKUP('Données projet'!$B$11,Paramètres!$A$1:$I$89,3,0)*0.475*44/12</f>
        <v>0.37186640026678447</v>
      </c>
      <c r="BR189" s="23">
        <f>EXP(-LN(2)/2)*BR188+(1-EXP(-LN(2)/2))/(LN(2)/2)*BL189*BO189*VLOOKUP('Données projet'!$B$11,Paramètres!$A$1:$I$89,3,0)*0.475*44/12</f>
        <v>2.2959366331687485E-22</v>
      </c>
      <c r="BS189" s="24">
        <f t="shared" si="169"/>
        <v>1.8433698244122796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3.1036506698001178E-14</v>
      </c>
      <c r="CA189" s="14">
        <f t="shared" si="170"/>
        <v>5.3428243983771088E-13</v>
      </c>
      <c r="CB189" s="22">
        <f t="shared" si="171"/>
        <v>9.8459716521636505E-13</v>
      </c>
      <c r="CC189" s="62">
        <f t="shared" si="119"/>
        <v>291.42358271049727</v>
      </c>
      <c r="CD189" s="62">
        <f ca="1">AVERAGE(OFFSET($CC$3,0,0,'Données projet'!$E$12+1,1))-AVERAGE(OFFSET($H$3,0,0,'Données projet'!$E$12+1,1))</f>
        <v>202.72043399839748</v>
      </c>
      <c r="CE189" s="62">
        <f t="shared" si="148"/>
        <v>295.50255983395789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7.7315307397448407E-2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7.7315307397448407E-2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4.9658410716801891E-14</v>
      </c>
      <c r="CV189" s="14">
        <f t="shared" si="173"/>
        <v>8.0934058173791862E-13</v>
      </c>
      <c r="CW189" s="22">
        <f t="shared" si="174"/>
        <v>1.4960899118586383E-12</v>
      </c>
      <c r="CX189" s="62">
        <f t="shared" si="122"/>
        <v>291.42358271049778</v>
      </c>
      <c r="CY189" s="62">
        <f ca="1">AVERAGE(OFFSET($CX$3,0,0,'Données projet'!$E$13+1,1))-AVERAGE(OFFSET($H$3,0,0,'Données projet'!$E$13+1,1))</f>
        <v>297.56177871222496</v>
      </c>
      <c r="CZ189" s="62">
        <f t="shared" si="150"/>
        <v>421.5717731815397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0.44769422896931754</v>
      </c>
      <c r="DH189" s="23">
        <f>EXP(-LN(2)/2)*DH188+(1-EXP(-LN(2)/2))/(LN(2)/2)*DB189*DE189*VLOOKUP('Données projet'!$B$13,Paramètres!$A$1:$I$89,3,0)*0.475*44/12</f>
        <v>5.3885851459020168E-23</v>
      </c>
      <c r="DI189" s="24">
        <f t="shared" si="175"/>
        <v>0.44769422896931754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752.99999999999977</v>
      </c>
      <c r="DP189" s="18">
        <f>DO189*VLOOKUP('Données projet'!$B$14,Paramètres!$A$1:$I$89,3,0)*VLOOKUP('Données projet'!$B$14,Paramètres!$A$1:$I$89,5,0)</f>
        <v>552.09959999999978</v>
      </c>
      <c r="DQ189" s="14">
        <f t="shared" si="176"/>
        <v>122.01091055125165</v>
      </c>
      <c r="DR189" s="22">
        <f t="shared" si="177"/>
        <v>1174.0758058767628</v>
      </c>
      <c r="DS189" s="62">
        <f t="shared" si="125"/>
        <v>1465.4993885872591</v>
      </c>
      <c r="DT189" s="62">
        <f ca="1">AVERAGE(OFFSET($DS$3,0,0,'Données projet'!$E$14+1,1))-AVERAGE(OFFSET($H$3,0,0,'Données projet'!$E$14+1,1))</f>
        <v>667.0152731006724</v>
      </c>
      <c r="DU189" s="62">
        <f t="shared" si="152"/>
        <v>567.40780872008088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0.30909792037265671</v>
      </c>
      <c r="EC189" s="23">
        <f>EXP(-LN(2)/2)*EC188+(1-EXP(-LN(2)/2))/(LN(2)/2)*DW189*DZ189*VLOOKUP('Données projet'!$B$14,Paramètres!$A$1:$I$89,3,0)*0.475*44/12</f>
        <v>4.9072938297541071E-23</v>
      </c>
      <c r="ED189" s="24">
        <f t="shared" si="178"/>
        <v>0.30909792037265671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454.99849419289757</v>
      </c>
      <c r="EP189" s="62">
        <f t="shared" si="154"/>
        <v>288.86643267991928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69.479158921044444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2.7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41.570099999999933</v>
      </c>
      <c r="D190" s="12">
        <f t="shared" si="140"/>
        <v>12.413864985596737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111.60458155115145</v>
      </c>
      <c r="H190" s="70">
        <f t="shared" si="110"/>
        <v>311.08873901658092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427.57091071251745</v>
      </c>
      <c r="T190" s="62">
        <f t="shared" si="142"/>
        <v>272.62827206514726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475.54515523869958</v>
      </c>
      <c r="AO190" s="62">
        <f t="shared" si="144"/>
        <v>301.02979240961452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0.13167663757530687</v>
      </c>
      <c r="AW190" s="23">
        <f>EXP(-LN(2)/2)*AW189+(1-EXP(-LN(2)/2))/(LN(2)/2)*AQ190*AT190*VLOOKUP('Données projet'!$B$10,Paramètres!$A$1:$I$89,3,0)*0.475*44/12</f>
        <v>3.9093250536100169E-23</v>
      </c>
      <c r="AX190" s="23">
        <f t="shared" si="166"/>
        <v>0.13167663757530687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6.3550942286383367E-14</v>
      </c>
      <c r="BF190" s="14">
        <f t="shared" si="167"/>
        <v>1.0064464192543978E-12</v>
      </c>
      <c r="BG190" s="22">
        <f t="shared" si="168"/>
        <v>1.8635787380168604E-12</v>
      </c>
      <c r="BH190" s="62">
        <f t="shared" si="116"/>
        <v>291.45671261424172</v>
      </c>
      <c r="BI190" s="62">
        <f ca="1">AVERAGE(OFFSET($BH$3,0,0,'Données projet'!$E$11+1,1))-AVERAGE(OFFSET($H$3,0,0,'Données projet'!$E$11+1,1))</f>
        <v>381.71417599784968</v>
      </c>
      <c r="BJ190" s="62">
        <f t="shared" si="146"/>
        <v>350.49230135197979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1.4426481395264672</v>
      </c>
      <c r="BQ190" s="23">
        <f>EXP(-LN(2)/25)*BQ189+(1-EXP(-LN(2)/25))/(LN(2)/25)*Calculateur!BL190*Calculateur!BN190*VLOOKUP('Données projet'!$B$11,Paramètres!$A$1:$I$89,3,0)*0.475*44/12</f>
        <v>0.36169769399588519</v>
      </c>
      <c r="BR190" s="23">
        <f>EXP(-LN(2)/2)*BR189+(1-EXP(-LN(2)/2))/(LN(2)/2)*BL190*BO190*VLOOKUP('Données projet'!$B$11,Paramètres!$A$1:$I$89,3,0)*0.475*44/12</f>
        <v>1.6234723624882329E-22</v>
      </c>
      <c r="BS190" s="24">
        <f t="shared" si="169"/>
        <v>1.8043458335223523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3.1036506698001178E-14</v>
      </c>
      <c r="CA190" s="14">
        <f t="shared" si="170"/>
        <v>5.3428243983771088E-13</v>
      </c>
      <c r="CB190" s="22">
        <f t="shared" si="171"/>
        <v>9.8459716521636505E-13</v>
      </c>
      <c r="CC190" s="62">
        <f t="shared" si="119"/>
        <v>291.45671261424081</v>
      </c>
      <c r="CD190" s="62">
        <f ca="1">AVERAGE(OFFSET($CC$3,0,0,'Données projet'!$E$12+1,1))-AVERAGE(OFFSET($H$3,0,0,'Données projet'!$E$12+1,1))</f>
        <v>202.72043399839748</v>
      </c>
      <c r="CE190" s="62">
        <f t="shared" si="148"/>
        <v>295.50255983395789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7.5201116250829869E-2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7.5201116250829869E-2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4.9658410716801891E-14</v>
      </c>
      <c r="CV190" s="14">
        <f t="shared" si="173"/>
        <v>8.0934058173791862E-13</v>
      </c>
      <c r="CW190" s="22">
        <f t="shared" si="174"/>
        <v>1.4960899118586383E-12</v>
      </c>
      <c r="CX190" s="62">
        <f t="shared" si="122"/>
        <v>291.45671261424133</v>
      </c>
      <c r="CY190" s="62">
        <f ca="1">AVERAGE(OFFSET($CX$3,0,0,'Données projet'!$E$13+1,1))-AVERAGE(OFFSET($H$3,0,0,'Données projet'!$E$13+1,1))</f>
        <v>297.56177871222496</v>
      </c>
      <c r="CZ190" s="62">
        <f t="shared" si="150"/>
        <v>421.5717731815397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0.43545200673493528</v>
      </c>
      <c r="DH190" s="23">
        <f>EXP(-LN(2)/2)*DH189+(1-EXP(-LN(2)/2))/(LN(2)/2)*DB190*DE190*VLOOKUP('Données projet'!$B$13,Paramètres!$A$1:$I$89,3,0)*0.475*44/12</f>
        <v>3.8103050976684178E-23</v>
      </c>
      <c r="DI190" s="24">
        <f t="shared" si="175"/>
        <v>0.43545200673493528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752.99999999999977</v>
      </c>
      <c r="DP190" s="18">
        <f>DO190*VLOOKUP('Données projet'!$B$14,Paramètres!$A$1:$I$89,3,0)*VLOOKUP('Données projet'!$B$14,Paramètres!$A$1:$I$89,5,0)</f>
        <v>552.09959999999978</v>
      </c>
      <c r="DQ190" s="14">
        <f t="shared" si="176"/>
        <v>122.01091055125165</v>
      </c>
      <c r="DR190" s="22">
        <f t="shared" si="177"/>
        <v>1174.0758058767628</v>
      </c>
      <c r="DS190" s="62">
        <f t="shared" si="125"/>
        <v>1465.5325184910027</v>
      </c>
      <c r="DT190" s="62">
        <f ca="1">AVERAGE(OFFSET($DS$3,0,0,'Données projet'!$E$14+1,1))-AVERAGE(OFFSET($H$3,0,0,'Données projet'!$E$14+1,1))</f>
        <v>667.0152731006724</v>
      </c>
      <c r="DU190" s="62">
        <f t="shared" si="152"/>
        <v>567.40780872008088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0.30064562148531321</v>
      </c>
      <c r="EC190" s="23">
        <f>EXP(-LN(2)/2)*EC189+(1-EXP(-LN(2)/2))/(LN(2)/2)*DW190*DZ190*VLOOKUP('Données projet'!$B$14,Paramètres!$A$1:$I$89,3,0)*0.475*44/12</f>
        <v>3.4699807442940322E-23</v>
      </c>
      <c r="ED190" s="24">
        <f t="shared" si="178"/>
        <v>0.30064562148531321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454.99849419289757</v>
      </c>
      <c r="EP190" s="62">
        <f t="shared" si="154"/>
        <v>288.86643267991928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69.48819434933813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2.7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41.79239999999993</v>
      </c>
      <c r="D191" s="12">
        <f t="shared" si="140"/>
        <v>12.472503937619949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112.14674444102081</v>
      </c>
      <c r="H191" s="70">
        <f t="shared" si="110"/>
        <v>311.57804102468799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427.57091071251745</v>
      </c>
      <c r="T191" s="62">
        <f t="shared" si="142"/>
        <v>272.62827206514726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475.54515523869958</v>
      </c>
      <c r="AO191" s="62">
        <f t="shared" si="144"/>
        <v>301.02979240961452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0.12807593299623668</v>
      </c>
      <c r="AW191" s="23">
        <f>EXP(-LN(2)/2)*AW190+(1-EXP(-LN(2)/2))/(LN(2)/2)*AQ191*AT191*VLOOKUP('Données projet'!$B$10,Paramètres!$A$1:$I$89,3,0)*0.475*44/12</f>
        <v>2.7643102552701064E-23</v>
      </c>
      <c r="AX191" s="23">
        <f t="shared" si="166"/>
        <v>0.12807593299623668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6.3550942286383367E-14</v>
      </c>
      <c r="BF191" s="14">
        <f t="shared" si="167"/>
        <v>1.0064464192543978E-12</v>
      </c>
      <c r="BG191" s="22">
        <f t="shared" si="168"/>
        <v>1.8635787380168604E-12</v>
      </c>
      <c r="BH191" s="62">
        <f t="shared" si="116"/>
        <v>291.48926778822249</v>
      </c>
      <c r="BI191" s="62">
        <f ca="1">AVERAGE(OFFSET($BH$3,0,0,'Données projet'!$E$11+1,1))-AVERAGE(OFFSET($H$3,0,0,'Données projet'!$E$11+1,1))</f>
        <v>381.71417599784968</v>
      </c>
      <c r="BJ191" s="62">
        <f t="shared" si="146"/>
        <v>350.49230135197979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1.4143586894388325</v>
      </c>
      <c r="BQ191" s="23">
        <f>EXP(-LN(2)/25)*BQ190+(1-EXP(-LN(2)/25))/(LN(2)/25)*Calculateur!BL191*Calculateur!BN191*VLOOKUP('Données projet'!$B$11,Paramètres!$A$1:$I$89,3,0)*0.475*44/12</f>
        <v>0.35180705153271263</v>
      </c>
      <c r="BR191" s="23">
        <f>EXP(-LN(2)/2)*BR190+(1-EXP(-LN(2)/2))/(LN(2)/2)*BL191*BO191*VLOOKUP('Données projet'!$B$11,Paramètres!$A$1:$I$89,3,0)*0.475*44/12</f>
        <v>1.1479683165843742E-22</v>
      </c>
      <c r="BS191" s="24">
        <f t="shared" si="169"/>
        <v>1.766165740971545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3.1036506698001178E-14</v>
      </c>
      <c r="CA191" s="14">
        <f t="shared" si="170"/>
        <v>5.3428243983771088E-13</v>
      </c>
      <c r="CB191" s="22">
        <f t="shared" si="171"/>
        <v>9.8459716521636505E-13</v>
      </c>
      <c r="CC191" s="62">
        <f t="shared" si="119"/>
        <v>291.48926778822158</v>
      </c>
      <c r="CD191" s="62">
        <f ca="1">AVERAGE(OFFSET($CC$3,0,0,'Données projet'!$E$12+1,1))-AVERAGE(OFFSET($H$3,0,0,'Données projet'!$E$12+1,1))</f>
        <v>202.72043399839748</v>
      </c>
      <c r="CE191" s="62">
        <f t="shared" si="148"/>
        <v>295.50255983395789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7.3144737772296103E-2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7.3144737772296103E-2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4.9658410716801891E-14</v>
      </c>
      <c r="CV191" s="14">
        <f t="shared" si="173"/>
        <v>8.0934058173791862E-13</v>
      </c>
      <c r="CW191" s="22">
        <f t="shared" si="174"/>
        <v>1.4960899118586383E-12</v>
      </c>
      <c r="CX191" s="62">
        <f t="shared" si="122"/>
        <v>291.48926778822209</v>
      </c>
      <c r="CY191" s="62">
        <f ca="1">AVERAGE(OFFSET($CX$3,0,0,'Données projet'!$E$13+1,1))-AVERAGE(OFFSET($H$3,0,0,'Données projet'!$E$13+1,1))</f>
        <v>297.56177871222496</v>
      </c>
      <c r="CZ191" s="62">
        <f t="shared" si="150"/>
        <v>421.5717731815397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0.42354454871134267</v>
      </c>
      <c r="DH191" s="23">
        <f>EXP(-LN(2)/2)*DH190+(1-EXP(-LN(2)/2))/(LN(2)/2)*DB191*DE191*VLOOKUP('Données projet'!$B$13,Paramètres!$A$1:$I$89,3,0)*0.475*44/12</f>
        <v>2.6942925729510084E-23</v>
      </c>
      <c r="DI191" s="24">
        <f t="shared" si="175"/>
        <v>0.42354454871134267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752.99999999999977</v>
      </c>
      <c r="DP191" s="18">
        <f>DO191*VLOOKUP('Données projet'!$B$14,Paramètres!$A$1:$I$89,3,0)*VLOOKUP('Données projet'!$B$14,Paramètres!$A$1:$I$89,5,0)</f>
        <v>552.09959999999978</v>
      </c>
      <c r="DQ191" s="14">
        <f t="shared" si="176"/>
        <v>122.01091055125165</v>
      </c>
      <c r="DR191" s="22">
        <f t="shared" si="177"/>
        <v>1174.0758058767628</v>
      </c>
      <c r="DS191" s="62">
        <f t="shared" si="125"/>
        <v>1465.5650736649834</v>
      </c>
      <c r="DT191" s="62">
        <f ca="1">AVERAGE(OFFSET($DS$3,0,0,'Données projet'!$E$14+1,1))-AVERAGE(OFFSET($H$3,0,0,'Données projet'!$E$14+1,1))</f>
        <v>667.0152731006724</v>
      </c>
      <c r="DU191" s="62">
        <f t="shared" si="152"/>
        <v>567.40780872008088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0.29242445115553123</v>
      </c>
      <c r="EC191" s="23">
        <f>EXP(-LN(2)/2)*EC190+(1-EXP(-LN(2)/2))/(LN(2)/2)*DW191*DZ191*VLOOKUP('Données projet'!$B$14,Paramètres!$A$1:$I$89,3,0)*0.475*44/12</f>
        <v>2.4536469148770535E-23</v>
      </c>
      <c r="ED191" s="24">
        <f t="shared" si="178"/>
        <v>0.29242445115553123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454.99849419289757</v>
      </c>
      <c r="EP191" s="62">
        <f t="shared" si="154"/>
        <v>288.86643267991928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69.497073033151082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2.7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42.014699999999927</v>
      </c>
      <c r="D192" s="12">
        <f t="shared" si="140"/>
        <v>12.531106594454513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112.68883728754365</v>
      </c>
      <c r="H192" s="70">
        <f t="shared" si="110"/>
        <v>312.06727981867482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427.57091071251745</v>
      </c>
      <c r="T192" s="62">
        <f t="shared" si="142"/>
        <v>272.62827206514726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475.54515523869958</v>
      </c>
      <c r="AO192" s="62">
        <f t="shared" si="144"/>
        <v>301.02979240961452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0.12457368987323399</v>
      </c>
      <c r="AW192" s="23">
        <f>EXP(-LN(2)/2)*AW191+(1-EXP(-LN(2)/2))/(LN(2)/2)*AQ192*AT192*VLOOKUP('Données projet'!$B$10,Paramètres!$A$1:$I$89,3,0)*0.475*44/12</f>
        <v>1.9546625268050084E-23</v>
      </c>
      <c r="AX192" s="23">
        <f t="shared" si="166"/>
        <v>0.12457368987323399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6.3550942286383367E-14</v>
      </c>
      <c r="BF192" s="14">
        <f t="shared" si="167"/>
        <v>1.0064464192543978E-12</v>
      </c>
      <c r="BG192" s="22">
        <f t="shared" si="168"/>
        <v>1.8635787380168604E-12</v>
      </c>
      <c r="BH192" s="62">
        <f t="shared" si="116"/>
        <v>291.52125820271732</v>
      </c>
      <c r="BI192" s="62">
        <f ca="1">AVERAGE(OFFSET($BH$3,0,0,'Données projet'!$E$11+1,1))-AVERAGE(OFFSET($H$3,0,0,'Données projet'!$E$11+1,1))</f>
        <v>381.71417599784968</v>
      </c>
      <c r="BJ192" s="62">
        <f t="shared" si="146"/>
        <v>350.49230135197979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1.3866239782125556</v>
      </c>
      <c r="BQ192" s="23">
        <f>EXP(-LN(2)/25)*BQ191+(1-EXP(-LN(2)/25))/(LN(2)/25)*Calculateur!BL192*Calculateur!BN192*VLOOKUP('Données projet'!$B$11,Paramètres!$A$1:$I$89,3,0)*0.475*44/12</f>
        <v>0.34218686920782182</v>
      </c>
      <c r="BR192" s="23">
        <f>EXP(-LN(2)/2)*BR191+(1-EXP(-LN(2)/2))/(LN(2)/2)*BL192*BO192*VLOOKUP('Données projet'!$B$11,Paramètres!$A$1:$I$89,3,0)*0.475*44/12</f>
        <v>8.1173618124411645E-23</v>
      </c>
      <c r="BS192" s="24">
        <f t="shared" si="169"/>
        <v>1.7288108474203774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3.1036506698001178E-14</v>
      </c>
      <c r="CA192" s="14">
        <f t="shared" si="170"/>
        <v>5.3428243983771088E-13</v>
      </c>
      <c r="CB192" s="22">
        <f t="shared" si="171"/>
        <v>9.8459716521636505E-13</v>
      </c>
      <c r="CC192" s="62">
        <f t="shared" si="119"/>
        <v>291.52125820271641</v>
      </c>
      <c r="CD192" s="62">
        <f ca="1">AVERAGE(OFFSET($CC$3,0,0,'Données projet'!$E$12+1,1))-AVERAGE(OFFSET($H$3,0,0,'Données projet'!$E$12+1,1))</f>
        <v>202.72043399839748</v>
      </c>
      <c r="CE192" s="62">
        <f t="shared" si="148"/>
        <v>295.50255983395789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7.1144591071398075E-2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7.1144591071398075E-2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4.9658410716801891E-14</v>
      </c>
      <c r="CV192" s="14">
        <f t="shared" si="173"/>
        <v>8.0934058173791862E-13</v>
      </c>
      <c r="CW192" s="22">
        <f t="shared" si="174"/>
        <v>1.4960899118586383E-12</v>
      </c>
      <c r="CX192" s="62">
        <f t="shared" si="122"/>
        <v>291.52125820271692</v>
      </c>
      <c r="CY192" s="62">
        <f ca="1">AVERAGE(OFFSET($CX$3,0,0,'Données projet'!$E$13+1,1))-AVERAGE(OFFSET($H$3,0,0,'Données projet'!$E$13+1,1))</f>
        <v>297.56177871222496</v>
      </c>
      <c r="CZ192" s="62">
        <f t="shared" si="150"/>
        <v>421.5717731815397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0.4119627007535912</v>
      </c>
      <c r="DH192" s="23">
        <f>EXP(-LN(2)/2)*DH191+(1-EXP(-LN(2)/2))/(LN(2)/2)*DB192*DE192*VLOOKUP('Données projet'!$B$13,Paramètres!$A$1:$I$89,3,0)*0.475*44/12</f>
        <v>1.9051525488342089E-23</v>
      </c>
      <c r="DI192" s="24">
        <f t="shared" si="175"/>
        <v>0.4119627007535912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752.99999999999977</v>
      </c>
      <c r="DP192" s="18">
        <f>DO192*VLOOKUP('Données projet'!$B$14,Paramètres!$A$1:$I$89,3,0)*VLOOKUP('Données projet'!$B$14,Paramètres!$A$1:$I$89,5,0)</f>
        <v>552.09959999999978</v>
      </c>
      <c r="DQ192" s="14">
        <f t="shared" si="176"/>
        <v>122.01091055125165</v>
      </c>
      <c r="DR192" s="22">
        <f t="shared" si="177"/>
        <v>1174.0758058767628</v>
      </c>
      <c r="DS192" s="62">
        <f t="shared" si="125"/>
        <v>1465.5970640794783</v>
      </c>
      <c r="DT192" s="62">
        <f ca="1">AVERAGE(OFFSET($DS$3,0,0,'Données projet'!$E$14+1,1))-AVERAGE(OFFSET($H$3,0,0,'Données projet'!$E$14+1,1))</f>
        <v>667.0152731006724</v>
      </c>
      <c r="DU192" s="62">
        <f t="shared" si="152"/>
        <v>567.40780872008088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0.28442808916074969</v>
      </c>
      <c r="EC192" s="23">
        <f>EXP(-LN(2)/2)*EC191+(1-EXP(-LN(2)/2))/(LN(2)/2)*DW192*DZ192*VLOOKUP('Données projet'!$B$14,Paramètres!$A$1:$I$89,3,0)*0.475*44/12</f>
        <v>1.7349903721470161E-23</v>
      </c>
      <c r="ED192" s="24">
        <f t="shared" si="178"/>
        <v>0.28442808916074969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454.99849419289757</v>
      </c>
      <c r="EP192" s="62">
        <f t="shared" si="154"/>
        <v>288.86643267991928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69.505797691649661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2.7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42.236999999999924</v>
      </c>
      <c r="D193" s="12">
        <f t="shared" si="140"/>
        <v>12.58967317042768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113.23086050433398</v>
      </c>
      <c r="H193" s="70">
        <f t="shared" si="110"/>
        <v>312.5564557718281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427.57091071251745</v>
      </c>
      <c r="T193" s="62">
        <f t="shared" si="142"/>
        <v>272.62827206514726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475.54515523869958</v>
      </c>
      <c r="AO193" s="62">
        <f t="shared" si="144"/>
        <v>301.02979240961452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0.12116721577260477</v>
      </c>
      <c r="AW193" s="23">
        <f>EXP(-LN(2)/2)*AW192+(1-EXP(-LN(2)/2))/(LN(2)/2)*AQ193*AT193*VLOOKUP('Données projet'!$B$10,Paramètres!$A$1:$I$89,3,0)*0.475*44/12</f>
        <v>1.3821551276350532E-23</v>
      </c>
      <c r="AX193" s="23">
        <f t="shared" si="166"/>
        <v>0.12116721577260477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6.3550942286383367E-14</v>
      </c>
      <c r="BF193" s="14">
        <f t="shared" si="167"/>
        <v>1.0064464192543978E-12</v>
      </c>
      <c r="BG193" s="22">
        <f t="shared" si="168"/>
        <v>1.8635787380168604E-12</v>
      </c>
      <c r="BH193" s="62">
        <f t="shared" si="116"/>
        <v>291.5526936550404</v>
      </c>
      <c r="BI193" s="62">
        <f ca="1">AVERAGE(OFFSET($BH$3,0,0,'Données projet'!$E$11+1,1))-AVERAGE(OFFSET($H$3,0,0,'Données projet'!$E$11+1,1))</f>
        <v>381.71417599784968</v>
      </c>
      <c r="BJ193" s="62">
        <f t="shared" si="146"/>
        <v>350.49230135197979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1.3594331277569225</v>
      </c>
      <c r="BQ193" s="23">
        <f>EXP(-LN(2)/25)*BQ192+(1-EXP(-LN(2)/25))/(LN(2)/25)*Calculateur!BL193*Calculateur!BN193*VLOOKUP('Données projet'!$B$11,Paramètres!$A$1:$I$89,3,0)*0.475*44/12</f>
        <v>0.33282975127450853</v>
      </c>
      <c r="BR193" s="23">
        <f>EXP(-LN(2)/2)*BR192+(1-EXP(-LN(2)/2))/(LN(2)/2)*BL193*BO193*VLOOKUP('Données projet'!$B$11,Paramètres!$A$1:$I$89,3,0)*0.475*44/12</f>
        <v>5.7398415829218712E-23</v>
      </c>
      <c r="BS193" s="24">
        <f t="shared" si="169"/>
        <v>1.6922628790314311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3.1036506698001178E-14</v>
      </c>
      <c r="CA193" s="14">
        <f t="shared" si="170"/>
        <v>5.3428243983771088E-13</v>
      </c>
      <c r="CB193" s="22">
        <f t="shared" si="171"/>
        <v>9.8459716521636505E-13</v>
      </c>
      <c r="CC193" s="62">
        <f t="shared" si="119"/>
        <v>291.55269365503949</v>
      </c>
      <c r="CD193" s="62">
        <f ca="1">AVERAGE(OFFSET($CC$3,0,0,'Données projet'!$E$12+1,1))-AVERAGE(OFFSET($H$3,0,0,'Données projet'!$E$12+1,1))</f>
        <v>202.72043399839748</v>
      </c>
      <c r="CE193" s="62">
        <f t="shared" si="148"/>
        <v>295.50255983395789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6.9199138487219258E-2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6.9199138487219258E-2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4.9658410716801891E-14</v>
      </c>
      <c r="CV193" s="14">
        <f t="shared" si="173"/>
        <v>8.0934058173791862E-13</v>
      </c>
      <c r="CW193" s="22">
        <f t="shared" si="174"/>
        <v>1.4960899118586383E-12</v>
      </c>
      <c r="CX193" s="62">
        <f t="shared" si="122"/>
        <v>291.55269365504</v>
      </c>
      <c r="CY193" s="62">
        <f ca="1">AVERAGE(OFFSET($CX$3,0,0,'Données projet'!$E$13+1,1))-AVERAGE(OFFSET($H$3,0,0,'Données projet'!$E$13+1,1))</f>
        <v>297.56177871222496</v>
      </c>
      <c r="CZ193" s="62">
        <f t="shared" si="150"/>
        <v>421.5717731815397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0.40069755903730736</v>
      </c>
      <c r="DH193" s="23">
        <f>EXP(-LN(2)/2)*DH192+(1-EXP(-LN(2)/2))/(LN(2)/2)*DB193*DE193*VLOOKUP('Données projet'!$B$13,Paramètres!$A$1:$I$89,3,0)*0.475*44/12</f>
        <v>1.3471462864755042E-23</v>
      </c>
      <c r="DI193" s="24">
        <f t="shared" si="175"/>
        <v>0.40069755903730736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752.99999999999977</v>
      </c>
      <c r="DP193" s="18">
        <f>DO193*VLOOKUP('Données projet'!$B$14,Paramètres!$A$1:$I$89,3,0)*VLOOKUP('Données projet'!$B$14,Paramètres!$A$1:$I$89,5,0)</f>
        <v>552.09959999999978</v>
      </c>
      <c r="DQ193" s="14">
        <f t="shared" si="176"/>
        <v>122.01091055125165</v>
      </c>
      <c r="DR193" s="22">
        <f t="shared" si="177"/>
        <v>1174.0758058767628</v>
      </c>
      <c r="DS193" s="62">
        <f t="shared" si="125"/>
        <v>1465.6284995318015</v>
      </c>
      <c r="DT193" s="62">
        <f ca="1">AVERAGE(OFFSET($DS$3,0,0,'Données projet'!$E$14+1,1))-AVERAGE(OFFSET($H$3,0,0,'Données projet'!$E$14+1,1))</f>
        <v>667.0152731006724</v>
      </c>
      <c r="DU193" s="62">
        <f t="shared" si="152"/>
        <v>567.40780872008088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0.27665038810522585</v>
      </c>
      <c r="EC193" s="23">
        <f>EXP(-LN(2)/2)*EC192+(1-EXP(-LN(2)/2))/(LN(2)/2)*DW193*DZ193*VLOOKUP('Données projet'!$B$14,Paramètres!$A$1:$I$89,3,0)*0.475*44/12</f>
        <v>1.2268234574385268E-23</v>
      </c>
      <c r="ED193" s="24">
        <f t="shared" si="178"/>
        <v>0.27665038810522585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454.99849419289757</v>
      </c>
      <c r="EP193" s="62">
        <f t="shared" si="154"/>
        <v>288.86643267991928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69.514370996828688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2.7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42.459299999999921</v>
      </c>
      <c r="D194" s="12">
        <f t="shared" si="140"/>
        <v>12.648203877480039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113.77281450039992</v>
      </c>
      <c r="H194" s="70">
        <f t="shared" si="110"/>
        <v>313.04556925327762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427.57091071251745</v>
      </c>
      <c r="T194" s="62">
        <f t="shared" si="142"/>
        <v>272.62827206514726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475.54515523869958</v>
      </c>
      <c r="AO194" s="62">
        <f t="shared" si="144"/>
        <v>301.02979240961452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0.11785389188539594</v>
      </c>
      <c r="AW194" s="23">
        <f>EXP(-LN(2)/2)*AW193+(1-EXP(-LN(2)/2))/(LN(2)/2)*AQ194*AT194*VLOOKUP('Données projet'!$B$10,Paramètres!$A$1:$I$89,3,0)*0.475*44/12</f>
        <v>9.7733126340250422E-24</v>
      </c>
      <c r="AX194" s="23">
        <f t="shared" si="166"/>
        <v>0.11785389188539594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6.3550942286383367E-14</v>
      </c>
      <c r="BF194" s="14">
        <f t="shared" si="167"/>
        <v>1.0064464192543978E-12</v>
      </c>
      <c r="BG194" s="22">
        <f t="shared" si="168"/>
        <v>1.8635787380168604E-12</v>
      </c>
      <c r="BH194" s="62">
        <f t="shared" si="116"/>
        <v>291.5835837725449</v>
      </c>
      <c r="BI194" s="62">
        <f ca="1">AVERAGE(OFFSET($BH$3,0,0,'Données projet'!$E$11+1,1))-AVERAGE(OFFSET($H$3,0,0,'Données projet'!$E$11+1,1))</f>
        <v>381.71417599784968</v>
      </c>
      <c r="BJ194" s="62">
        <f t="shared" si="146"/>
        <v>350.49230135197979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1.3327754732939432</v>
      </c>
      <c r="BQ194" s="23">
        <f>EXP(-LN(2)/25)*BQ193+(1-EXP(-LN(2)/25))/(LN(2)/25)*Calculateur!BL194*Calculateur!BN194*VLOOKUP('Données projet'!$B$11,Paramètres!$A$1:$I$89,3,0)*0.475*44/12</f>
        <v>0.32372850422315119</v>
      </c>
      <c r="BR194" s="23">
        <f>EXP(-LN(2)/2)*BR193+(1-EXP(-LN(2)/2))/(LN(2)/2)*BL194*BO194*VLOOKUP('Données projet'!$B$11,Paramètres!$A$1:$I$89,3,0)*0.475*44/12</f>
        <v>4.0586809062205822E-23</v>
      </c>
      <c r="BS194" s="24">
        <f t="shared" si="169"/>
        <v>1.6565039775170944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3.1036506698001178E-14</v>
      </c>
      <c r="CA194" s="14">
        <f t="shared" si="170"/>
        <v>5.3428243983771088E-13</v>
      </c>
      <c r="CB194" s="22">
        <f t="shared" si="171"/>
        <v>9.8459716521636505E-13</v>
      </c>
      <c r="CC194" s="62">
        <f t="shared" si="119"/>
        <v>291.58358377254399</v>
      </c>
      <c r="CD194" s="62">
        <f ca="1">AVERAGE(OFFSET($CC$3,0,0,'Données projet'!$E$12+1,1))-AVERAGE(OFFSET($H$3,0,0,'Données projet'!$E$12+1,1))</f>
        <v>202.72043399839748</v>
      </c>
      <c r="CE194" s="62">
        <f t="shared" si="148"/>
        <v>295.50255983395789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6.7306884406261716E-2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6.7306884406261716E-2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4.9658410716801891E-14</v>
      </c>
      <c r="CV194" s="14">
        <f t="shared" si="173"/>
        <v>8.0934058173791862E-13</v>
      </c>
      <c r="CW194" s="22">
        <f t="shared" si="174"/>
        <v>1.4960899118586383E-12</v>
      </c>
      <c r="CX194" s="62">
        <f t="shared" si="122"/>
        <v>291.5835837725445</v>
      </c>
      <c r="CY194" s="62">
        <f ca="1">AVERAGE(OFFSET($CX$3,0,0,'Données projet'!$E$13+1,1))-AVERAGE(OFFSET($H$3,0,0,'Données projet'!$E$13+1,1))</f>
        <v>297.56177871222496</v>
      </c>
      <c r="CZ194" s="62">
        <f t="shared" si="150"/>
        <v>421.5717731815397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0.38974046321366335</v>
      </c>
      <c r="DH194" s="23">
        <f>EXP(-LN(2)/2)*DH193+(1-EXP(-LN(2)/2))/(LN(2)/2)*DB194*DE194*VLOOKUP('Données projet'!$B$13,Paramètres!$A$1:$I$89,3,0)*0.475*44/12</f>
        <v>9.5257627441710444E-24</v>
      </c>
      <c r="DI194" s="24">
        <f t="shared" si="175"/>
        <v>0.38974046321366335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752.99999999999977</v>
      </c>
      <c r="DP194" s="18">
        <f>DO194*VLOOKUP('Données projet'!$B$14,Paramètres!$A$1:$I$89,3,0)*VLOOKUP('Données projet'!$B$14,Paramètres!$A$1:$I$89,5,0)</f>
        <v>552.09959999999978</v>
      </c>
      <c r="DQ194" s="14">
        <f t="shared" si="176"/>
        <v>122.01091055125165</v>
      </c>
      <c r="DR194" s="22">
        <f t="shared" si="177"/>
        <v>1174.0758058767628</v>
      </c>
      <c r="DS194" s="62">
        <f t="shared" si="125"/>
        <v>1465.6593896493059</v>
      </c>
      <c r="DT194" s="62">
        <f ca="1">AVERAGE(OFFSET($DS$3,0,0,'Données projet'!$E$14+1,1))-AVERAGE(OFFSET($H$3,0,0,'Données projet'!$E$14+1,1))</f>
        <v>667.0152731006724</v>
      </c>
      <c r="DU194" s="62">
        <f t="shared" si="152"/>
        <v>567.40780872008088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0.26908536869407684</v>
      </c>
      <c r="EC194" s="23">
        <f>EXP(-LN(2)/2)*EC193+(1-EXP(-LN(2)/2))/(LN(2)/2)*DW194*DZ194*VLOOKUP('Données projet'!$B$14,Paramètres!$A$1:$I$89,3,0)*0.475*44/12</f>
        <v>8.6749518607350804E-24</v>
      </c>
      <c r="ED194" s="24">
        <f t="shared" si="178"/>
        <v>0.26908536869407684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454.99849419289757</v>
      </c>
      <c r="EP194" s="62">
        <f t="shared" si="154"/>
        <v>288.86643267991928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69.522795574329919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2.7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42.681599999999918</v>
      </c>
      <c r="D195" s="12">
        <f t="shared" si="140"/>
        <v>12.706698925204414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114.31469968021889</v>
      </c>
      <c r="H195" s="70">
        <f t="shared" si="110"/>
        <v>313.5346206280642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427.57091071251745</v>
      </c>
      <c r="T195" s="62">
        <f t="shared" si="142"/>
        <v>272.62827206514726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475.54515523869958</v>
      </c>
      <c r="AO195" s="62">
        <f t="shared" si="144"/>
        <v>301.02979240961452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0.11463117101412297</v>
      </c>
      <c r="AW195" s="23">
        <f>EXP(-LN(2)/2)*AW194+(1-EXP(-LN(2)/2))/(LN(2)/2)*AQ195*AT195*VLOOKUP('Données projet'!$B$10,Paramètres!$A$1:$I$89,3,0)*0.475*44/12</f>
        <v>6.9107756381752659E-24</v>
      </c>
      <c r="AX195" s="23">
        <f t="shared" si="166"/>
        <v>0.11463117101412297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6.3550942286383367E-14</v>
      </c>
      <c r="BF195" s="14">
        <f t="shared" si="167"/>
        <v>1.0064464192543978E-12</v>
      </c>
      <c r="BG195" s="22">
        <f t="shared" si="168"/>
        <v>1.8635787380168604E-12</v>
      </c>
      <c r="BH195" s="62">
        <f t="shared" si="116"/>
        <v>291.61393801557062</v>
      </c>
      <c r="BI195" s="62">
        <f ca="1">AVERAGE(OFFSET($BH$3,0,0,'Données projet'!$E$11+1,1))-AVERAGE(OFFSET($H$3,0,0,'Données projet'!$E$11+1,1))</f>
        <v>381.71417599784968</v>
      </c>
      <c r="BJ195" s="62">
        <f t="shared" si="146"/>
        <v>350.49230135197979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1.3066405591754191</v>
      </c>
      <c r="BQ195" s="23">
        <f>EXP(-LN(2)/25)*BQ194+(1-EXP(-LN(2)/25))/(LN(2)/25)*Calculateur!BL195*Calculateur!BN195*VLOOKUP('Données projet'!$B$11,Paramètres!$A$1:$I$89,3,0)*0.475*44/12</f>
        <v>0.31487613125102698</v>
      </c>
      <c r="BR195" s="23">
        <f>EXP(-LN(2)/2)*BR194+(1-EXP(-LN(2)/2))/(LN(2)/2)*BL195*BO195*VLOOKUP('Données projet'!$B$11,Paramètres!$A$1:$I$89,3,0)*0.475*44/12</f>
        <v>2.8699207914609356E-23</v>
      </c>
      <c r="BS195" s="24">
        <f t="shared" si="169"/>
        <v>1.621516690426446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3.1036506698001178E-14</v>
      </c>
      <c r="CA195" s="14">
        <f t="shared" si="170"/>
        <v>5.3428243983771088E-13</v>
      </c>
      <c r="CB195" s="22">
        <f t="shared" si="171"/>
        <v>9.8459716521636505E-13</v>
      </c>
      <c r="CC195" s="62">
        <f t="shared" si="119"/>
        <v>291.61393801556972</v>
      </c>
      <c r="CD195" s="62">
        <f ca="1">AVERAGE(OFFSET($CC$3,0,0,'Données projet'!$E$12+1,1))-AVERAGE(OFFSET($H$3,0,0,'Données projet'!$E$12+1,1))</f>
        <v>202.72043399839748</v>
      </c>
      <c r="CE195" s="62">
        <f t="shared" si="148"/>
        <v>295.50255983395789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6.5466374112657266E-2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6.5466374112657266E-2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4.9658410716801891E-14</v>
      </c>
      <c r="CV195" s="14">
        <f t="shared" si="173"/>
        <v>8.0934058173791862E-13</v>
      </c>
      <c r="CW195" s="22">
        <f t="shared" si="174"/>
        <v>1.4960899118586383E-12</v>
      </c>
      <c r="CX195" s="62">
        <f t="shared" si="122"/>
        <v>291.61393801557023</v>
      </c>
      <c r="CY195" s="62">
        <f ca="1">AVERAGE(OFFSET($CX$3,0,0,'Données projet'!$E$13+1,1))-AVERAGE(OFFSET($H$3,0,0,'Données projet'!$E$13+1,1))</f>
        <v>297.56177871222496</v>
      </c>
      <c r="CZ195" s="62">
        <f t="shared" si="150"/>
        <v>421.5717731815397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0.37908298975152555</v>
      </c>
      <c r="DH195" s="23">
        <f>EXP(-LN(2)/2)*DH194+(1-EXP(-LN(2)/2))/(LN(2)/2)*DB195*DE195*VLOOKUP('Données projet'!$B$13,Paramètres!$A$1:$I$89,3,0)*0.475*44/12</f>
        <v>6.735731432377521E-24</v>
      </c>
      <c r="DI195" s="24">
        <f t="shared" si="175"/>
        <v>0.37908298975152555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752.99999999999977</v>
      </c>
      <c r="DP195" s="18">
        <f>DO195*VLOOKUP('Données projet'!$B$14,Paramètres!$A$1:$I$89,3,0)*VLOOKUP('Données projet'!$B$14,Paramètres!$A$1:$I$89,5,0)</f>
        <v>552.09959999999978</v>
      </c>
      <c r="DQ195" s="14">
        <f t="shared" si="176"/>
        <v>122.01091055125165</v>
      </c>
      <c r="DR195" s="22">
        <f t="shared" si="177"/>
        <v>1174.0758058767628</v>
      </c>
      <c r="DS195" s="62">
        <f t="shared" si="125"/>
        <v>1465.6897438923315</v>
      </c>
      <c r="DT195" s="62">
        <f ca="1">AVERAGE(OFFSET($DS$3,0,0,'Données projet'!$E$14+1,1))-AVERAGE(OFFSET($H$3,0,0,'Données projet'!$E$14+1,1))</f>
        <v>667.0152731006724</v>
      </c>
      <c r="DU195" s="62">
        <f t="shared" si="152"/>
        <v>567.40780872008088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0.26172721513655278</v>
      </c>
      <c r="EC195" s="23">
        <f>EXP(-LN(2)/2)*EC194+(1-EXP(-LN(2)/2))/(LN(2)/2)*DW195*DZ195*VLOOKUP('Données projet'!$B$14,Paramètres!$A$1:$I$89,3,0)*0.475*44/12</f>
        <v>6.1341172871926339E-24</v>
      </c>
      <c r="ED195" s="24">
        <f t="shared" si="178"/>
        <v>0.26172721513655278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454.99849419289757</v>
      </c>
      <c r="EP195" s="62">
        <f t="shared" si="154"/>
        <v>288.86643267991928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69.531074004246022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2.7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42.903899999999915</v>
      </c>
      <c r="D196" s="12">
        <f t="shared" si="140"/>
        <v>12.76515852088397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114.856516443811</v>
      </c>
      <c r="H196" s="70">
        <f t="shared" ref="H196:H203" si="192">(B196+E196+F196)*44/12+(C196+D196)*0.475*44/12</f>
        <v>314.02361025720609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427.57091071251745</v>
      </c>
      <c r="T196" s="62">
        <f t="shared" si="142"/>
        <v>272.62827206514726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475.54515523869958</v>
      </c>
      <c r="AO196" s="62">
        <f t="shared" si="144"/>
        <v>301.02979240961452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0.11149657561455049</v>
      </c>
      <c r="AW196" s="23">
        <f>EXP(-LN(2)/2)*AW195+(1-EXP(-LN(2)/2))/(LN(2)/2)*AQ196*AT196*VLOOKUP('Données projet'!$B$10,Paramètres!$A$1:$I$89,3,0)*0.475*44/12</f>
        <v>4.8866563170125211E-24</v>
      </c>
      <c r="AX196" s="23">
        <f t="shared" si="166"/>
        <v>0.11149657561455049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6.3550942286383367E-14</v>
      </c>
      <c r="BF196" s="14">
        <f t="shared" si="167"/>
        <v>1.0064464192543978E-12</v>
      </c>
      <c r="BG196" s="22">
        <f t="shared" si="168"/>
        <v>1.8635787380168604E-12</v>
      </c>
      <c r="BH196" s="62">
        <f t="shared" ref="BH196:BH203" si="194">BG196+(AY196+AZ196)*44/12</f>
        <v>291.6437656803418</v>
      </c>
      <c r="BI196" s="62">
        <f ca="1">AVERAGE(OFFSET($BH$3,0,0,'Données projet'!$E$11+1,1))-AVERAGE(OFFSET($H$3,0,0,'Données projet'!$E$11+1,1))</f>
        <v>381.71417599784968</v>
      </c>
      <c r="BJ196" s="62">
        <f t="shared" si="146"/>
        <v>350.49230135197979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1.2810181347820357</v>
      </c>
      <c r="BQ196" s="23">
        <f>EXP(-LN(2)/25)*BQ195+(1-EXP(-LN(2)/25))/(LN(2)/25)*Calculateur!BL196*Calculateur!BN196*VLOOKUP('Données projet'!$B$11,Paramètres!$A$1:$I$89,3,0)*0.475*44/12</f>
        <v>0.30626582688335158</v>
      </c>
      <c r="BR196" s="23">
        <f>EXP(-LN(2)/2)*BR195+(1-EXP(-LN(2)/2))/(LN(2)/2)*BL196*BO196*VLOOKUP('Données projet'!$B$11,Paramètres!$A$1:$I$89,3,0)*0.475*44/12</f>
        <v>2.0293404531102911E-23</v>
      </c>
      <c r="BS196" s="24">
        <f t="shared" si="169"/>
        <v>1.5872839616653873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3.1036506698001178E-14</v>
      </c>
      <c r="CA196" s="14">
        <f t="shared" si="170"/>
        <v>5.3428243983771088E-13</v>
      </c>
      <c r="CB196" s="22">
        <f t="shared" si="171"/>
        <v>9.8459716521636505E-13</v>
      </c>
      <c r="CC196" s="62">
        <f t="shared" ref="CC196:CC203" si="195">CB196+(BT196+BU196)*44/12</f>
        <v>291.64376568034089</v>
      </c>
      <c r="CD196" s="62">
        <f ca="1">AVERAGE(OFFSET($CC$3,0,0,'Données projet'!$E$12+1,1))-AVERAGE(OFFSET($H$3,0,0,'Données projet'!$E$12+1,1))</f>
        <v>202.72043399839748</v>
      </c>
      <c r="CE196" s="62">
        <f t="shared" si="148"/>
        <v>295.50255983395789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6.3676192669819665E-2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6.3676192669819665E-2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4.9658410716801891E-14</v>
      </c>
      <c r="CV196" s="14">
        <f t="shared" si="173"/>
        <v>8.0934058173791862E-13</v>
      </c>
      <c r="CW196" s="22">
        <f t="shared" si="174"/>
        <v>1.4960899118586383E-12</v>
      </c>
      <c r="CX196" s="62">
        <f t="shared" ref="CX196:CX203" si="196">CW196+(CO196+CP196)*44/12</f>
        <v>291.6437656803414</v>
      </c>
      <c r="CY196" s="62">
        <f ca="1">AVERAGE(OFFSET($CX$3,0,0,'Données projet'!$E$13+1,1))-AVERAGE(OFFSET($H$3,0,0,'Données projet'!$E$13+1,1))</f>
        <v>297.56177871222496</v>
      </c>
      <c r="CZ196" s="62">
        <f t="shared" si="150"/>
        <v>421.5717731815397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0.36871694546166206</v>
      </c>
      <c r="DH196" s="23">
        <f>EXP(-LN(2)/2)*DH195+(1-EXP(-LN(2)/2))/(LN(2)/2)*DB196*DE196*VLOOKUP('Données projet'!$B$13,Paramètres!$A$1:$I$89,3,0)*0.475*44/12</f>
        <v>4.7628813720855222E-24</v>
      </c>
      <c r="DI196" s="24">
        <f t="shared" si="175"/>
        <v>0.36871694546166206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752.99999999999977</v>
      </c>
      <c r="DP196" s="18">
        <f>DO196*VLOOKUP('Données projet'!$B$14,Paramètres!$A$1:$I$89,3,0)*VLOOKUP('Données projet'!$B$14,Paramètres!$A$1:$I$89,5,0)</f>
        <v>552.09959999999978</v>
      </c>
      <c r="DQ196" s="14">
        <f t="shared" si="176"/>
        <v>122.01091055125165</v>
      </c>
      <c r="DR196" s="22">
        <f t="shared" si="177"/>
        <v>1174.0758058767628</v>
      </c>
      <c r="DS196" s="62">
        <f t="shared" ref="DS196:DS203" si="197">DR196+(DJ196+DK196)*44/12</f>
        <v>1465.7195715571029</v>
      </c>
      <c r="DT196" s="62">
        <f ca="1">AVERAGE(OFFSET($DS$3,0,0,'Données projet'!$E$14+1,1))-AVERAGE(OFFSET($H$3,0,0,'Données projet'!$E$14+1,1))</f>
        <v>667.0152731006724</v>
      </c>
      <c r="DU196" s="62">
        <f t="shared" si="152"/>
        <v>567.40780872008088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0.2545702706750077</v>
      </c>
      <c r="EC196" s="23">
        <f>EXP(-LN(2)/2)*EC195+(1-EXP(-LN(2)/2))/(LN(2)/2)*DW196*DZ196*VLOOKUP('Données projet'!$B$14,Paramètres!$A$1:$I$89,3,0)*0.475*44/12</f>
        <v>4.3374759303675402E-24</v>
      </c>
      <c r="ED196" s="24">
        <f t="shared" si="178"/>
        <v>0.2545702706750077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454.99849419289757</v>
      </c>
      <c r="EP196" s="62">
        <f t="shared" si="154"/>
        <v>288.86643267991928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69.53920882191089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2.7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43.126199999999912</v>
      </c>
      <c r="D197" s="12">
        <f t="shared" ref="D197:D203" si="202">IFERROR(EXP(-1.0587+0.8836*LN(C197)+0.284),0)</f>
        <v>12.823582869529536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115.39826518681122</v>
      </c>
      <c r="H197" s="70">
        <f t="shared" si="192"/>
        <v>314.51253849776379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427.57091071251745</v>
      </c>
      <c r="T197" s="62">
        <f t="shared" ref="T197:T203" si="204">$T$3</f>
        <v>272.62827206514726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475.54515523869958</v>
      </c>
      <c r="AO197" s="62">
        <f t="shared" ref="AO197:AO203" si="205">$AO$3</f>
        <v>301.02979240961452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0.10844769589102053</v>
      </c>
      <c r="AW197" s="23">
        <f>EXP(-LN(2)/2)*AW196+(1-EXP(-LN(2)/2))/(LN(2)/2)*AQ197*AT197*VLOOKUP('Données projet'!$B$10,Paramètres!$A$1:$I$89,3,0)*0.475*44/12</f>
        <v>3.4553878190876329E-24</v>
      </c>
      <c r="AX197" s="23">
        <f t="shared" si="166"/>
        <v>0.10844769589102053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6.3550942286383367E-14</v>
      </c>
      <c r="BF197" s="14">
        <f t="shared" si="167"/>
        <v>1.0064464192543978E-12</v>
      </c>
      <c r="BG197" s="22">
        <f t="shared" si="168"/>
        <v>1.8635787380168604E-12</v>
      </c>
      <c r="BH197" s="62">
        <f t="shared" si="194"/>
        <v>291.67307590181383</v>
      </c>
      <c r="BI197" s="62">
        <f ca="1">AVERAGE(OFFSET($BH$3,0,0,'Données projet'!$E$11+1,1))-AVERAGE(OFFSET($H$3,0,0,'Données projet'!$E$11+1,1))</f>
        <v>381.71417599784968</v>
      </c>
      <c r="BJ197" s="62">
        <f t="shared" ref="BJ197:BJ203" si="206">$BJ$3</f>
        <v>350.49230135197979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1.255898150502871</v>
      </c>
      <c r="BQ197" s="23">
        <f>EXP(-LN(2)/25)*BQ196+(1-EXP(-LN(2)/25))/(LN(2)/25)*Calculateur!BL197*Calculateur!BN197*VLOOKUP('Données projet'!$B$11,Paramètres!$A$1:$I$89,3,0)*0.475*44/12</f>
        <v>0.2978909717414065</v>
      </c>
      <c r="BR197" s="23">
        <f>EXP(-LN(2)/2)*BR196+(1-EXP(-LN(2)/2))/(LN(2)/2)*BL197*BO197*VLOOKUP('Données projet'!$B$11,Paramètres!$A$1:$I$89,3,0)*0.475*44/12</f>
        <v>1.4349603957304678E-23</v>
      </c>
      <c r="BS197" s="24">
        <f t="shared" si="169"/>
        <v>1.5537891222442775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3.1036506698001178E-14</v>
      </c>
      <c r="CA197" s="14">
        <f t="shared" si="170"/>
        <v>5.3428243983771088E-13</v>
      </c>
      <c r="CB197" s="22">
        <f t="shared" si="171"/>
        <v>9.8459716521636505E-13</v>
      </c>
      <c r="CC197" s="62">
        <f t="shared" si="195"/>
        <v>291.67307590181292</v>
      </c>
      <c r="CD197" s="62">
        <f ca="1">AVERAGE(OFFSET($CC$3,0,0,'Données projet'!$E$12+1,1))-AVERAGE(OFFSET($H$3,0,0,'Données projet'!$E$12+1,1))</f>
        <v>202.72043399839748</v>
      </c>
      <c r="CE197" s="62">
        <f t="shared" ref="CE197:CE203" si="207">$CE$3</f>
        <v>295.50255983395789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6.1934963832678006E-2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6.1934963832678006E-2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4.9658410716801891E-14</v>
      </c>
      <c r="CV197" s="14">
        <f t="shared" si="173"/>
        <v>8.0934058173791862E-13</v>
      </c>
      <c r="CW197" s="22">
        <f t="shared" si="174"/>
        <v>1.4960899118586383E-12</v>
      </c>
      <c r="CX197" s="62">
        <f t="shared" si="196"/>
        <v>291.67307590181343</v>
      </c>
      <c r="CY197" s="62">
        <f ca="1">AVERAGE(OFFSET($CX$3,0,0,'Données projet'!$E$13+1,1))-AVERAGE(OFFSET($H$3,0,0,'Données projet'!$E$13+1,1))</f>
        <v>297.56177871222496</v>
      </c>
      <c r="CZ197" s="62">
        <f t="shared" ref="CZ197:CZ203" si="208">$CZ$3</f>
        <v>421.5717731815397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0.35863436119803144</v>
      </c>
      <c r="DH197" s="23">
        <f>EXP(-LN(2)/2)*DH196+(1-EXP(-LN(2)/2))/(LN(2)/2)*DB197*DE197*VLOOKUP('Données projet'!$B$13,Paramètres!$A$1:$I$89,3,0)*0.475*44/12</f>
        <v>3.3678657161887605E-24</v>
      </c>
      <c r="DI197" s="24">
        <f t="shared" si="175"/>
        <v>0.35863436119803144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752.99999999999977</v>
      </c>
      <c r="DP197" s="18">
        <f>DO197*VLOOKUP('Données projet'!$B$14,Paramètres!$A$1:$I$89,3,0)*VLOOKUP('Données projet'!$B$14,Paramètres!$A$1:$I$89,5,0)</f>
        <v>552.09959999999978</v>
      </c>
      <c r="DQ197" s="14">
        <f t="shared" si="176"/>
        <v>122.01091055125165</v>
      </c>
      <c r="DR197" s="22">
        <f t="shared" si="177"/>
        <v>1174.0758058767628</v>
      </c>
      <c r="DS197" s="62">
        <f t="shared" si="197"/>
        <v>1465.7488817785747</v>
      </c>
      <c r="DT197" s="62">
        <f ca="1">AVERAGE(OFFSET($DS$3,0,0,'Données projet'!$E$14+1,1))-AVERAGE(OFFSET($H$3,0,0,'Données projet'!$E$14+1,1))</f>
        <v>667.0152731006724</v>
      </c>
      <c r="DU197" s="62">
        <f t="shared" ref="DU197:DU203" si="209">$DU$3</f>
        <v>567.40780872008088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0.2476090332361309</v>
      </c>
      <c r="EC197" s="23">
        <f>EXP(-LN(2)/2)*EC196+(1-EXP(-LN(2)/2))/(LN(2)/2)*DW197*DZ197*VLOOKUP('Données projet'!$B$14,Paramètres!$A$1:$I$89,3,0)*0.475*44/12</f>
        <v>3.0670586435963169E-24</v>
      </c>
      <c r="ED197" s="24">
        <f t="shared" si="178"/>
        <v>0.2476090332361309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454.99849419289757</v>
      </c>
      <c r="EP197" s="62">
        <f t="shared" ref="EP197:EP203" si="210">$EP$3</f>
        <v>288.86643267991928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69.547202518675988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2.7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43.348499999999909</v>
      </c>
      <c r="D198" s="12">
        <f t="shared" si="202"/>
        <v>12.88197217391601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115.9399463005395</v>
      </c>
      <c r="H198" s="70">
        <f t="shared" si="192"/>
        <v>315.00140570290358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427.57091071251745</v>
      </c>
      <c r="T198" s="62">
        <f t="shared" si="204"/>
        <v>272.62827206514726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475.54515523869958</v>
      </c>
      <c r="AO198" s="62">
        <f t="shared" si="205"/>
        <v>301.02979240961452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0.1054821879438641</v>
      </c>
      <c r="AW198" s="23">
        <f>EXP(-LN(2)/2)*AW197+(1-EXP(-LN(2)/2))/(LN(2)/2)*AQ198*AT198*VLOOKUP('Données projet'!$B$10,Paramètres!$A$1:$I$89,3,0)*0.475*44/12</f>
        <v>2.4433281585062606E-24</v>
      </c>
      <c r="AX198" s="23">
        <f t="shared" si="166"/>
        <v>0.1054821879438641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6.3550942286383367E-14</v>
      </c>
      <c r="BF198" s="14">
        <f t="shared" si="167"/>
        <v>1.0064464192543978E-12</v>
      </c>
      <c r="BG198" s="22">
        <f t="shared" si="168"/>
        <v>1.8635787380168604E-12</v>
      </c>
      <c r="BH198" s="62">
        <f t="shared" si="194"/>
        <v>291.7018776564712</v>
      </c>
      <c r="BI198" s="62">
        <f ca="1">AVERAGE(OFFSET($BH$3,0,0,'Données projet'!$E$11+1,1))-AVERAGE(OFFSET($H$3,0,0,'Données projet'!$E$11+1,1))</f>
        <v>381.71417599784968</v>
      </c>
      <c r="BJ198" s="62">
        <f t="shared" si="206"/>
        <v>350.49230135197979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1.2312707537937431</v>
      </c>
      <c r="BQ198" s="23">
        <f>EXP(-LN(2)/25)*BQ197+(1-EXP(-LN(2)/25))/(LN(2)/25)*Calculateur!BL198*Calculateur!BN198*VLOOKUP('Données projet'!$B$11,Paramètres!$A$1:$I$89,3,0)*0.475*44/12</f>
        <v>0.28974512745373238</v>
      </c>
      <c r="BR198" s="23">
        <f>EXP(-LN(2)/2)*BR197+(1-EXP(-LN(2)/2))/(LN(2)/2)*BL198*BO198*VLOOKUP('Données projet'!$B$11,Paramètres!$A$1:$I$89,3,0)*0.475*44/12</f>
        <v>1.0146702265551456E-23</v>
      </c>
      <c r="BS198" s="24">
        <f t="shared" si="169"/>
        <v>1.5210158812474754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3.1036506698001178E-14</v>
      </c>
      <c r="CA198" s="14">
        <f t="shared" si="170"/>
        <v>5.3428243983771088E-13</v>
      </c>
      <c r="CB198" s="22">
        <f t="shared" si="171"/>
        <v>9.8459716521636505E-13</v>
      </c>
      <c r="CC198" s="62">
        <f t="shared" si="195"/>
        <v>291.70187765647029</v>
      </c>
      <c r="CD198" s="62">
        <f ca="1">AVERAGE(OFFSET($CC$3,0,0,'Données projet'!$E$12+1,1))-AVERAGE(OFFSET($H$3,0,0,'Données projet'!$E$12+1,1))</f>
        <v>202.72043399839748</v>
      </c>
      <c r="CE198" s="62">
        <f t="shared" si="207"/>
        <v>295.50255983395789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6.0241348989655233E-2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6.0241348989655233E-2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4.9658410716801891E-14</v>
      </c>
      <c r="CV198" s="14">
        <f t="shared" si="173"/>
        <v>8.0934058173791862E-13</v>
      </c>
      <c r="CW198" s="22">
        <f t="shared" si="174"/>
        <v>1.4960899118586383E-12</v>
      </c>
      <c r="CX198" s="62">
        <f t="shared" si="196"/>
        <v>291.7018776564708</v>
      </c>
      <c r="CY198" s="62">
        <f ca="1">AVERAGE(OFFSET($CX$3,0,0,'Données projet'!$E$13+1,1))-AVERAGE(OFFSET($H$3,0,0,'Données projet'!$E$13+1,1))</f>
        <v>297.56177871222496</v>
      </c>
      <c r="CZ198" s="62">
        <f t="shared" si="208"/>
        <v>421.5717731815397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0.34882748573130989</v>
      </c>
      <c r="DH198" s="23">
        <f>EXP(-LN(2)/2)*DH197+(1-EXP(-LN(2)/2))/(LN(2)/2)*DB198*DE198*VLOOKUP('Données projet'!$B$13,Paramètres!$A$1:$I$89,3,0)*0.475*44/12</f>
        <v>2.3814406860427611E-24</v>
      </c>
      <c r="DI198" s="24">
        <f t="shared" si="175"/>
        <v>0.34882748573130989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752.99999999999977</v>
      </c>
      <c r="DP198" s="18">
        <f>DO198*VLOOKUP('Données projet'!$B$14,Paramètres!$A$1:$I$89,3,0)*VLOOKUP('Données projet'!$B$14,Paramètres!$A$1:$I$89,5,0)</f>
        <v>552.09959999999978</v>
      </c>
      <c r="DQ198" s="14">
        <f t="shared" si="176"/>
        <v>122.01091055125165</v>
      </c>
      <c r="DR198" s="22">
        <f t="shared" si="177"/>
        <v>1174.0758058767628</v>
      </c>
      <c r="DS198" s="62">
        <f t="shared" si="197"/>
        <v>1465.7776835332322</v>
      </c>
      <c r="DT198" s="62">
        <f ca="1">AVERAGE(OFFSET($DS$3,0,0,'Données projet'!$E$14+1,1))-AVERAGE(OFFSET($H$3,0,0,'Données projet'!$E$14+1,1))</f>
        <v>667.0152731006724</v>
      </c>
      <c r="DU198" s="62">
        <f t="shared" si="209"/>
        <v>567.40780872008088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0.24083815120109575</v>
      </c>
      <c r="EC198" s="23">
        <f>EXP(-LN(2)/2)*EC197+(1-EXP(-LN(2)/2))/(LN(2)/2)*DW198*DZ198*VLOOKUP('Données projet'!$B$14,Paramètres!$A$1:$I$89,3,0)*0.475*44/12</f>
        <v>2.1687379651837701E-24</v>
      </c>
      <c r="ED198" s="24">
        <f t="shared" si="178"/>
        <v>0.24083815120109575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454.99849419289757</v>
      </c>
      <c r="EP198" s="62">
        <f t="shared" si="210"/>
        <v>288.86643267991928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69.555057542673453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2.7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43.570799999999906</v>
      </c>
      <c r="D199" s="12">
        <f t="shared" si="202"/>
        <v>12.940326634618181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116.48156017207</v>
      </c>
      <c r="H199" s="70">
        <f t="shared" si="192"/>
        <v>315.49021222195984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427.57091071251745</v>
      </c>
      <c r="T199" s="62">
        <f t="shared" si="204"/>
        <v>272.62827206514726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475.54515523869958</v>
      </c>
      <c r="AO199" s="62">
        <f t="shared" si="205"/>
        <v>301.02979240961452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0.10259777196747195</v>
      </c>
      <c r="AW199" s="23">
        <f>EXP(-LN(2)/2)*AW198+(1-EXP(-LN(2)/2))/(LN(2)/2)*AQ199*AT199*VLOOKUP('Données projet'!$B$10,Paramètres!$A$1:$I$89,3,0)*0.475*44/12</f>
        <v>1.7276939095438165E-24</v>
      </c>
      <c r="AX199" s="23">
        <f t="shared" si="166"/>
        <v>0.10259777196747195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6.3550942286383367E-14</v>
      </c>
      <c r="BF199" s="14">
        <f t="shared" si="167"/>
        <v>1.0064464192543978E-12</v>
      </c>
      <c r="BG199" s="22">
        <f t="shared" si="168"/>
        <v>1.8635787380168604E-12</v>
      </c>
      <c r="BH199" s="62">
        <f t="shared" si="194"/>
        <v>291.73017976507629</v>
      </c>
      <c r="BI199" s="62">
        <f ca="1">AVERAGE(OFFSET($BH$3,0,0,'Données projet'!$E$11+1,1))-AVERAGE(OFFSET($H$3,0,0,'Données projet'!$E$11+1,1))</f>
        <v>381.71417599784968</v>
      </c>
      <c r="BJ199" s="62">
        <f t="shared" si="206"/>
        <v>350.49230135197979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1.2071262853128524</v>
      </c>
      <c r="BQ199" s="23">
        <f>EXP(-LN(2)/25)*BQ198+(1-EXP(-LN(2)/25))/(LN(2)/25)*Calculateur!BL199*Calculateur!BN199*VLOOKUP('Données projet'!$B$11,Paramètres!$A$1:$I$89,3,0)*0.475*44/12</f>
        <v>0.28182203170647602</v>
      </c>
      <c r="BR199" s="23">
        <f>EXP(-LN(2)/2)*BR198+(1-EXP(-LN(2)/2))/(LN(2)/2)*BL199*BO199*VLOOKUP('Données projet'!$B$11,Paramètres!$A$1:$I$89,3,0)*0.475*44/12</f>
        <v>7.174801978652339E-24</v>
      </c>
      <c r="BS199" s="24">
        <f t="shared" si="169"/>
        <v>1.4889483170193283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3.1036506698001178E-14</v>
      </c>
      <c r="CA199" s="14">
        <f t="shared" si="170"/>
        <v>5.3428243983771088E-13</v>
      </c>
      <c r="CB199" s="22">
        <f t="shared" si="171"/>
        <v>9.8459716521636505E-13</v>
      </c>
      <c r="CC199" s="62">
        <f t="shared" si="195"/>
        <v>291.73017976507538</v>
      </c>
      <c r="CD199" s="62">
        <f ca="1">AVERAGE(OFFSET($CC$3,0,0,'Données projet'!$E$12+1,1))-AVERAGE(OFFSET($H$3,0,0,'Données projet'!$E$12+1,1))</f>
        <v>202.72043399839748</v>
      </c>
      <c r="CE199" s="62">
        <f t="shared" si="207"/>
        <v>295.50255983395789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5.8594046133578249E-2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5.8594046133578249E-2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4.9658410716801891E-14</v>
      </c>
      <c r="CV199" s="14">
        <f t="shared" si="173"/>
        <v>8.0934058173791862E-13</v>
      </c>
      <c r="CW199" s="22">
        <f t="shared" si="174"/>
        <v>1.4960899118586383E-12</v>
      </c>
      <c r="CX199" s="62">
        <f t="shared" si="196"/>
        <v>291.73017976507589</v>
      </c>
      <c r="CY199" s="62">
        <f ca="1">AVERAGE(OFFSET($CX$3,0,0,'Données projet'!$E$13+1,1))-AVERAGE(OFFSET($H$3,0,0,'Données projet'!$E$13+1,1))</f>
        <v>297.56177871222496</v>
      </c>
      <c r="CZ199" s="62">
        <f t="shared" si="208"/>
        <v>421.5717731815397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0.33928877978994698</v>
      </c>
      <c r="DH199" s="23">
        <f>EXP(-LN(2)/2)*DH198+(1-EXP(-LN(2)/2))/(LN(2)/2)*DB199*DE199*VLOOKUP('Données projet'!$B$13,Paramètres!$A$1:$I$89,3,0)*0.475*44/12</f>
        <v>1.6839328580943802E-24</v>
      </c>
      <c r="DI199" s="24">
        <f t="shared" si="175"/>
        <v>0.33928877978994698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752.99999999999977</v>
      </c>
      <c r="DP199" s="18">
        <f>DO199*VLOOKUP('Données projet'!$B$14,Paramètres!$A$1:$I$89,3,0)*VLOOKUP('Données projet'!$B$14,Paramètres!$A$1:$I$89,5,0)</f>
        <v>552.09959999999978</v>
      </c>
      <c r="DQ199" s="14">
        <f t="shared" si="176"/>
        <v>122.01091055125165</v>
      </c>
      <c r="DR199" s="22">
        <f t="shared" si="177"/>
        <v>1174.0758058767628</v>
      </c>
      <c r="DS199" s="62">
        <f t="shared" si="197"/>
        <v>1465.8059856418372</v>
      </c>
      <c r="DT199" s="62">
        <f ca="1">AVERAGE(OFFSET($DS$3,0,0,'Données projet'!$E$14+1,1))-AVERAGE(OFFSET($H$3,0,0,'Données projet'!$E$14+1,1))</f>
        <v>667.0152731006724</v>
      </c>
      <c r="DU199" s="62">
        <f t="shared" si="209"/>
        <v>567.40780872008088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0.23425241929137386</v>
      </c>
      <c r="EC199" s="23">
        <f>EXP(-LN(2)/2)*EC198+(1-EXP(-LN(2)/2))/(LN(2)/2)*DW199*DZ199*VLOOKUP('Données projet'!$B$14,Paramètres!$A$1:$I$89,3,0)*0.475*44/12</f>
        <v>1.5335293217981585E-24</v>
      </c>
      <c r="ED199" s="24">
        <f t="shared" si="178"/>
        <v>0.23425241929137386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454.99849419289757</v>
      </c>
      <c r="EP199" s="62">
        <f t="shared" si="210"/>
        <v>288.86643267991928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69.562776299565755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2.7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43.793099999999903</v>
      </c>
      <c r="D200" s="12">
        <f t="shared" si="202"/>
        <v>12.998646450045621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117.02310718429838</v>
      </c>
      <c r="H200" s="70">
        <f t="shared" si="192"/>
        <v>315.97895840049597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427.57091071251745</v>
      </c>
      <c r="T200" s="62">
        <f t="shared" si="204"/>
        <v>272.62827206514726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475.54515523869958</v>
      </c>
      <c r="AO200" s="62">
        <f t="shared" si="205"/>
        <v>301.02979240961452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9.9792230497639092E-2</v>
      </c>
      <c r="AW200" s="23">
        <f>EXP(-LN(2)/2)*AW199+(1-EXP(-LN(2)/2))/(LN(2)/2)*AQ200*AT200*VLOOKUP('Données projet'!$B$10,Paramètres!$A$1:$I$89,3,0)*0.475*44/12</f>
        <v>1.2216640792531303E-24</v>
      </c>
      <c r="AX200" s="23">
        <f t="shared" si="166"/>
        <v>9.9792230497639092E-2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6.3550942286383367E-14</v>
      </c>
      <c r="BF200" s="14">
        <f t="shared" si="167"/>
        <v>1.0064464192543978E-12</v>
      </c>
      <c r="BG200" s="22">
        <f t="shared" si="168"/>
        <v>1.8635787380168604E-12</v>
      </c>
      <c r="BH200" s="62">
        <f t="shared" si="194"/>
        <v>291.75799089537117</v>
      </c>
      <c r="BI200" s="62">
        <f ca="1">AVERAGE(OFFSET($BH$3,0,0,'Données projet'!$E$11+1,1))-AVERAGE(OFFSET($H$3,0,0,'Données projet'!$E$11+1,1))</f>
        <v>381.71417599784968</v>
      </c>
      <c r="BJ200" s="62">
        <f t="shared" si="206"/>
        <v>350.49230135197979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1.1834552751322003</v>
      </c>
      <c r="BQ200" s="23">
        <f>EXP(-LN(2)/25)*BQ199+(1-EXP(-LN(2)/25))/(LN(2)/25)*Calculateur!BL200*Calculateur!BN200*VLOOKUP('Données projet'!$B$11,Paramètres!$A$1:$I$89,3,0)*0.475*44/12</f>
        <v>0.27411559342908587</v>
      </c>
      <c r="BR200" s="23">
        <f>EXP(-LN(2)/2)*BR199+(1-EXP(-LN(2)/2))/(LN(2)/2)*BL200*BO200*VLOOKUP('Données projet'!$B$11,Paramètres!$A$1:$I$89,3,0)*0.475*44/12</f>
        <v>5.0733511327757278E-24</v>
      </c>
      <c r="BS200" s="24">
        <f t="shared" si="169"/>
        <v>1.457570868561286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3.1036506698001178E-14</v>
      </c>
      <c r="CA200" s="14">
        <f t="shared" si="170"/>
        <v>5.3428243983771088E-13</v>
      </c>
      <c r="CB200" s="22">
        <f t="shared" si="171"/>
        <v>9.8459716521636505E-13</v>
      </c>
      <c r="CC200" s="62">
        <f t="shared" si="195"/>
        <v>291.75799089537026</v>
      </c>
      <c r="CD200" s="62">
        <f ca="1">AVERAGE(OFFSET($CC$3,0,0,'Données projet'!$E$12+1,1))-AVERAGE(OFFSET($H$3,0,0,'Données projet'!$E$12+1,1))</f>
        <v>202.72043399839748</v>
      </c>
      <c r="CE200" s="62">
        <f t="shared" si="207"/>
        <v>295.50255983395789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5.6991788860728587E-2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5.6991788860728587E-2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4.9658410716801891E-14</v>
      </c>
      <c r="CV200" s="14">
        <f t="shared" si="173"/>
        <v>8.0934058173791862E-13</v>
      </c>
      <c r="CW200" s="22">
        <f t="shared" si="174"/>
        <v>1.4960899118586383E-12</v>
      </c>
      <c r="CX200" s="62">
        <f t="shared" si="196"/>
        <v>291.75799089537077</v>
      </c>
      <c r="CY200" s="62">
        <f ca="1">AVERAGE(OFFSET($CX$3,0,0,'Données projet'!$E$13+1,1))-AVERAGE(OFFSET($H$3,0,0,'Données projet'!$E$13+1,1))</f>
        <v>297.56177871222496</v>
      </c>
      <c r="CZ200" s="62">
        <f t="shared" si="208"/>
        <v>421.5717731815397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0.3300109102641694</v>
      </c>
      <c r="DH200" s="23">
        <f>EXP(-LN(2)/2)*DH199+(1-EXP(-LN(2)/2))/(LN(2)/2)*DB200*DE200*VLOOKUP('Données projet'!$B$13,Paramètres!$A$1:$I$89,3,0)*0.475*44/12</f>
        <v>1.1907203430213805E-24</v>
      </c>
      <c r="DI200" s="24">
        <f t="shared" si="175"/>
        <v>0.3300109102641694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752.99999999999977</v>
      </c>
      <c r="DP200" s="18">
        <f>DO200*VLOOKUP('Données projet'!$B$14,Paramètres!$A$1:$I$89,3,0)*VLOOKUP('Données projet'!$B$14,Paramètres!$A$1:$I$89,5,0)</f>
        <v>552.09959999999978</v>
      </c>
      <c r="DQ200" s="14">
        <f t="shared" si="176"/>
        <v>122.01091055125165</v>
      </c>
      <c r="DR200" s="22">
        <f t="shared" si="177"/>
        <v>1174.0758058767628</v>
      </c>
      <c r="DS200" s="62">
        <f t="shared" si="197"/>
        <v>1465.8337967721322</v>
      </c>
      <c r="DT200" s="62">
        <f ca="1">AVERAGE(OFFSET($DS$3,0,0,'Données projet'!$E$14+1,1))-AVERAGE(OFFSET($H$3,0,0,'Données projet'!$E$14+1,1))</f>
        <v>667.0152731006724</v>
      </c>
      <c r="DU200" s="62">
        <f t="shared" si="209"/>
        <v>567.40780872008088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0.22784677456705191</v>
      </c>
      <c r="EC200" s="23">
        <f>EXP(-LN(2)/2)*EC199+(1-EXP(-LN(2)/2))/(LN(2)/2)*DW200*DZ200*VLOOKUP('Données projet'!$B$14,Paramètres!$A$1:$I$89,3,0)*0.475*44/12</f>
        <v>1.0843689825918851E-24</v>
      </c>
      <c r="ED200" s="24">
        <f t="shared" si="178"/>
        <v>0.22784677456705191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454.99849419289757</v>
      </c>
      <c r="EP200" s="62">
        <f t="shared" si="210"/>
        <v>288.86643267991928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69.570361153282533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2.7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44.0153999999999</v>
      </c>
      <c r="D201" s="12">
        <f t="shared" si="202"/>
        <v>13.056931816476981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117.56458771600802</v>
      </c>
      <c r="H201" s="70">
        <f t="shared" si="192"/>
        <v>316.46764458036392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427.57091071251745</v>
      </c>
      <c r="T201" s="62">
        <f t="shared" si="204"/>
        <v>272.62827206514726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475.54515523869958</v>
      </c>
      <c r="AO201" s="62">
        <f t="shared" si="205"/>
        <v>301.02979240961452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9.7063406706835831E-2</v>
      </c>
      <c r="AW201" s="23">
        <f>EXP(-LN(2)/2)*AW200+(1-EXP(-LN(2)/2))/(LN(2)/2)*AQ201*AT201*VLOOKUP('Données projet'!$B$10,Paramètres!$A$1:$I$89,3,0)*0.475*44/12</f>
        <v>8.6384695477190824E-25</v>
      </c>
      <c r="AX201" s="23">
        <f t="shared" si="166"/>
        <v>9.7063406706835831E-2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6.3550942286383367E-14</v>
      </c>
      <c r="BF201" s="14">
        <f t="shared" si="167"/>
        <v>1.0064464192543978E-12</v>
      </c>
      <c r="BG201" s="22">
        <f t="shared" si="168"/>
        <v>1.8635787380168604E-12</v>
      </c>
      <c r="BH201" s="62">
        <f t="shared" si="194"/>
        <v>291.78531956473176</v>
      </c>
      <c r="BI201" s="62">
        <f ca="1">AVERAGE(OFFSET($BH$3,0,0,'Données projet'!$E$11+1,1))-AVERAGE(OFFSET($H$3,0,0,'Données projet'!$E$11+1,1))</f>
        <v>381.71417599784968</v>
      </c>
      <c r="BJ201" s="62">
        <f t="shared" si="206"/>
        <v>350.49230135197979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1.1602484390233003</v>
      </c>
      <c r="BQ201" s="23">
        <f>EXP(-LN(2)/25)*BQ200+(1-EXP(-LN(2)/25))/(LN(2)/25)*Calculateur!BL201*Calculateur!BN201*VLOOKUP('Données projet'!$B$11,Paramètres!$A$1:$I$89,3,0)*0.475*44/12</f>
        <v>0.26661988811165493</v>
      </c>
      <c r="BR201" s="23">
        <f>EXP(-LN(2)/2)*BR200+(1-EXP(-LN(2)/2))/(LN(2)/2)*BL201*BO201*VLOOKUP('Données projet'!$B$11,Paramètres!$A$1:$I$89,3,0)*0.475*44/12</f>
        <v>3.5874009893261695E-24</v>
      </c>
      <c r="BS201" s="24">
        <f t="shared" si="169"/>
        <v>1.4268683271349554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3.1036506698001178E-14</v>
      </c>
      <c r="CA201" s="14">
        <f t="shared" si="170"/>
        <v>5.3428243983771088E-13</v>
      </c>
      <c r="CB201" s="22">
        <f t="shared" si="171"/>
        <v>9.8459716521636505E-13</v>
      </c>
      <c r="CC201" s="62">
        <f t="shared" si="195"/>
        <v>291.78531956473086</v>
      </c>
      <c r="CD201" s="62">
        <f ca="1">AVERAGE(OFFSET($CC$3,0,0,'Données projet'!$E$12+1,1))-AVERAGE(OFFSET($H$3,0,0,'Données projet'!$E$12+1,1))</f>
        <v>202.72043399839748</v>
      </c>
      <c r="CE201" s="62">
        <f t="shared" si="207"/>
        <v>295.50255983395789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5.5433345397264043E-2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5.5433345397264043E-2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4.9658410716801891E-14</v>
      </c>
      <c r="CV201" s="14">
        <f t="shared" si="173"/>
        <v>8.0934058173791862E-13</v>
      </c>
      <c r="CW201" s="22">
        <f t="shared" si="174"/>
        <v>1.4960899118586383E-12</v>
      </c>
      <c r="CX201" s="62">
        <f t="shared" si="196"/>
        <v>291.78531956473137</v>
      </c>
      <c r="CY201" s="62">
        <f ca="1">AVERAGE(OFFSET($CX$3,0,0,'Données projet'!$E$13+1,1))-AVERAGE(OFFSET($H$3,0,0,'Données projet'!$E$13+1,1))</f>
        <v>297.56177871222496</v>
      </c>
      <c r="CZ201" s="62">
        <f t="shared" si="208"/>
        <v>421.5717731815397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0.32098674456847615</v>
      </c>
      <c r="DH201" s="23">
        <f>EXP(-LN(2)/2)*DH200+(1-EXP(-LN(2)/2))/(LN(2)/2)*DB201*DE201*VLOOKUP('Données projet'!$B$13,Paramètres!$A$1:$I$89,3,0)*0.475*44/12</f>
        <v>8.4196642904719012E-25</v>
      </c>
      <c r="DI201" s="24">
        <f t="shared" si="175"/>
        <v>0.32098674456847615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752.99999999999977</v>
      </c>
      <c r="DP201" s="18">
        <f>DO201*VLOOKUP('Données projet'!$B$14,Paramètres!$A$1:$I$89,3,0)*VLOOKUP('Données projet'!$B$14,Paramètres!$A$1:$I$89,5,0)</f>
        <v>552.09959999999978</v>
      </c>
      <c r="DQ201" s="14">
        <f t="shared" si="176"/>
        <v>122.01091055125165</v>
      </c>
      <c r="DR201" s="22">
        <f t="shared" si="177"/>
        <v>1174.0758058767628</v>
      </c>
      <c r="DS201" s="62">
        <f t="shared" si="197"/>
        <v>1465.8611254414927</v>
      </c>
      <c r="DT201" s="62">
        <f ca="1">AVERAGE(OFFSET($DS$3,0,0,'Données projet'!$E$14+1,1))-AVERAGE(OFFSET($H$3,0,0,'Données projet'!$E$14+1,1))</f>
        <v>667.0152731006724</v>
      </c>
      <c r="DU201" s="62">
        <f t="shared" si="209"/>
        <v>567.40780872008088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0.22161629253457474</v>
      </c>
      <c r="EC201" s="23">
        <f>EXP(-LN(2)/2)*EC200+(1-EXP(-LN(2)/2))/(LN(2)/2)*DW201*DZ201*VLOOKUP('Données projet'!$B$14,Paramètres!$A$1:$I$89,3,0)*0.475*44/12</f>
        <v>7.6676466089907923E-25</v>
      </c>
      <c r="ED201" s="24">
        <f t="shared" si="178"/>
        <v>0.22161629253457474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454.99849419289757</v>
      </c>
      <c r="EP201" s="62">
        <f t="shared" si="210"/>
        <v>288.86643267991928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69.57781442674451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2.7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44.237699999999897</v>
      </c>
      <c r="D202" s="12">
        <f t="shared" si="202"/>
        <v>13.115182928093496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118.10600214193462</v>
      </c>
      <c r="H202" s="70">
        <f t="shared" si="192"/>
        <v>316.95627109976272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427.57091071251745</v>
      </c>
      <c r="T202" s="62">
        <f t="shared" si="204"/>
        <v>272.62827206514726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475.54515523869958</v>
      </c>
      <c r="AO202" s="62">
        <f t="shared" si="205"/>
        <v>301.02979240961452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9.4409202746094684E-2</v>
      </c>
      <c r="AW202" s="23">
        <f>EXP(-LN(2)/2)*AW201+(1-EXP(-LN(2)/2))/(LN(2)/2)*AQ202*AT202*VLOOKUP('Données projet'!$B$10,Paramètres!$A$1:$I$89,3,0)*0.475*44/12</f>
        <v>6.1083203962656514E-25</v>
      </c>
      <c r="AX202" s="23">
        <f t="shared" si="166"/>
        <v>9.4409202746094684E-2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6.3550942286383367E-14</v>
      </c>
      <c r="BF202" s="14">
        <f t="shared" si="167"/>
        <v>1.0064464192543978E-12</v>
      </c>
      <c r="BG202" s="22">
        <f t="shared" si="168"/>
        <v>1.8635787380168604E-12</v>
      </c>
      <c r="BH202" s="62">
        <f t="shared" si="194"/>
        <v>291.81217414277671</v>
      </c>
      <c r="BI202" s="62">
        <f ca="1">AVERAGE(OFFSET($BH$3,0,0,'Données projet'!$E$11+1,1))-AVERAGE(OFFSET($H$3,0,0,'Données projet'!$E$11+1,1))</f>
        <v>381.71417599784968</v>
      </c>
      <c r="BJ202" s="62">
        <f t="shared" si="206"/>
        <v>350.49230135197979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1.1374966748157234</v>
      </c>
      <c r="BQ202" s="23">
        <f>EXP(-LN(2)/25)*BQ201+(1-EXP(-LN(2)/25))/(LN(2)/25)*Calculateur!BL202*Calculateur!BN202*VLOOKUP('Données projet'!$B$11,Paramètres!$A$1:$I$89,3,0)*0.475*44/12</f>
        <v>0.2593291532503112</v>
      </c>
      <c r="BR202" s="23">
        <f>EXP(-LN(2)/2)*BR201+(1-EXP(-LN(2)/2))/(LN(2)/2)*BL202*BO202*VLOOKUP('Données projet'!$B$11,Paramètres!$A$1:$I$89,3,0)*0.475*44/12</f>
        <v>2.5366755663878639E-24</v>
      </c>
      <c r="BS202" s="24">
        <f t="shared" si="169"/>
        <v>1.3968258280660346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3.1036506698001178E-14</v>
      </c>
      <c r="CA202" s="14">
        <f t="shared" si="170"/>
        <v>5.3428243983771088E-13</v>
      </c>
      <c r="CB202" s="22">
        <f t="shared" si="171"/>
        <v>9.8459716521636505E-13</v>
      </c>
      <c r="CC202" s="62">
        <f t="shared" si="195"/>
        <v>291.8121741427758</v>
      </c>
      <c r="CD202" s="62">
        <f ca="1">AVERAGE(OFFSET($CC$3,0,0,'Données projet'!$E$12+1,1))-AVERAGE(OFFSET($H$3,0,0,'Données projet'!$E$12+1,1))</f>
        <v>202.72043399839748</v>
      </c>
      <c r="CE202" s="62">
        <f t="shared" si="207"/>
        <v>295.50255983395789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5.3917517652262915E-2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5.3917517652262915E-2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4.9658410716801891E-14</v>
      </c>
      <c r="CV202" s="14">
        <f t="shared" si="173"/>
        <v>8.0934058173791862E-13</v>
      </c>
      <c r="CW202" s="22">
        <f t="shared" si="174"/>
        <v>1.4960899118586383E-12</v>
      </c>
      <c r="CX202" s="62">
        <f t="shared" si="196"/>
        <v>291.81217414277631</v>
      </c>
      <c r="CY202" s="62">
        <f ca="1">AVERAGE(OFFSET($CX$3,0,0,'Données projet'!$E$13+1,1))-AVERAGE(OFFSET($H$3,0,0,'Données projet'!$E$13+1,1))</f>
        <v>297.56177871222496</v>
      </c>
      <c r="CZ202" s="62">
        <f t="shared" si="208"/>
        <v>421.5717731815397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0.31220934515829191</v>
      </c>
      <c r="DH202" s="23">
        <f>EXP(-LN(2)/2)*DH201+(1-EXP(-LN(2)/2))/(LN(2)/2)*DB202*DE202*VLOOKUP('Données projet'!$B$13,Paramètres!$A$1:$I$89,3,0)*0.475*44/12</f>
        <v>5.9536017151069027E-25</v>
      </c>
      <c r="DI202" s="24">
        <f t="shared" si="175"/>
        <v>0.31220934515829191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752.99999999999977</v>
      </c>
      <c r="DP202" s="18">
        <f>DO202*VLOOKUP('Données projet'!$B$14,Paramètres!$A$1:$I$89,3,0)*VLOOKUP('Données projet'!$B$14,Paramètres!$A$1:$I$89,5,0)</f>
        <v>552.09959999999978</v>
      </c>
      <c r="DQ202" s="14">
        <f t="shared" si="176"/>
        <v>122.01091055125165</v>
      </c>
      <c r="DR202" s="22">
        <f t="shared" si="177"/>
        <v>1174.0758058767628</v>
      </c>
      <c r="DS202" s="62">
        <f t="shared" si="197"/>
        <v>1465.8879800195377</v>
      </c>
      <c r="DT202" s="62">
        <f ca="1">AVERAGE(OFFSET($DS$3,0,0,'Données projet'!$E$14+1,1))-AVERAGE(OFFSET($H$3,0,0,'Données projet'!$E$14+1,1))</f>
        <v>667.0152731006724</v>
      </c>
      <c r="DU202" s="62">
        <f t="shared" si="209"/>
        <v>567.40780872008088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0.21555618336092247</v>
      </c>
      <c r="EC202" s="23">
        <f>EXP(-LN(2)/2)*EC201+(1-EXP(-LN(2)/2))/(LN(2)/2)*DW202*DZ202*VLOOKUP('Données projet'!$B$14,Paramètres!$A$1:$I$89,3,0)*0.475*44/12</f>
        <v>5.4218449129594253E-25</v>
      </c>
      <c r="ED202" s="24">
        <f t="shared" si="178"/>
        <v>0.21555618336092247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454.99849419289757</v>
      </c>
      <c r="EP202" s="62">
        <f t="shared" si="210"/>
        <v>288.86643267991928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69.585138402574955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2.7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44.459999999999894</v>
      </c>
      <c r="D203" s="12">
        <f t="shared" si="202"/>
        <v>13.173399977011824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56.5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118.64735083282964</v>
      </c>
      <c r="H203" s="70">
        <f t="shared" si="192"/>
        <v>317.44483829329545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427.57091071251745</v>
      </c>
      <c r="T203" s="62">
        <f t="shared" si="204"/>
        <v>272.62827206514726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475.54515523869958</v>
      </c>
      <c r="AO203" s="62">
        <f t="shared" si="205"/>
        <v>301.02979240961452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9.1827578132238533E-2</v>
      </c>
      <c r="AW203" s="23">
        <f>EXP(-LN(2)/2)*AW202+(1-EXP(-LN(2)/2))/(LN(2)/2)*AQ203*AT203*VLOOKUP('Données projet'!$B$10,Paramètres!$A$1:$I$89,3,0)*0.475*44/12</f>
        <v>4.3192347738595412E-25</v>
      </c>
      <c r="AX203" s="23">
        <f t="shared" si="166"/>
        <v>9.1827578132238533E-2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6.3550942286383367E-14</v>
      </c>
      <c r="BF203" s="14">
        <f t="shared" si="167"/>
        <v>1.0064464192543978E-12</v>
      </c>
      <c r="BG203" s="22">
        <f t="shared" si="168"/>
        <v>1.8635787380168604E-12</v>
      </c>
      <c r="BH203" s="62">
        <f t="shared" si="194"/>
        <v>291.8385628539304</v>
      </c>
      <c r="BI203" s="62">
        <f ca="1">AVERAGE(OFFSET($BH$3,0,0,'Données projet'!$E$11+1,1))-AVERAGE(OFFSET($H$3,0,0,'Données projet'!$E$11+1,1))</f>
        <v>381.71417599784968</v>
      </c>
      <c r="BJ203" s="62">
        <f t="shared" si="206"/>
        <v>350.49230135197979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1.1151910588270513</v>
      </c>
      <c r="BQ203" s="23">
        <f>EXP(-LN(2)/25)*BQ202+(1-EXP(-LN(2)/25))/(LN(2)/25)*Calculateur!BL203*Calculateur!BN203*VLOOKUP('Données projet'!$B$11,Paramètres!$A$1:$I$89,3,0)*0.475*44/12</f>
        <v>0.25223778391715396</v>
      </c>
      <c r="BR203" s="23">
        <f>EXP(-LN(2)/2)*BR202+(1-EXP(-LN(2)/2))/(LN(2)/2)*BL203*BO203*VLOOKUP('Données projet'!$B$11,Paramètres!$A$1:$I$89,3,0)*0.475*44/12</f>
        <v>1.7937004946630847E-24</v>
      </c>
      <c r="BS203" s="24">
        <f t="shared" si="169"/>
        <v>1.3674288427442052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3.1036506698001178E-14</v>
      </c>
      <c r="CA203" s="14">
        <f t="shared" si="170"/>
        <v>5.3428243983771088E-13</v>
      </c>
      <c r="CB203" s="22">
        <f t="shared" si="171"/>
        <v>9.8459716521636505E-13</v>
      </c>
      <c r="CC203" s="62">
        <f t="shared" si="195"/>
        <v>291.83856285392949</v>
      </c>
      <c r="CD203" s="62">
        <f ca="1">AVERAGE(OFFSET($CC$3,0,0,'Données projet'!$E$12+1,1))-AVERAGE(OFFSET($H$3,0,0,'Données projet'!$E$12+1,1))</f>
        <v>202.72043399839748</v>
      </c>
      <c r="CE203" s="62">
        <f t="shared" si="207"/>
        <v>295.50255983395789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5.2443140296662763E-2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5.2443140296662763E-2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4.9658410716801891E-14</v>
      </c>
      <c r="CV203" s="14">
        <f t="shared" si="173"/>
        <v>8.0934058173791862E-13</v>
      </c>
      <c r="CW203" s="22">
        <f t="shared" si="174"/>
        <v>1.4960899118586383E-12</v>
      </c>
      <c r="CX203" s="62">
        <f t="shared" si="196"/>
        <v>291.83856285393</v>
      </c>
      <c r="CY203" s="62">
        <f ca="1">AVERAGE(OFFSET($CX$3,0,0,'Données projet'!$E$13+1,1))-AVERAGE(OFFSET($H$3,0,0,'Données projet'!$E$13+1,1))</f>
        <v>297.56177871222496</v>
      </c>
      <c r="CZ203" s="62">
        <f t="shared" si="208"/>
        <v>421.5717731815397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0.3036719641965625</v>
      </c>
      <c r="DH203" s="23">
        <f>EXP(-LN(2)/2)*DH202+(1-EXP(-LN(2)/2))/(LN(2)/2)*DB203*DE203*VLOOKUP('Données projet'!$B$13,Paramètres!$A$1:$I$89,3,0)*0.475*44/12</f>
        <v>4.2098321452359506E-25</v>
      </c>
      <c r="DI203" s="24">
        <f t="shared" si="175"/>
        <v>0.3036719641965625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752.99999999999977</v>
      </c>
      <c r="DP203" s="18">
        <f>DO203*VLOOKUP('Données projet'!$B$14,Paramètres!$A$1:$I$89,3,0)*VLOOKUP('Données projet'!$B$14,Paramètres!$A$1:$I$89,5,0)</f>
        <v>552.09959999999978</v>
      </c>
      <c r="DQ203" s="14">
        <f t="shared" si="176"/>
        <v>122.01091055125165</v>
      </c>
      <c r="DR203" s="22">
        <f t="shared" si="177"/>
        <v>1174.0758058767628</v>
      </c>
      <c r="DS203" s="62">
        <f t="shared" si="197"/>
        <v>1465.9143687306914</v>
      </c>
      <c r="DT203" s="62">
        <f ca="1">AVERAGE(OFFSET($DS$3,0,0,'Données projet'!$E$14+1,1))-AVERAGE(OFFSET($H$3,0,0,'Données projet'!$E$14+1,1))</f>
        <v>667.0152731006724</v>
      </c>
      <c r="DU203" s="62">
        <f t="shared" si="209"/>
        <v>567.40780872008088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0.20966178819131101</v>
      </c>
      <c r="EC203" s="23">
        <f>EXP(-LN(2)/2)*EC202+(1-EXP(-LN(2)/2))/(LN(2)/2)*DW203*DZ203*VLOOKUP('Données projet'!$B$14,Paramètres!$A$1:$I$89,3,0)*0.475*44/12</f>
        <v>3.8338233044953962E-25</v>
      </c>
      <c r="ED203" s="24">
        <f t="shared" si="178"/>
        <v>0.20966178819131101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454.99849419289757</v>
      </c>
      <c r="EP203" s="62">
        <f t="shared" si="210"/>
        <v>288.86643267991928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69.592335323798693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1.3037606943669584</v>
      </c>
      <c r="BV205" s="88">
        <f>EXP(LN('Données projet'!B114)/'Données projet'!A114)</f>
        <v>1.4727333575346888</v>
      </c>
      <c r="CQ205" s="88">
        <f>EXP(LN('Données projet'!B140)/'Données projet'!A140)</f>
        <v>1.3655017210306359</v>
      </c>
      <c r="DL205" s="88">
        <f>EXP(LN('Données projet'!B166)/'Données projet'!A166)</f>
        <v>1.3423796509621049</v>
      </c>
      <c r="EG205" s="88">
        <f>EXP(LN('Données projet'!B192)/'Données projet'!A192)</f>
        <v>1.2392705892426346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20" sqref="N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0.590005</v>
      </c>
      <c r="C6" s="156">
        <f ca="1">IF(OR('Données projet'!B9="",'Données projet'!C9="",'Données projet'!C9=0%),0,Calculateur!S3)</f>
        <v>427.57091071251745</v>
      </c>
      <c r="D6" s="156">
        <f>IF(OR('Données projet'!B9="",'Données projet'!C9="",'Données projet'!C9=0%),0,Calculateur!T3)</f>
        <v>272.62827206514726</v>
      </c>
      <c r="E6" s="156">
        <f ca="1">MIN(C6,D6)</f>
        <v>272.62827206514726</v>
      </c>
      <c r="F6" s="156">
        <f ca="1">E6*B6</f>
        <v>160.8520436597972</v>
      </c>
      <c r="G6" s="156">
        <f ca="1">F6*(100%-'Données projet'!$C$24)*(100%-'Données projet'!$C$25)*(100%-'Données projet'!$C$26)*(100%-'Données projet'!$C$27)</f>
        <v>144.7668392938175</v>
      </c>
      <c r="H6" s="157">
        <f>IF(OR('Données projet'!B9="",'Données projet'!C9="",'Données projet'!C9=0%),0,AVERAGE(Calculateur!$AC$3:$AC$33)*B6)</f>
        <v>1.6768577810201506</v>
      </c>
      <c r="I6" s="158">
        <f>H6*(100%-'Données projet'!$C$24)*(100%-'Données projet'!$C$25)*(100%-'Données projet'!$C$26)*(100%-'Données projet'!$C$27)</f>
        <v>1.5091720029181355</v>
      </c>
      <c r="J6" s="159">
        <f>IF(OR('Données projet'!B9="",'Données projet'!C9="",'Données projet'!C9=0%),0,SUM(Calculateur!$V$3:$V$33)*VLOOKUP('Données projet'!$B$9,Paramètres!$A$1:$I$89,9,0)*B6)</f>
        <v>9.1450774999999993</v>
      </c>
      <c r="K6" s="160">
        <f>J6*(100%-'Données projet'!$C$24)*(100%-'Données projet'!$C$25)*(100%-'Données projet'!$C$26)*(100%-'Données projet'!$C$27)</f>
        <v>8.230569749999999</v>
      </c>
      <c r="L6" s="161">
        <f ca="1">G6+I6+K6</f>
        <v>154.50658104673565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0.16965</v>
      </c>
      <c r="C7" s="156">
        <f ca="1">IF(OR('Données projet'!B10="",'Données projet'!C10="",'Données projet'!C10=0%),0,Calculateur!AN3)</f>
        <v>475.54515523869958</v>
      </c>
      <c r="D7" s="156">
        <f>IF(OR('Données projet'!B10="",'Données projet'!C10="",'Données projet'!C10=0%),0,Calculateur!AO3)</f>
        <v>301.02979240961452</v>
      </c>
      <c r="E7" s="156">
        <f t="shared" ref="E7:E15" ca="1" si="0">MIN(C7,D7)</f>
        <v>301.02979240961452</v>
      </c>
      <c r="F7" s="156">
        <f t="shared" ref="F7:F15" ca="1" si="1">E7*B7</f>
        <v>51.069704282291099</v>
      </c>
      <c r="G7" s="156">
        <f ca="1">F7*(100%-'Données projet'!$C$24)*(100%-'Données projet'!$C$25)*(100%-'Données projet'!$C$26)*(100%-'Données projet'!$C$27)</f>
        <v>45.962733854061987</v>
      </c>
      <c r="H7" s="164">
        <f>IF(OR('Données projet'!B10="",'Données projet'!C10="",'Données projet'!C10=0%),0,AVERAGE(Calculateur!$AX$3:$AX$33)*B7)</f>
        <v>0.54035573531827041</v>
      </c>
      <c r="I7" s="158">
        <f>H7*(100%-'Données projet'!$C$24)*(100%-'Données projet'!$C$25)*(100%-'Données projet'!$C$26)*(100%-'Données projet'!$C$27)</f>
        <v>0.48632016178644338</v>
      </c>
      <c r="J7" s="159">
        <f>IF(OR('Données projet'!B10="",'Données projet'!C10="",'Données projet'!C10=0%),0,SUM(Calculateur!$AQ$3:$AQ$33)*VLOOKUP('Données projet'!$B$10,Paramètres!$A$1:$I$89,9,0)*B7)</f>
        <v>2.629575</v>
      </c>
      <c r="K7" s="160">
        <f>J7*(100%-'Données projet'!$C$24)*(100%-'Données projet'!$C$25)*(100%-'Données projet'!$C$26)*(100%-'Données projet'!$C$27)</f>
        <v>2.3666175000000003</v>
      </c>
      <c r="L7" s="161">
        <f t="shared" ref="L7:L15" ca="1" si="2">G7+I7+K7</f>
        <v>48.815671515848436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1.42883</v>
      </c>
      <c r="C8" s="156">
        <f ca="1">IF(OR('Données projet'!B11="",'Données projet'!C11="",'Données projet'!C11=0%),0,Calculateur!BI3)</f>
        <v>381.71417599784968</v>
      </c>
      <c r="D8" s="156">
        <f>IF(OR('Données projet'!B11="",'Données projet'!C11="",'Données projet'!C11=0%),0,Calculateur!BJ3)</f>
        <v>350.49230135197979</v>
      </c>
      <c r="E8" s="156">
        <f t="shared" ca="1" si="0"/>
        <v>350.49230135197979</v>
      </c>
      <c r="F8" s="156">
        <f t="shared" ca="1" si="1"/>
        <v>500.79391494074929</v>
      </c>
      <c r="G8" s="156">
        <f ca="1">F8*(100%-'Données projet'!$C$24)*(100%-'Données projet'!$C$25)*(100%-'Données projet'!$C$26)*(100%-'Données projet'!$C$27)</f>
        <v>450.71452344667438</v>
      </c>
      <c r="H8" s="164">
        <f>IF(OR('Données projet'!B11="",'Données projet'!C11="",'Données projet'!C11=0%),0,AVERAGE(Calculateur!$BS$3:$BS$33)*B8)</f>
        <v>12.420813691297866</v>
      </c>
      <c r="I8" s="158">
        <f>H8*(100%-'Données projet'!$C$24)*(100%-'Données projet'!$C$25)*(100%-'Données projet'!$C$26)*(100%-'Données projet'!$C$27)</f>
        <v>11.178732322168079</v>
      </c>
      <c r="J8" s="159">
        <f>IF(OR('Données projet'!B11="",'Données projet'!C11="",'Données projet'!C11=0%),0,SUM(Calculateur!$BL$3:$BL$33)*VLOOKUP('Données projet'!$B$11,Paramètres!$A$1:$I$89,9,0)*B8)</f>
        <v>81.217126210999993</v>
      </c>
      <c r="K8" s="160">
        <f>J8*(100%-'Données projet'!$C$24)*(100%-'Données projet'!$C$25)*(100%-'Données projet'!$C$26)*(100%-'Données projet'!$C$27)</f>
        <v>73.095413589899991</v>
      </c>
      <c r="L8" s="161">
        <f t="shared" ca="1" si="2"/>
        <v>534.98866935874241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Mélèze hybride</v>
      </c>
      <c r="B9" s="163">
        <f>'Données projet'!D12</f>
        <v>0.61074000000000006</v>
      </c>
      <c r="C9" s="156">
        <f ca="1">IF(OR('Données projet'!B12="",'Données projet'!C12="",'Données projet'!C12=0%),0,Calculateur!CD3)</f>
        <v>202.72043399839748</v>
      </c>
      <c r="D9" s="156">
        <f>IF(OR('Données projet'!B12="",'Données projet'!C12="",'Données projet'!C12=0%),0,Calculateur!CE3)</f>
        <v>295.50255983395789</v>
      </c>
      <c r="E9" s="156">
        <f t="shared" ca="1" si="0"/>
        <v>202.72043399839748</v>
      </c>
      <c r="F9" s="156">
        <f t="shared" ca="1" si="1"/>
        <v>123.80947786018129</v>
      </c>
      <c r="G9" s="156">
        <f ca="1">F9*(100%-'Données projet'!$C$24)*(100%-'Données projet'!$C$25)*(100%-'Données projet'!$C$26)*(100%-'Données projet'!$C$27)</f>
        <v>111.42853007416316</v>
      </c>
      <c r="H9" s="164">
        <f>IF(OR('Données projet'!B12="",'Données projet'!C12="",'Données projet'!C12=0%),0,AVERAGE(Calculateur!$CN$3:$CN$33)*B9)</f>
        <v>0.1151296888112335</v>
      </c>
      <c r="I9" s="158">
        <f>H9*(100%-'Données projet'!$C$24)*(100%-'Données projet'!$C$25)*(100%-'Données projet'!$C$26)*(100%-'Données projet'!$C$27)</f>
        <v>0.10361671993011015</v>
      </c>
      <c r="J9" s="159">
        <f>IF(OR('Données projet'!B12="",'Données projet'!C12="",'Données projet'!C12=0%),0,SUM(Calculateur!$CG$3:$CG$33)*VLOOKUP('Données projet'!$B$12,Paramètres!$A$1:$I$89,9,0)*B9)</f>
        <v>34.928220600000003</v>
      </c>
      <c r="K9" s="160">
        <f>J9*(100%-'Données projet'!$C$24)*(100%-'Données projet'!$C$25)*(100%-'Données projet'!$C$26)*(100%-'Données projet'!$C$27)</f>
        <v>31.435398540000005</v>
      </c>
      <c r="L9" s="161">
        <f t="shared" ca="1" si="2"/>
        <v>142.96754533409327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rouge d'Amérique</v>
      </c>
      <c r="B10" s="163">
        <f>'Données projet'!D13</f>
        <v>0.44485999999999998</v>
      </c>
      <c r="C10" s="156">
        <f ca="1">IF(OR('Données projet'!B13="",'Données projet'!C13="",'Données projet'!C13=0%),0,Calculateur!CY3)</f>
        <v>297.56177871222496</v>
      </c>
      <c r="D10" s="156">
        <f>IF(OR('Données projet'!B13="",'Données projet'!C13="",'Données projet'!C13=0%),0,Calculateur!CZ3)</f>
        <v>421.5717731815397</v>
      </c>
      <c r="E10" s="156">
        <f t="shared" ca="1" si="0"/>
        <v>297.56177871222496</v>
      </c>
      <c r="F10" s="156">
        <f t="shared" ca="1" si="1"/>
        <v>132.3733328779204</v>
      </c>
      <c r="G10" s="156">
        <f ca="1">F10*(100%-'Données projet'!$C$24)*(100%-'Données projet'!$C$25)*(100%-'Données projet'!$C$26)*(100%-'Données projet'!$C$27)</f>
        <v>119.13599959012836</v>
      </c>
      <c r="H10" s="164">
        <f>IF(OR('Données projet'!B13="",'Données projet'!C13="",'Données projet'!C13=0%),0,AVERAGE(Calculateur!$DI$3:$DI$33)*B10)</f>
        <v>4.5796245248914955</v>
      </c>
      <c r="I10" s="158">
        <f>H10*(100%-'Données projet'!$C$24)*(100%-'Données projet'!$C$25)*(100%-'Données projet'!$C$26)*(100%-'Données projet'!$C$27)</f>
        <v>4.1216620724023461</v>
      </c>
      <c r="J10" s="159">
        <f>IF(OR('Données projet'!B13="",'Données projet'!C13="",'Données projet'!C13=0%),0,SUM(Calculateur!$DB$3:$DB$33)*VLOOKUP('Données projet'!$B$13,Paramètres!$A$1:$I$89,9,0)*B10)</f>
        <v>20.797204999999998</v>
      </c>
      <c r="K10" s="160">
        <f>J10*(100%-'Données projet'!$C$24)*(100%-'Données projet'!$C$25)*(100%-'Données projet'!$C$26)*(100%-'Données projet'!$C$27)</f>
        <v>18.717484499999998</v>
      </c>
      <c r="L10" s="161">
        <f t="shared" ca="1" si="2"/>
        <v>141.97514616253071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Châtaignier</v>
      </c>
      <c r="B11" s="163">
        <f>'Données projet'!D14</f>
        <v>0.44485999999999998</v>
      </c>
      <c r="C11" s="156">
        <f ca="1">IF(OR('Données projet'!B14="",'Données projet'!C14="",'Données projet'!C14=0%),0,Calculateur!DT3)</f>
        <v>667.0152731006724</v>
      </c>
      <c r="D11" s="156">
        <f>IF(OR('Données projet'!B14="",'Données projet'!C14="",'Données projet'!C14=0%),0,Calculateur!DU3)</f>
        <v>567.40780872008088</v>
      </c>
      <c r="E11" s="156">
        <f t="shared" ca="1" si="0"/>
        <v>567.40780872008088</v>
      </c>
      <c r="F11" s="156">
        <f t="shared" ca="1" si="1"/>
        <v>252.41703778721518</v>
      </c>
      <c r="G11" s="156">
        <f ca="1">F11*(100%-'Données projet'!$C$24)*(100%-'Données projet'!$C$25)*(100%-'Données projet'!$C$26)*(100%-'Données projet'!$C$27)</f>
        <v>227.17533400849368</v>
      </c>
      <c r="H11" s="164">
        <f>IF(OR('Données projet'!B14="",'Données projet'!C14="",'Données projet'!C14=0%),0,AVERAGE(Calculateur!$ED$3:$ED$33)*B11)</f>
        <v>5.0886779172538477</v>
      </c>
      <c r="I11" s="158">
        <f>H11*(100%-'Données projet'!$C$24)*(100%-'Données projet'!$C$25)*(100%-'Données projet'!$C$26)*(100%-'Données projet'!$C$27)</f>
        <v>4.5798101255284633</v>
      </c>
      <c r="J11" s="159">
        <f>IF(OR('Données projet'!B14="",'Données projet'!C14="",'Données projet'!C14=0%),0,SUM(Calculateur!$DW$3:$DW$33)*VLOOKUP('Données projet'!$B$14,Paramètres!$A$1:$I$89,9,0)*B11)</f>
        <v>19.462624999999999</v>
      </c>
      <c r="K11" s="160">
        <f>J11*(100%-'Données projet'!$C$24)*(100%-'Données projet'!$C$25)*(100%-'Données projet'!$C$26)*(100%-'Données projet'!$C$27)</f>
        <v>17.5163625</v>
      </c>
      <c r="L11" s="161">
        <f t="shared" ca="1" si="2"/>
        <v>249.27150663402216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Alisier torminal</v>
      </c>
      <c r="B12" s="163">
        <f>'Données projet'!D15</f>
        <v>6.785999999999999E-2</v>
      </c>
      <c r="C12" s="156">
        <f ca="1">IF(OR('Données projet'!B15="",'Données projet'!C15="",'Données projet'!C15=0%),0,Calculateur!EO3)</f>
        <v>454.99849419289757</v>
      </c>
      <c r="D12" s="156">
        <f>IF(OR('Données projet'!B15="",'Données projet'!C15="",'Données projet'!C15=0%),0,Calculateur!EP3)</f>
        <v>288.86643267991928</v>
      </c>
      <c r="E12" s="156">
        <f t="shared" ca="1" si="0"/>
        <v>288.86643267991928</v>
      </c>
      <c r="F12" s="156">
        <f t="shared" ca="1" si="1"/>
        <v>19.602476121659318</v>
      </c>
      <c r="G12" s="156">
        <f ca="1">F12*(100%-'Données projet'!$C$24)*(100%-'Données projet'!$C$25)*(100%-'Données projet'!$C$26)*(100%-'Données projet'!$C$27)</f>
        <v>17.642228509493386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1.0518299999999998</v>
      </c>
      <c r="K12" s="160">
        <f>J12*(100%-'Données projet'!$C$24)*(100%-'Données projet'!$C$25)*(100%-'Données projet'!$C$26)*(100%-'Données projet'!$C$27)</f>
        <v>0.94664699999999991</v>
      </c>
      <c r="L12" s="161">
        <f t="shared" ca="1" si="2"/>
        <v>18.588875509493384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1240.9179875298137</v>
      </c>
      <c r="G16" s="175">
        <f t="shared" ca="1" si="3"/>
        <v>1116.8261887768324</v>
      </c>
      <c r="H16" s="176">
        <f t="shared" si="3"/>
        <v>24.421459338592864</v>
      </c>
      <c r="I16" s="176">
        <f t="shared" si="3"/>
        <v>21.979313404733578</v>
      </c>
      <c r="J16" s="177">
        <f t="shared" si="3"/>
        <v>169.23165931099999</v>
      </c>
      <c r="K16" s="177">
        <f t="shared" si="3"/>
        <v>152.3084933799</v>
      </c>
      <c r="L16" s="178">
        <f t="shared" ca="1" si="3"/>
        <v>1291.113995561466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Mélèze hybride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Châtaignier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R23" sqref="R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90">
        <f>'Données projet'!D9</f>
        <v>0.590005</v>
      </c>
      <c r="V10" s="189">
        <f>U10*T10</f>
        <v>536.97108663496044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90">
        <f>'Données projet'!D10</f>
        <v>0.16965</v>
      </c>
      <c r="V11" s="189">
        <f t="shared" ref="V11" si="0">U11*T11</f>
        <v>141.75633689704893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3948.2379086905485</v>
      </c>
      <c r="U12" s="190">
        <f>'Données projet'!D11</f>
        <v>1.42883</v>
      </c>
      <c r="V12" s="189">
        <f t="shared" ref="V12:V19" si="1">U12*T12</f>
        <v>5641.3607710743163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hybride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2729.2026275626831</v>
      </c>
      <c r="U13" s="190">
        <f>'Données projet'!D12</f>
        <v>0.61074000000000006</v>
      </c>
      <c r="V13" s="189">
        <f t="shared" si="1"/>
        <v>1666.8332127576332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rouge d'Amérique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2978.977468336192</v>
      </c>
      <c r="U14" s="190">
        <f>'Données projet'!D13</f>
        <v>0.44485999999999998</v>
      </c>
      <c r="V14" s="189">
        <f t="shared" si="1"/>
        <v>1325.2279165640384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Châtaignier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1065.4631679460733</v>
      </c>
      <c r="U15" s="190">
        <f>'Données projet'!D14</f>
        <v>0.44485999999999998</v>
      </c>
      <c r="V15" s="189">
        <f t="shared" si="1"/>
        <v>473.98194489249016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6.785999999999999E-2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15.000000000000014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300.00000000000028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4032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971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v>750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-18624.459842081931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750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20.156967091379212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750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-18644.616809173309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92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92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21</v>
      </c>
      <c r="B86" s="193">
        <f>'Données projet'!D89</f>
        <v>64.58</v>
      </c>
      <c r="C86" s="292">
        <v>15</v>
      </c>
      <c r="D86" s="191">
        <f t="shared" ref="D86:D104" si="6">B86*C86</f>
        <v>968.69999999999993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28</v>
      </c>
      <c r="B87" s="193">
        <f>'Données projet'!D90</f>
        <v>67.61</v>
      </c>
      <c r="C87" s="292">
        <v>20</v>
      </c>
      <c r="D87" s="191">
        <f t="shared" si="6"/>
        <v>1352.2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86.68</v>
      </c>
      <c r="C88" s="292">
        <v>28</v>
      </c>
      <c r="D88" s="191">
        <f t="shared" si="6"/>
        <v>2427.04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42</v>
      </c>
      <c r="B89" s="193">
        <f>'Données projet'!D92</f>
        <v>99.98</v>
      </c>
      <c r="C89" s="292">
        <v>28</v>
      </c>
      <c r="D89" s="191">
        <f t="shared" si="6"/>
        <v>2799.44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49</v>
      </c>
      <c r="B90" s="193">
        <f>'Données projet'!D93</f>
        <v>112.61</v>
      </c>
      <c r="C90" s="292">
        <v>28</v>
      </c>
      <c r="D90" s="191">
        <f t="shared" si="6"/>
        <v>3153.08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56</v>
      </c>
      <c r="B91" s="193">
        <f>'Données projet'!D94</f>
        <v>94.57</v>
      </c>
      <c r="C91" s="292">
        <v>35</v>
      </c>
      <c r="D91" s="191">
        <f t="shared" si="6"/>
        <v>3309.95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63</v>
      </c>
      <c r="B92" s="193">
        <f>'Données projet'!D95</f>
        <v>99.49</v>
      </c>
      <c r="C92" s="292">
        <v>35</v>
      </c>
      <c r="D92" s="191">
        <f t="shared" si="6"/>
        <v>3482.1499999999996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69</v>
      </c>
      <c r="B93" s="193">
        <f>'Données projet'!D96</f>
        <v>0</v>
      </c>
      <c r="C93" s="292">
        <v>40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586.05999999999995</v>
      </c>
      <c r="C94" s="292">
        <v>50</v>
      </c>
      <c r="D94" s="191">
        <f t="shared" si="6"/>
        <v>29302.999999999996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92">
        <v>80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Mélèze hybride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10</v>
      </c>
      <c r="C116" s="204">
        <v>12</v>
      </c>
      <c r="D116" s="191">
        <f>B116*C116</f>
        <v>120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30</v>
      </c>
      <c r="C117" s="204">
        <v>12</v>
      </c>
      <c r="D117" s="191">
        <f t="shared" ref="D117:D135" si="8">B117*C117</f>
        <v>360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34</v>
      </c>
      <c r="C118" s="204">
        <v>15</v>
      </c>
      <c r="D118" s="191">
        <f t="shared" si="8"/>
        <v>510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32</v>
      </c>
      <c r="C119" s="204">
        <v>17</v>
      </c>
      <c r="D119" s="191">
        <f t="shared" si="8"/>
        <v>544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27</v>
      </c>
      <c r="C120" s="204">
        <v>17</v>
      </c>
      <c r="D120" s="191">
        <f t="shared" si="8"/>
        <v>459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21</v>
      </c>
      <c r="C121" s="204">
        <v>20</v>
      </c>
      <c r="D121" s="191">
        <f t="shared" si="8"/>
        <v>420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16</v>
      </c>
      <c r="C122" s="204">
        <v>30</v>
      </c>
      <c r="D122" s="191">
        <f t="shared" si="8"/>
        <v>480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12</v>
      </c>
      <c r="C123" s="204">
        <v>35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259</v>
      </c>
      <c r="C124" s="204">
        <v>60</v>
      </c>
      <c r="D124" s="191">
        <f t="shared" si="8"/>
        <v>15540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34</v>
      </c>
      <c r="C147" s="292">
        <v>5</v>
      </c>
      <c r="D147" s="194">
        <f>B147*C147</f>
        <v>170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50</v>
      </c>
      <c r="C148" s="292">
        <v>7</v>
      </c>
      <c r="D148" s="194">
        <f t="shared" ref="D148:D166" si="10">B148*C148</f>
        <v>350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52</v>
      </c>
      <c r="C149" s="292">
        <v>9</v>
      </c>
      <c r="D149" s="194">
        <f t="shared" si="10"/>
        <v>468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51</v>
      </c>
      <c r="C150" s="292">
        <v>14</v>
      </c>
      <c r="D150" s="194">
        <f t="shared" si="10"/>
        <v>714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49</v>
      </c>
      <c r="C151" s="292">
        <v>14</v>
      </c>
      <c r="D151" s="194">
        <f t="shared" si="10"/>
        <v>686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45</v>
      </c>
      <c r="C152" s="292">
        <v>20</v>
      </c>
      <c r="D152" s="194">
        <f t="shared" si="10"/>
        <v>900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41</v>
      </c>
      <c r="C153" s="292">
        <v>25</v>
      </c>
      <c r="D153" s="194">
        <f t="shared" si="10"/>
        <v>1025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37</v>
      </c>
      <c r="C154" s="292">
        <v>30</v>
      </c>
      <c r="D154" s="194">
        <f t="shared" si="10"/>
        <v>1110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258</v>
      </c>
      <c r="C155" s="292">
        <v>80</v>
      </c>
      <c r="D155" s="194">
        <f t="shared" si="10"/>
        <v>20640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Châtaignier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7</v>
      </c>
      <c r="C178" s="292">
        <v>5</v>
      </c>
      <c r="D178" s="191">
        <f>B178*C178</f>
        <v>35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42</v>
      </c>
      <c r="C179" s="292">
        <v>7</v>
      </c>
      <c r="D179" s="191">
        <f t="shared" ref="D179:D197" si="11">B179*C179</f>
        <v>294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42</v>
      </c>
      <c r="C180" s="292">
        <v>9</v>
      </c>
      <c r="D180" s="191">
        <f t="shared" si="11"/>
        <v>378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42</v>
      </c>
      <c r="C181" s="292">
        <v>9</v>
      </c>
      <c r="D181" s="191">
        <f t="shared" si="11"/>
        <v>378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42</v>
      </c>
      <c r="C182" s="292">
        <v>9</v>
      </c>
      <c r="D182" s="191">
        <f t="shared" si="11"/>
        <v>378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42</v>
      </c>
      <c r="C183" s="292">
        <v>14</v>
      </c>
      <c r="D183" s="191">
        <f t="shared" si="11"/>
        <v>588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40</v>
      </c>
      <c r="C184" s="292">
        <v>14</v>
      </c>
      <c r="D184" s="191">
        <f t="shared" si="11"/>
        <v>560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26</v>
      </c>
      <c r="C185" s="292">
        <v>14</v>
      </c>
      <c r="D185" s="191">
        <f t="shared" si="11"/>
        <v>364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21</v>
      </c>
      <c r="C186" s="292">
        <v>20</v>
      </c>
      <c r="D186" s="191">
        <f t="shared" si="11"/>
        <v>420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18</v>
      </c>
      <c r="C187" s="292">
        <v>25</v>
      </c>
      <c r="D187" s="191">
        <f t="shared" si="11"/>
        <v>450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17</v>
      </c>
      <c r="C188" s="292">
        <v>30</v>
      </c>
      <c r="D188" s="191">
        <f t="shared" si="11"/>
        <v>510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16</v>
      </c>
      <c r="C189" s="292">
        <v>35</v>
      </c>
      <c r="D189" s="191">
        <f t="shared" si="11"/>
        <v>560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15</v>
      </c>
      <c r="C190" s="204">
        <v>40</v>
      </c>
      <c r="D190" s="191">
        <f t="shared" si="11"/>
        <v>600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14</v>
      </c>
      <c r="C191" s="204">
        <v>50</v>
      </c>
      <c r="D191" s="191">
        <f t="shared" si="11"/>
        <v>700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13</v>
      </c>
      <c r="C192" s="204">
        <v>70</v>
      </c>
      <c r="D192" s="191">
        <f t="shared" si="11"/>
        <v>910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2024-09-02T10:39:31Z</dcterms:modified>
</cp:coreProperties>
</file>