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Rémalard en Perche (61)-Lelong CYRILLE-SWC-E7\Dossier déposé 23-05-2024\"/>
    </mc:Choice>
  </mc:AlternateContent>
  <xr:revisionPtr revIDLastSave="0" documentId="13_ncr:1_{8A73541C-44CD-4408-AD55-284C324AAC3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B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D160" i="2"/>
  <c r="EA161" i="2"/>
  <c r="AB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D184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A193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B201" i="2"/>
  <c r="DI200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166" i="2" a="1"/>
  <c r="AH166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32" i="2" a="1"/>
  <c r="BC32" i="2" s="1"/>
  <c r="BC84" i="2" a="1"/>
  <c r="BC84" i="2" s="1"/>
  <c r="BC31" i="2" a="1"/>
  <c r="BC31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185" i="2" l="1" a="1"/>
  <c r="CS185" i="2" s="1"/>
  <c r="CS137" i="2" a="1"/>
  <c r="CS137" i="2" s="1"/>
  <c r="BC181" i="2" a="1"/>
  <c r="BC181" i="2" s="1"/>
  <c r="BC65" i="2" a="1"/>
  <c r="BC65" i="2" s="1"/>
  <c r="CS134" i="2" a="1"/>
  <c r="CS134" i="2" s="1"/>
  <c r="CS116" i="2" a="1"/>
  <c r="CS116" i="2" s="1"/>
  <c r="CS66" i="2" a="1"/>
  <c r="CS66" i="2" s="1"/>
  <c r="CS120" i="2" a="1"/>
  <c r="CS120" i="2" s="1"/>
  <c r="CS38" i="2" a="1"/>
  <c r="CS38" i="2" s="1"/>
  <c r="CS105" i="2" a="1"/>
  <c r="CS105" i="2" s="1"/>
  <c r="CS161" i="2" a="1"/>
  <c r="CS161" i="2" s="1"/>
  <c r="CS24" i="2" a="1"/>
  <c r="CS24" i="2" s="1"/>
  <c r="CS77" i="2" a="1"/>
  <c r="CS77" i="2" s="1"/>
  <c r="BC82" i="2" a="1"/>
  <c r="BC82" i="2" s="1"/>
  <c r="BC151" i="2" a="1"/>
  <c r="BC151" i="2" s="1"/>
  <c r="BC7" i="2" a="1"/>
  <c r="BC7" i="2" s="1"/>
  <c r="BC143" i="2" a="1"/>
  <c r="BC143" i="2" s="1"/>
  <c r="BC164" i="2" a="1"/>
  <c r="BC164" i="2" s="1"/>
  <c r="BC114" i="2" a="1"/>
  <c r="BC114" i="2" s="1"/>
  <c r="BC55" i="2" a="1"/>
  <c r="BC55" i="2" s="1"/>
  <c r="BC18" i="2" a="1"/>
  <c r="BC18" i="2" s="1"/>
  <c r="BC130" i="2" a="1"/>
  <c r="BC130" i="2" s="1"/>
  <c r="BC47" i="2" a="1"/>
  <c r="BC47" i="2" s="1"/>
  <c r="BC126" i="2" a="1"/>
  <c r="BC126" i="2" s="1"/>
  <c r="BC68" i="2" a="1"/>
  <c r="BC68" i="2" s="1"/>
  <c r="BC58" i="2" a="1"/>
  <c r="BC58" i="2" s="1"/>
  <c r="BC185" i="2" a="1"/>
  <c r="BC185" i="2" s="1"/>
  <c r="BC34" i="2" a="1"/>
  <c r="BC34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BX107" i="2" a="1"/>
  <c r="BX107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63" i="2" l="1"/>
  <c r="CY24" i="2"/>
  <c r="CY50" i="2"/>
  <c r="CY191" i="2"/>
  <c r="CY91" i="2"/>
  <c r="CY142" i="2"/>
  <c r="CY40" i="2"/>
  <c r="CY181" i="2"/>
  <c r="CY35" i="2"/>
  <c r="CY106" i="2"/>
  <c r="CY72" i="2"/>
  <c r="CY146" i="2"/>
  <c r="CY124" i="2"/>
  <c r="CY192" i="2"/>
  <c r="CY186" i="2"/>
  <c r="CY136" i="2"/>
  <c r="CY64" i="2"/>
  <c r="CY123" i="2"/>
  <c r="CY147" i="2"/>
  <c r="CY70" i="2"/>
  <c r="CY3" i="2"/>
  <c r="C10" i="4" s="1"/>
  <c r="E10" i="4" s="1"/>
  <c r="F10" i="4" s="1"/>
  <c r="G10" i="4" s="1"/>
  <c r="L10" i="4" s="1"/>
  <c r="CY68" i="2"/>
  <c r="CY101" i="2"/>
  <c r="CY34" i="2"/>
  <c r="CY95" i="2"/>
  <c r="CY194" i="2"/>
  <c r="CY54" i="2"/>
  <c r="CY96" i="2"/>
  <c r="CY26" i="2"/>
  <c r="CY30" i="2"/>
  <c r="CY114" i="2"/>
  <c r="CY90" i="2"/>
  <c r="CY37" i="2"/>
  <c r="CY52" i="2"/>
  <c r="CY140" i="2"/>
  <c r="CY84" i="2"/>
  <c r="CY117" i="2"/>
  <c r="CY113" i="2"/>
  <c r="CY69" i="2"/>
  <c r="CY115" i="2"/>
  <c r="CY83" i="2"/>
  <c r="CY33" i="2"/>
  <c r="CY126" i="2"/>
  <c r="CY120" i="2"/>
  <c r="CY143" i="2"/>
  <c r="CY166" i="2"/>
  <c r="CY13" i="2"/>
  <c r="CY16" i="2"/>
  <c r="CY29" i="2"/>
  <c r="CY81" i="2"/>
  <c r="CY169" i="2"/>
  <c r="CY39" i="2"/>
  <c r="CY156" i="2"/>
  <c r="CY195" i="2"/>
  <c r="CY93" i="2"/>
  <c r="CY162" i="2"/>
  <c r="CY67" i="2"/>
  <c r="CY163" i="2"/>
  <c r="CY53" i="2"/>
  <c r="CY129" i="2"/>
  <c r="CY201" i="2"/>
  <c r="CY175" i="2"/>
  <c r="CY36" i="2"/>
  <c r="CY171" i="2"/>
  <c r="CY105" i="2"/>
  <c r="CY58" i="2"/>
  <c r="CY172" i="2"/>
  <c r="CY17" i="2"/>
  <c r="CY31" i="2"/>
  <c r="CY62" i="2"/>
  <c r="CY112" i="2"/>
  <c r="CY118" i="2"/>
  <c r="CY188" i="2"/>
  <c r="CY198" i="2"/>
  <c r="CY38" i="2"/>
  <c r="CY22" i="2"/>
  <c r="CY160" i="2"/>
  <c r="CY119" i="2"/>
  <c r="CY65" i="2"/>
  <c r="CY32" i="2"/>
  <c r="CY182" i="2"/>
  <c r="CY20" i="2"/>
  <c r="CY110" i="2"/>
  <c r="CY55" i="2"/>
  <c r="CY167" i="2"/>
  <c r="CY76" i="2"/>
  <c r="CY137" i="2"/>
  <c r="CY150" i="2"/>
  <c r="CY51" i="2"/>
  <c r="CY133" i="2"/>
  <c r="CY168" i="2"/>
  <c r="CY23" i="2"/>
  <c r="CY178" i="2"/>
  <c r="CY19" i="2"/>
  <c r="CY97" i="2"/>
  <c r="CY189" i="2"/>
  <c r="CY116" i="2"/>
  <c r="CY103" i="2"/>
  <c r="CY75" i="2"/>
  <c r="CY128" i="2"/>
  <c r="CY27" i="2"/>
  <c r="CY18" i="2"/>
  <c r="CY131" i="2"/>
  <c r="CY48" i="2"/>
  <c r="CY44" i="2"/>
  <c r="CY183" i="2"/>
  <c r="CY148" i="2"/>
  <c r="CY151" i="2"/>
  <c r="CY155" i="2"/>
  <c r="CY99" i="2"/>
  <c r="CY88" i="2"/>
  <c r="CY92" i="2"/>
  <c r="CY9" i="2"/>
  <c r="CY42" i="2"/>
  <c r="CY80" i="2"/>
  <c r="CY78" i="2"/>
  <c r="CY87" i="2"/>
  <c r="CY177" i="2"/>
  <c r="CY14" i="2"/>
  <c r="CY8" i="2"/>
  <c r="CY56" i="2"/>
  <c r="CY190" i="2"/>
  <c r="CY187" i="2"/>
  <c r="CY82" i="2"/>
  <c r="CY173" i="2"/>
  <c r="CY79" i="2"/>
  <c r="CY152" i="2"/>
  <c r="CY199" i="2"/>
  <c r="CY111" i="2"/>
  <c r="CY43" i="2"/>
  <c r="CY179" i="2"/>
  <c r="CY108" i="2"/>
  <c r="CY102" i="2"/>
  <c r="CY85" i="2"/>
  <c r="CY15" i="2"/>
  <c r="CY86" i="2"/>
  <c r="CY104" i="2"/>
  <c r="CY73" i="2"/>
  <c r="CY71" i="2"/>
  <c r="CY49" i="2"/>
  <c r="CY11" i="2"/>
  <c r="CY61" i="2"/>
  <c r="CY134" i="2"/>
  <c r="CY196" i="2"/>
  <c r="CY60" i="2"/>
  <c r="CY185" i="2"/>
  <c r="CY132" i="2"/>
  <c r="CY89" i="2"/>
  <c r="CY21" i="2"/>
  <c r="CY125" i="2"/>
  <c r="CY107" i="2"/>
  <c r="CY100" i="2"/>
  <c r="CY145" i="2"/>
  <c r="CY4" i="2"/>
  <c r="CY47" i="2"/>
  <c r="CY121" i="2"/>
  <c r="CY154" i="2"/>
  <c r="CY98" i="2"/>
  <c r="CY122" i="2"/>
  <c r="CY6" i="2"/>
  <c r="CY203" i="2"/>
  <c r="CY157" i="2"/>
  <c r="CY46" i="2"/>
  <c r="CY57" i="2"/>
  <c r="CY127" i="2"/>
  <c r="CY176" i="2"/>
  <c r="CY202" i="2"/>
  <c r="CY170" i="2"/>
  <c r="CY7" i="2"/>
  <c r="CY77" i="2"/>
  <c r="CY74" i="2"/>
  <c r="CY144" i="2"/>
  <c r="CY94" i="2"/>
  <c r="CY153" i="2"/>
  <c r="CY174" i="2"/>
  <c r="CY141" i="2"/>
  <c r="CY12" i="2"/>
  <c r="CY109" i="2"/>
  <c r="CY159" i="2"/>
  <c r="CY41" i="2"/>
  <c r="CY135" i="2"/>
  <c r="CY28" i="2"/>
  <c r="CY161" i="2"/>
  <c r="CY197" i="2"/>
  <c r="CY149" i="2"/>
  <c r="CY45" i="2"/>
  <c r="CY200" i="2"/>
  <c r="CY130" i="2"/>
  <c r="CY165" i="2"/>
  <c r="CY5" i="2"/>
  <c r="CY138" i="2"/>
  <c r="CY139" i="2"/>
  <c r="CY193" i="2"/>
  <c r="CY180" i="2"/>
  <c r="CY184" i="2"/>
  <c r="CY158" i="2"/>
  <c r="CY59" i="2"/>
  <c r="CY25" i="2"/>
  <c r="CY164" i="2"/>
  <c r="CY10" i="2"/>
  <c r="CY66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<sst xmlns="http://schemas.openxmlformats.org/spreadsheetml/2006/main" count="1174" uniqueCount="324">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</sst>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1.945758313630227</c:v>
                </c:pt>
                <c:pt idx="2">
                  <c:v>2.6050980468053448</c:v>
                </c:pt>
                <c:pt idx="3">
                  <c:v>3.4887980517210706</c:v>
                </c:pt>
                <c:pt idx="4">
                  <c:v>4.6735040654797206</c:v>
                </c:pt>
                <c:pt idx="5">
                  <c:v>6.2621414188034761</c:v>
                </c:pt>
                <c:pt idx="6">
                  <c:v>8.3929560750059693</c:v>
                </c:pt>
                <c:pt idx="7">
                  <c:v>11.251675760913587</c:v>
                </c:pt>
                <c:pt idx="8">
                  <c:v>15.087871001792513</c:v>
                </c:pt>
                <c:pt idx="9">
                  <c:v>20.236970540629144</c:v>
                </c:pt>
                <c:pt idx="10">
                  <c:v>27.149890593651492</c:v>
                </c:pt>
                <c:pt idx="11">
                  <c:v>36.432918080797933</c:v>
                </c:pt>
                <c:pt idx="12">
                  <c:v>48.901405640152291</c:v>
                </c:pt>
                <c:pt idx="13">
                  <c:v>65.652073559199778</c:v>
                </c:pt>
                <c:pt idx="14">
                  <c:v>88.160382293019723</c:v>
                </c:pt>
                <c:pt idx="15">
                  <c:v>118.41168955175056</c:v>
                </c:pt>
                <c:pt idx="16">
                  <c:v>159.07794124592061</c:v>
                </c:pt>
                <c:pt idx="17">
                  <c:v>213.75574019899872</c:v>
                </c:pt>
                <c:pt idx="18">
                  <c:v>249.31858647831859</c:v>
                </c:pt>
                <c:pt idx="19">
                  <c:v>186.65295119618835</c:v>
                </c:pt>
                <c:pt idx="20">
                  <c:v>219.38527831101297</c:v>
                </c:pt>
                <c:pt idx="21">
                  <c:v>252.00526262376073</c:v>
                </c:pt>
                <c:pt idx="22">
                  <c:v>284.52949620568376</c:v>
                </c:pt>
                <c:pt idx="23">
                  <c:v>316.97045957191079</c:v>
                </c:pt>
                <c:pt idx="24">
                  <c:v>353.21835259366952</c:v>
                </c:pt>
                <c:pt idx="25">
                  <c:v>324.75291318794217</c:v>
                </c:pt>
                <c:pt idx="26">
                  <c:v>357.64353127694949</c:v>
                </c:pt>
                <c:pt idx="27">
                  <c:v>391.75345691850794</c:v>
                </c:pt>
                <c:pt idx="28">
                  <c:v>425.79897297789597</c:v>
                </c:pt>
                <c:pt idx="29">
                  <c:v>461.70741999611255</c:v>
                </c:pt>
                <c:pt idx="30">
                  <c:v>497.55629175055515</c:v>
                </c:pt>
                <c:pt idx="31">
                  <c:v>434.07832225738576</c:v>
                </c:pt>
                <c:pt idx="32">
                  <c:v>466.6407952399947</c:v>
                </c:pt>
                <c:pt idx="33">
                  <c:v>500.64674115998105</c:v>
                </c:pt>
                <c:pt idx="34">
                  <c:v>534.60381399607388</c:v>
                </c:pt>
                <c:pt idx="35">
                  <c:v>569.77901956235246</c:v>
                </c:pt>
                <c:pt idx="36">
                  <c:v>604.90887079787183</c:v>
                </c:pt>
                <c:pt idx="37">
                  <c:v>535.66200804942548</c:v>
                </c:pt>
                <c:pt idx="38">
                  <c:v>567.84246187417853</c:v>
                </c:pt>
                <c:pt idx="39">
                  <c:v>600.99917872090748</c:v>
                </c:pt>
                <c:pt idx="40">
                  <c:v>634.11789501107194</c:v>
                </c:pt>
                <c:pt idx="41">
                  <c:v>668.08943967387813</c:v>
                </c:pt>
                <c:pt idx="42">
                  <c:v>702.0254786345663</c:v>
                </c:pt>
                <c:pt idx="43">
                  <c:v>625.80482280365356</c:v>
                </c:pt>
                <c:pt idx="44">
                  <c:v>657.01294905815314</c:v>
                </c:pt>
                <c:pt idx="45">
                  <c:v>688.88449344969774</c:v>
                </c:pt>
                <c:pt idx="46">
                  <c:v>720.72582265116989</c:v>
                </c:pt>
                <c:pt idx="47">
                  <c:v>753.17243083327423</c:v>
                </c:pt>
                <c:pt idx="48">
                  <c:v>785.59065255131372</c:v>
                </c:pt>
                <c:pt idx="49">
                  <c:v>696.17586923903229</c:v>
                </c:pt>
                <c:pt idx="50">
                  <c:v>725.80175633672332</c:v>
                </c:pt>
                <c:pt idx="51">
                  <c:v>756.00757035468848</c:v>
                </c:pt>
                <c:pt idx="52">
                  <c:v>786.18888455630861</c:v>
                </c:pt>
                <c:pt idx="53">
                  <c:v>816.78630665073081</c:v>
                </c:pt>
                <c:pt idx="54">
                  <c:v>847.360640692846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642.03605120322266</c:v>
                </c:pt>
                <c:pt idx="92">
                  <c:v>654.26150513657501</c:v>
                </c:pt>
                <c:pt idx="93">
                  <c:v>666.48225266324471</c:v>
                </c:pt>
                <c:pt idx="94">
                  <c:v>678.69839220429355</c:v>
                </c:pt>
                <c:pt idx="95">
                  <c:v>690.91001835052748</c:v>
                </c:pt>
                <c:pt idx="96">
                  <c:v>645.70418757261734</c:v>
                </c:pt>
                <c:pt idx="97">
                  <c:v>657.5208271917312</c:v>
                </c:pt>
                <c:pt idx="98">
                  <c:v>669.33309384269342</c:v>
                </c:pt>
                <c:pt idx="99">
                  <c:v>681.14107554314921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649.37189397752024</c:v>
                </c:pt>
                <c:pt idx="112">
                  <c:v>658.74298707117862</c:v>
                </c:pt>
                <c:pt idx="113">
                  <c:v>668.11133540519438</c:v>
                </c:pt>
                <c:pt idx="114">
                  <c:v>677.47698288468996</c:v>
                </c:pt>
                <c:pt idx="115">
                  <c:v>686.83997210216705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2.8586063665938393</c:v>
                </c:pt>
                <c:pt idx="2">
                  <c:v>3.3692250562130952</c:v>
                </c:pt>
                <c:pt idx="3">
                  <c:v>3.9713865449024204</c:v>
                </c:pt>
                <c:pt idx="4">
                  <c:v>4.6815589010240446</c:v>
                </c:pt>
                <c:pt idx="5">
                  <c:v>5.5191822284241638</c:v>
                </c:pt>
                <c:pt idx="6">
                  <c:v>6.5072066365845567</c:v>
                </c:pt>
                <c:pt idx="7">
                  <c:v>7.6727278569617399</c:v>
                </c:pt>
                <c:pt idx="8">
                  <c:v>9.0477382738626684</c:v>
                </c:pt>
                <c:pt idx="9">
                  <c:v>10.670014378902303</c:v>
                </c:pt>
                <c:pt idx="10">
                  <c:v>12.584165491079425</c:v>
                </c:pt>
                <c:pt idx="11">
                  <c:v>14.842873118250367</c:v>
                </c:pt>
                <c:pt idx="12">
                  <c:v>17.508355698627614</c:v>
                </c:pt>
                <c:pt idx="13">
                  <c:v>20.654099804781278</c:v>
                </c:pt>
                <c:pt idx="14">
                  <c:v>24.366906397252794</c:v>
                </c:pt>
                <c:pt idx="15">
                  <c:v>28.749309593076038</c:v>
                </c:pt>
                <c:pt idx="16">
                  <c:v>33.922435918081874</c:v>
                </c:pt>
                <c:pt idx="17">
                  <c:v>40.029384438924232</c:v>
                </c:pt>
                <c:pt idx="18">
                  <c:v>47.239222874149483</c:v>
                </c:pt>
                <c:pt idx="19">
                  <c:v>55.7517121809976</c:v>
                </c:pt>
                <c:pt idx="20">
                  <c:v>65.802892700384845</c:v>
                </c:pt>
                <c:pt idx="21">
                  <c:v>77.671689301955368</c:v>
                </c:pt>
                <c:pt idx="22">
                  <c:v>91.68772179707679</c:v>
                </c:pt>
                <c:pt idx="23">
                  <c:v>108.24054100047216</c:v>
                </c:pt>
                <c:pt idx="24">
                  <c:v>127.79055119195162</c:v>
                </c:pt>
                <c:pt idx="25">
                  <c:v>150.88192750819914</c:v>
                </c:pt>
                <c:pt idx="26">
                  <c:v>148.81093286135922</c:v>
                </c:pt>
                <c:pt idx="27">
                  <c:v>163.29402328311821</c:v>
                </c:pt>
                <c:pt idx="28">
                  <c:v>177.74673882318049</c:v>
                </c:pt>
                <c:pt idx="29">
                  <c:v>192.17189850121227</c:v>
                </c:pt>
                <c:pt idx="30">
                  <c:v>206.57186300486069</c:v>
                </c:pt>
                <c:pt idx="31">
                  <c:v>179.3966751689608</c:v>
                </c:pt>
                <c:pt idx="32">
                  <c:v>195.46546278658749</c:v>
                </c:pt>
                <c:pt idx="33">
                  <c:v>211.50356294225205</c:v>
                </c:pt>
                <c:pt idx="34">
                  <c:v>227.51363078342158</c:v>
                </c:pt>
                <c:pt idx="35">
                  <c:v>243.49791694752571</c:v>
                </c:pt>
                <c:pt idx="36">
                  <c:v>217.66446793584763</c:v>
                </c:pt>
                <c:pt idx="37">
                  <c:v>234.89407374203213</c:v>
                </c:pt>
                <c:pt idx="38">
                  <c:v>252.09484919970498</c:v>
                </c:pt>
                <c:pt idx="39">
                  <c:v>269.26903825113021</c:v>
                </c:pt>
                <c:pt idx="40">
                  <c:v>286.41857511667479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</c:v>
                </c:pt>
                <c:pt idx="46">
                  <c:v>303.54514342437113</c:v>
                </c:pt>
                <c:pt idx="47">
                  <c:v>320.65022128203435</c:v>
                </c:pt>
                <c:pt idx="48">
                  <c:v>337.73511622084794</c:v>
                </c:pt>
                <c:pt idx="49">
                  <c:v>354.80099269409396</c:v>
                </c:pt>
                <c:pt idx="50">
                  <c:v>371.84889400619704</c:v>
                </c:pt>
                <c:pt idx="51">
                  <c:v>345.45768426289419</c:v>
                </c:pt>
                <c:pt idx="52">
                  <c:v>361.70344390352284</c:v>
                </c:pt>
                <c:pt idx="53">
                  <c:v>377.93325577983654</c:v>
                </c:pt>
                <c:pt idx="54">
                  <c:v>394.14790100388433</c:v>
                </c:pt>
                <c:pt idx="55">
                  <c:v>410.34809118885141</c:v>
                </c:pt>
                <c:pt idx="56">
                  <c:v>383.20464327461121</c:v>
                </c:pt>
                <c:pt idx="57">
                  <c:v>398.6043656722681</c:v>
                </c:pt>
                <c:pt idx="58">
                  <c:v>413.99120952465199</c:v>
                </c:pt>
                <c:pt idx="59">
                  <c:v>429.36572078685407</c:v>
                </c:pt>
                <c:pt idx="60">
                  <c:v>444.72840313441981</c:v>
                </c:pt>
                <c:pt idx="61">
                  <c:v>416.41957043134624</c:v>
                </c:pt>
                <c:pt idx="62">
                  <c:v>430.57898787887979</c:v>
                </c:pt>
                <c:pt idx="63">
                  <c:v>444.72840313441981</c:v>
                </c:pt>
                <c:pt idx="64">
                  <c:v>458.86817919889182</c:v>
                </c:pt>
                <c:pt idx="65">
                  <c:v>472.99865488119281</c:v>
                </c:pt>
                <c:pt idx="66">
                  <c:v>444.3242695635808</c:v>
                </c:pt>
                <c:pt idx="67">
                  <c:v>458.06044564731354</c:v>
                </c:pt>
                <c:pt idx="68">
                  <c:v>471.78782761031516</c:v>
                </c:pt>
                <c:pt idx="69">
                  <c:v>485.50670733159899</c:v>
                </c:pt>
                <c:pt idx="70">
                  <c:v>499.21735885305549</c:v>
                </c:pt>
                <c:pt idx="71">
                  <c:v>469.76963499064965</c:v>
                </c:pt>
                <c:pt idx="72">
                  <c:v>482.6829134841858</c:v>
                </c:pt>
                <c:pt idx="73">
                  <c:v>495.58885471345201</c:v>
                </c:pt>
                <c:pt idx="74">
                  <c:v>508.48767664593657</c:v>
                </c:pt>
                <c:pt idx="75">
                  <c:v>521.37958529087587</c:v>
                </c:pt>
                <c:pt idx="76">
                  <c:v>499.62049142569282</c:v>
                </c:pt>
                <c:pt idx="77">
                  <c:v>520.17125719416094</c:v>
                </c:pt>
                <c:pt idx="78">
                  <c:v>540.70490958838275</c:v>
                </c:pt>
                <c:pt idx="79">
                  <c:v>561.22218941009544</c:v>
                </c:pt>
                <c:pt idx="80">
                  <c:v>581.72377892545035</c:v>
                </c:pt>
                <c:pt idx="81">
                  <c:v>550.76440184545709</c:v>
                </c:pt>
                <c:pt idx="82">
                  <c:v>562.0264646292926</c:v>
                </c:pt>
                <c:pt idx="83">
                  <c:v>573.28380664065742</c:v>
                </c:pt>
                <c:pt idx="84">
                  <c:v>584.53653362933926</c:v>
                </c:pt>
                <c:pt idx="85">
                  <c:v>595.78474694239344</c:v>
                </c:pt>
                <c:pt idx="86">
                  <c:v>564.43914594243518</c:v>
                </c:pt>
                <c:pt idx="87">
                  <c:v>575.29355767229924</c:v>
                </c:pt>
                <c:pt idx="88">
                  <c:v>586.14369528207737</c:v>
                </c:pt>
                <c:pt idx="89">
                  <c:v>596.9896490295497</c:v>
                </c:pt>
                <c:pt idx="90">
                  <c:v>607.83150562611127</c:v>
                </c:pt>
                <c:pt idx="91">
                  <c:v>575.69549027219546</c:v>
                </c:pt>
                <c:pt idx="92">
                  <c:v>585.7419134883047</c:v>
                </c:pt>
                <c:pt idx="93">
                  <c:v>595.78474694239321</c:v>
                </c:pt>
                <c:pt idx="94">
                  <c:v>605.82405966879583</c:v>
                </c:pt>
                <c:pt idx="95">
                  <c:v>615.85991822759115</c:v>
                </c:pt>
                <c:pt idx="96">
                  <c:v>583.33110195913002</c:v>
                </c:pt>
                <c:pt idx="97">
                  <c:v>592.97311138674547</c:v>
                </c:pt>
                <c:pt idx="98">
                  <c:v>602.61185854782047</c:v>
                </c:pt>
                <c:pt idx="99">
                  <c:v>612.24740297373967</c:v>
                </c:pt>
                <c:pt idx="100">
                  <c:v>621.87980216948142</c:v>
                </c:pt>
                <c:pt idx="101">
                  <c:v>588.55426568732605</c:v>
                </c:pt>
                <c:pt idx="102">
                  <c:v>597.39127181313245</c:v>
                </c:pt>
                <c:pt idx="103">
                  <c:v>606.22555989626994</c:v>
                </c:pt>
                <c:pt idx="104">
                  <c:v>615.05717512941965</c:v>
                </c:pt>
                <c:pt idx="105">
                  <c:v>623.88616130163575</c:v>
                </c:pt>
                <c:pt idx="106">
                  <c:v>592.16973603767201</c:v>
                </c:pt>
                <c:pt idx="107">
                  <c:v>600.60405228355751</c:v>
                </c:pt>
                <c:pt idx="108">
                  <c:v>609.03590710096785</c:v>
                </c:pt>
                <c:pt idx="109">
                  <c:v>617.46533937261358</c:v>
                </c:pt>
                <c:pt idx="110">
                  <c:v>625.89238683301267</c:v>
                </c:pt>
                <c:pt idx="111">
                  <c:v>595.38310165344683</c:v>
                </c:pt>
                <c:pt idx="112">
                  <c:v>603.01340310368244</c:v>
                </c:pt>
                <c:pt idx="113">
                  <c:v>610.64169885013996</c:v>
                </c:pt>
                <c:pt idx="114">
                  <c:v>618.26801748386913</c:v>
                </c:pt>
                <c:pt idx="115">
                  <c:v>625.89238683301289</c:v>
                </c:pt>
                <c:pt idx="116">
                  <c:v>596.98964902954947</c:v>
                </c:pt>
                <c:pt idx="117">
                  <c:v>604.21800345345162</c:v>
                </c:pt>
                <c:pt idx="118">
                  <c:v>611.44456184870137</c:v>
                </c:pt>
                <c:pt idx="119">
                  <c:v>618.6693484382273</c:v>
                </c:pt>
                <c:pt idx="120">
                  <c:v>625.89238683301301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16" sqref="E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3.97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0.49</v>
      </c>
      <c r="D9" s="36">
        <f t="shared" ref="D9:D18" si="0">C9*$C$5</f>
        <v>1.9453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0.16</v>
      </c>
      <c r="D10" s="36">
        <f t="shared" si="0"/>
        <v>0.6352000000000001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29</v>
      </c>
      <c r="C11" s="35">
        <v>0.06</v>
      </c>
      <c r="D11" s="36">
        <f t="shared" si="0"/>
        <v>0.2382</v>
      </c>
      <c r="E11" s="37">
        <v>69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18</v>
      </c>
      <c r="C12" s="35">
        <v>0.08</v>
      </c>
      <c r="D12" s="36">
        <f t="shared" si="0"/>
        <v>0.31760000000000005</v>
      </c>
      <c r="E12" s="37">
        <v>54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</v>
      </c>
      <c r="C13" s="35">
        <v>0.1</v>
      </c>
      <c r="D13" s="36">
        <f t="shared" si="0"/>
        <v>0.39700000000000002</v>
      </c>
      <c r="E13" s="37">
        <v>115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6</v>
      </c>
      <c r="C14" s="35">
        <v>0.06</v>
      </c>
      <c r="D14" s="36">
        <f t="shared" si="0"/>
        <v>0.2382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0.95</v>
      </c>
      <c r="D19" s="41">
        <f>SUM(D9:D18)</f>
        <v>3.7715000000000005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>
        <v>0.5</v>
      </c>
      <c r="G38" s="54">
        <v>0.5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377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512</v>
      </c>
      <c r="C66" s="63">
        <v>5</v>
      </c>
      <c r="D66" s="6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565</v>
      </c>
      <c r="C67" s="63">
        <v>6</v>
      </c>
      <c r="D67" s="6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622</v>
      </c>
      <c r="C68" s="63">
        <v>7</v>
      </c>
      <c r="D68" s="6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Merisier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40</v>
      </c>
      <c r="C88" s="63">
        <v>1</v>
      </c>
      <c r="D88" s="63">
        <v>3</v>
      </c>
      <c r="E88" s="54"/>
      <c r="F88" s="54"/>
      <c r="G88" s="54"/>
      <c r="H88" s="93">
        <v>1</v>
      </c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85</v>
      </c>
      <c r="C89" s="63">
        <v>2</v>
      </c>
      <c r="D89" s="63">
        <v>25</v>
      </c>
      <c r="E89" s="54"/>
      <c r="F89" s="54"/>
      <c r="G89" s="54"/>
      <c r="H89" s="93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113</v>
      </c>
      <c r="C90" s="63">
        <v>3</v>
      </c>
      <c r="D90" s="63">
        <v>27</v>
      </c>
      <c r="E90" s="93"/>
      <c r="F90" s="93">
        <v>0.8</v>
      </c>
      <c r="G90" s="93"/>
      <c r="H90" s="93">
        <v>0.2</v>
      </c>
      <c r="I90" s="56">
        <f t="shared" si="3"/>
        <v>10.6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31</v>
      </c>
      <c r="B91" s="63">
        <v>155</v>
      </c>
      <c r="C91" s="63">
        <v>4</v>
      </c>
      <c r="D91" s="63">
        <v>36</v>
      </c>
      <c r="E91" s="93"/>
      <c r="F91" s="93"/>
      <c r="G91" s="93"/>
      <c r="H91" s="93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37</v>
      </c>
      <c r="B92" s="63">
        <v>188</v>
      </c>
      <c r="C92" s="63">
        <v>5</v>
      </c>
      <c r="D92" s="63">
        <v>36</v>
      </c>
      <c r="E92" s="93"/>
      <c r="F92" s="93"/>
      <c r="G92" s="93"/>
      <c r="H92" s="93"/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44</v>
      </c>
      <c r="B93" s="63">
        <v>230</v>
      </c>
      <c r="C93" s="63">
        <v>6</v>
      </c>
      <c r="D93" s="63">
        <v>43</v>
      </c>
      <c r="E93" s="93"/>
      <c r="F93" s="93"/>
      <c r="G93" s="93"/>
      <c r="H93" s="93"/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52</v>
      </c>
      <c r="B94" s="63">
        <v>270</v>
      </c>
      <c r="C94" s="63">
        <v>7</v>
      </c>
      <c r="D94" s="63">
        <v>48</v>
      </c>
      <c r="E94" s="93"/>
      <c r="F94" s="93"/>
      <c r="G94" s="93"/>
      <c r="H94" s="93"/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297</v>
      </c>
      <c r="C95" s="63">
        <v>8</v>
      </c>
      <c r="D95" s="63">
        <v>47</v>
      </c>
      <c r="E95" s="93"/>
      <c r="F95" s="93"/>
      <c r="G95" s="93"/>
      <c r="H95" s="93"/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69</v>
      </c>
      <c r="B96" s="63">
        <v>328</v>
      </c>
      <c r="C96" s="63">
        <v>9</v>
      </c>
      <c r="D96" s="63">
        <v>328</v>
      </c>
      <c r="E96" s="93"/>
      <c r="F96" s="93"/>
      <c r="G96" s="93"/>
      <c r="H96" s="93"/>
      <c r="I96" s="56">
        <f t="shared" si="3"/>
        <v>8.6666666666666661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Douglas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17</v>
      </c>
      <c r="B114" s="63">
        <v>172.78</v>
      </c>
      <c r="C114" s="63">
        <v>1</v>
      </c>
      <c r="D114" s="63">
        <v>0</v>
      </c>
      <c r="E114" s="54"/>
      <c r="F114" s="54"/>
      <c r="G114" s="54"/>
      <c r="H114" s="54"/>
      <c r="I114" s="56">
        <f>IFERROR(B114/A114,"")</f>
        <v>10.163529411764706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18</v>
      </c>
      <c r="B115" s="63">
        <v>202.31</v>
      </c>
      <c r="C115" s="63">
        <v>2</v>
      </c>
      <c r="D115" s="63">
        <v>74.819999999999993</v>
      </c>
      <c r="E115" s="54">
        <v>0.1</v>
      </c>
      <c r="F115" s="54">
        <v>0.4</v>
      </c>
      <c r="G115" s="54">
        <v>0.5</v>
      </c>
      <c r="H115" s="54">
        <v>0</v>
      </c>
      <c r="I115" s="56">
        <f t="shared" ref="I115:I133" si="4">IF(A115&lt;&gt;0,(B115-(B114-D114))/(A115-A114),"")</f>
        <v>29.53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19</v>
      </c>
      <c r="B116" s="63">
        <v>150.35</v>
      </c>
      <c r="C116" s="63">
        <v>3</v>
      </c>
      <c r="D116" s="63">
        <v>0</v>
      </c>
      <c r="E116" s="54">
        <v>0.4</v>
      </c>
      <c r="F116" s="54">
        <v>0.3</v>
      </c>
      <c r="G116" s="54">
        <v>0.3</v>
      </c>
      <c r="H116" s="54">
        <v>0</v>
      </c>
      <c r="I116" s="56">
        <f t="shared" si="4"/>
        <v>22.859999999999985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23</v>
      </c>
      <c r="B117" s="63">
        <v>258.74</v>
      </c>
      <c r="C117" s="63">
        <v>4</v>
      </c>
      <c r="D117" s="63">
        <v>0</v>
      </c>
      <c r="E117" s="54">
        <v>0.5</v>
      </c>
      <c r="F117" s="54">
        <v>0.3</v>
      </c>
      <c r="G117" s="54">
        <v>0.2</v>
      </c>
      <c r="H117" s="54">
        <v>0</v>
      </c>
      <c r="I117" s="56">
        <f t="shared" si="4"/>
        <v>27.097500000000004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24</v>
      </c>
      <c r="B118" s="63">
        <v>289.08999999999997</v>
      </c>
      <c r="C118" s="63">
        <v>5</v>
      </c>
      <c r="D118" s="53">
        <v>51.39</v>
      </c>
      <c r="E118" s="54"/>
      <c r="F118" s="54"/>
      <c r="G118" s="54"/>
      <c r="H118" s="54"/>
      <c r="I118" s="56">
        <f t="shared" si="4"/>
        <v>30.349999999999966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26</v>
      </c>
      <c r="B119" s="53">
        <v>292.8</v>
      </c>
      <c r="C119" s="63">
        <v>6</v>
      </c>
      <c r="D119" s="53">
        <v>0</v>
      </c>
      <c r="E119" s="54"/>
      <c r="F119" s="54"/>
      <c r="G119" s="54"/>
      <c r="H119" s="54"/>
      <c r="I119" s="56">
        <f t="shared" si="4"/>
        <v>27.550000000000011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28</v>
      </c>
      <c r="B120" s="53">
        <v>350.06</v>
      </c>
      <c r="C120" s="63">
        <v>7</v>
      </c>
      <c r="D120" s="53">
        <v>0</v>
      </c>
      <c r="E120" s="93"/>
      <c r="F120" s="93"/>
      <c r="G120" s="93"/>
      <c r="H120" s="93"/>
      <c r="I120" s="56">
        <f t="shared" si="4"/>
        <v>28.629999999999995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30</v>
      </c>
      <c r="B121" s="53">
        <v>410.56</v>
      </c>
      <c r="C121" s="63">
        <v>8</v>
      </c>
      <c r="D121" s="53">
        <v>80.97</v>
      </c>
      <c r="E121" s="93"/>
      <c r="F121" s="93"/>
      <c r="G121" s="93"/>
      <c r="H121" s="93"/>
      <c r="I121" s="56">
        <f t="shared" si="4"/>
        <v>30.25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32</v>
      </c>
      <c r="B122" s="53">
        <v>384.47</v>
      </c>
      <c r="C122" s="63">
        <v>9</v>
      </c>
      <c r="D122" s="53">
        <v>0</v>
      </c>
      <c r="E122" s="93"/>
      <c r="F122" s="93"/>
      <c r="G122" s="93"/>
      <c r="H122" s="93"/>
      <c r="I122" s="56">
        <f t="shared" si="4"/>
        <v>27.439999999999998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34</v>
      </c>
      <c r="B123" s="53">
        <v>441.87</v>
      </c>
      <c r="C123" s="63">
        <v>10</v>
      </c>
      <c r="D123" s="53">
        <v>0</v>
      </c>
      <c r="E123" s="93"/>
      <c r="F123" s="93"/>
      <c r="G123" s="93"/>
      <c r="H123" s="93"/>
      <c r="I123" s="56">
        <f t="shared" si="4"/>
        <v>28.699999999999989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36</v>
      </c>
      <c r="B124" s="53">
        <v>501.41</v>
      </c>
      <c r="C124" s="63">
        <v>11</v>
      </c>
      <c r="D124" s="53">
        <v>85.88</v>
      </c>
      <c r="E124" s="93"/>
      <c r="F124" s="93"/>
      <c r="G124" s="93"/>
      <c r="H124" s="93"/>
      <c r="I124" s="56">
        <f t="shared" si="4"/>
        <v>29.77000000000001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38</v>
      </c>
      <c r="B125" s="53">
        <v>470</v>
      </c>
      <c r="C125" s="63">
        <v>12</v>
      </c>
      <c r="D125" s="53">
        <v>0</v>
      </c>
      <c r="E125" s="93"/>
      <c r="F125" s="93"/>
      <c r="G125" s="93"/>
      <c r="H125" s="93"/>
      <c r="I125" s="56">
        <f t="shared" si="4"/>
        <v>27.234999999999985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40</v>
      </c>
      <c r="B126" s="53">
        <v>526.19000000000005</v>
      </c>
      <c r="C126" s="63">
        <v>13</v>
      </c>
      <c r="D126" s="53">
        <v>0</v>
      </c>
      <c r="E126" s="68"/>
      <c r="F126" s="68"/>
      <c r="G126" s="68"/>
      <c r="H126" s="68"/>
      <c r="I126" s="56">
        <f t="shared" si="4"/>
        <v>28.095000000000027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42</v>
      </c>
      <c r="B127" s="53">
        <v>583.89</v>
      </c>
      <c r="C127" s="63">
        <v>14</v>
      </c>
      <c r="D127" s="53">
        <v>91.25</v>
      </c>
      <c r="E127" s="68"/>
      <c r="F127" s="68"/>
      <c r="G127" s="68"/>
      <c r="H127" s="68"/>
      <c r="I127" s="56">
        <f t="shared" si="4"/>
        <v>28.849999999999966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44</v>
      </c>
      <c r="B128" s="53">
        <v>545.63</v>
      </c>
      <c r="C128" s="63">
        <v>15</v>
      </c>
      <c r="D128" s="53">
        <v>0</v>
      </c>
      <c r="E128" s="57"/>
      <c r="F128" s="57"/>
      <c r="G128" s="57"/>
      <c r="H128" s="57"/>
      <c r="I128" s="56">
        <f t="shared" si="4"/>
        <v>26.495000000000005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46</v>
      </c>
      <c r="B129" s="53">
        <v>599.79999999999995</v>
      </c>
      <c r="C129" s="63">
        <v>16</v>
      </c>
      <c r="D129" s="53">
        <v>0</v>
      </c>
      <c r="E129" s="57"/>
      <c r="F129" s="57"/>
      <c r="G129" s="57"/>
      <c r="H129" s="57"/>
      <c r="I129" s="56">
        <f t="shared" si="4"/>
        <v>27.08499999999998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48</v>
      </c>
      <c r="B130" s="53">
        <v>655.04999999999995</v>
      </c>
      <c r="C130" s="63">
        <v>17</v>
      </c>
      <c r="D130" s="53">
        <v>101.34</v>
      </c>
      <c r="E130" s="57"/>
      <c r="F130" s="57"/>
      <c r="G130" s="57"/>
      <c r="H130" s="57"/>
      <c r="I130" s="56">
        <f t="shared" si="4"/>
        <v>27.625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50</v>
      </c>
      <c r="B131" s="53">
        <v>604.12</v>
      </c>
      <c r="C131" s="63">
        <v>18</v>
      </c>
      <c r="D131" s="53">
        <v>0</v>
      </c>
      <c r="E131" s="57"/>
      <c r="F131" s="57"/>
      <c r="G131" s="57"/>
      <c r="H131" s="57"/>
      <c r="I131" s="56">
        <f t="shared" si="4"/>
        <v>25.205000000000041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52</v>
      </c>
      <c r="B132" s="53">
        <v>655.56</v>
      </c>
      <c r="C132" s="63">
        <v>19</v>
      </c>
      <c r="D132" s="53">
        <v>0</v>
      </c>
      <c r="E132" s="57"/>
      <c r="F132" s="57"/>
      <c r="G132" s="57"/>
      <c r="H132" s="57"/>
      <c r="I132" s="56">
        <f t="shared" si="4"/>
        <v>25.71999999999997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54</v>
      </c>
      <c r="B133" s="53">
        <v>707.75</v>
      </c>
      <c r="C133" s="63">
        <v>20</v>
      </c>
      <c r="D133" s="53">
        <v>707.75</v>
      </c>
      <c r="E133" s="57"/>
      <c r="F133" s="57"/>
      <c r="G133" s="57"/>
      <c r="H133" s="57"/>
      <c r="I133" s="56">
        <f t="shared" si="4"/>
        <v>26.095000000000027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Alisier torminal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73</v>
      </c>
      <c r="C140" s="53">
        <v>1</v>
      </c>
      <c r="D140" s="63">
        <v>6</v>
      </c>
      <c r="E140" s="54"/>
      <c r="F140" s="54"/>
      <c r="G140" s="54"/>
      <c r="H140" s="54">
        <v>1</v>
      </c>
      <c r="I140" s="60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103</v>
      </c>
      <c r="C141" s="53">
        <v>2</v>
      </c>
      <c r="D141" s="63">
        <v>28</v>
      </c>
      <c r="E141" s="54"/>
      <c r="F141" s="54">
        <v>0.3</v>
      </c>
      <c r="G141" s="54">
        <v>0.7</v>
      </c>
      <c r="H141" s="54"/>
      <c r="I141" s="60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121</v>
      </c>
      <c r="C142" s="53">
        <v>3</v>
      </c>
      <c r="D142" s="63">
        <v>28</v>
      </c>
      <c r="E142" s="54"/>
      <c r="F142" s="54">
        <v>0.5</v>
      </c>
      <c r="G142" s="54">
        <v>0.5</v>
      </c>
      <c r="H142" s="54"/>
      <c r="I142" s="60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147</v>
      </c>
      <c r="C143" s="53">
        <v>4</v>
      </c>
      <c r="D143" s="63">
        <v>28</v>
      </c>
      <c r="E143" s="54"/>
      <c r="F143" s="54"/>
      <c r="G143" s="54"/>
      <c r="H143" s="54"/>
      <c r="I143" s="60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175</v>
      </c>
      <c r="C144" s="53">
        <v>5</v>
      </c>
      <c r="D144" s="63">
        <v>28</v>
      </c>
      <c r="E144" s="54"/>
      <c r="F144" s="54"/>
      <c r="G144" s="54"/>
      <c r="H144" s="54"/>
      <c r="I144" s="60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204</v>
      </c>
      <c r="C145" s="53">
        <v>6</v>
      </c>
      <c r="D145" s="63">
        <v>28</v>
      </c>
      <c r="E145" s="54"/>
      <c r="F145" s="54"/>
      <c r="G145" s="54"/>
      <c r="H145" s="54"/>
      <c r="I145" s="60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231</v>
      </c>
      <c r="C146" s="53">
        <v>7</v>
      </c>
      <c r="D146" s="63">
        <v>28</v>
      </c>
      <c r="E146" s="54"/>
      <c r="F146" s="54"/>
      <c r="G146" s="54"/>
      <c r="H146" s="54"/>
      <c r="I146" s="60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v>254</v>
      </c>
      <c r="C147" s="53">
        <v>8</v>
      </c>
      <c r="D147" s="63">
        <v>28</v>
      </c>
      <c r="E147" s="54"/>
      <c r="F147" s="54"/>
      <c r="G147" s="54"/>
      <c r="H147" s="54"/>
      <c r="I147" s="60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v>273</v>
      </c>
      <c r="C148" s="53">
        <v>9</v>
      </c>
      <c r="D148" s="63">
        <v>28</v>
      </c>
      <c r="E148" s="54"/>
      <c r="F148" s="54"/>
      <c r="G148" s="54"/>
      <c r="H148" s="54"/>
      <c r="I148" s="60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3">
        <v>289</v>
      </c>
      <c r="C149" s="53">
        <v>10</v>
      </c>
      <c r="D149" s="63">
        <v>28</v>
      </c>
      <c r="E149" s="54"/>
      <c r="F149" s="54"/>
      <c r="G149" s="54"/>
      <c r="H149" s="54"/>
      <c r="I149" s="60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v>302</v>
      </c>
      <c r="C150" s="53">
        <v>11</v>
      </c>
      <c r="D150" s="63">
        <v>28</v>
      </c>
      <c r="E150" s="54"/>
      <c r="F150" s="54"/>
      <c r="G150" s="54"/>
      <c r="H150" s="54"/>
      <c r="I150" s="60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3">
        <v>312</v>
      </c>
      <c r="C151" s="53">
        <v>12</v>
      </c>
      <c r="D151" s="63">
        <v>28</v>
      </c>
      <c r="E151" s="54"/>
      <c r="F151" s="54"/>
      <c r="G151" s="54"/>
      <c r="H151" s="54"/>
      <c r="I151" s="60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63">
        <v>320</v>
      </c>
      <c r="C152" s="53">
        <v>13</v>
      </c>
      <c r="D152" s="63">
        <v>28</v>
      </c>
      <c r="E152" s="57"/>
      <c r="F152" s="57"/>
      <c r="G152" s="57"/>
      <c r="H152" s="57"/>
      <c r="I152" s="60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85</v>
      </c>
      <c r="B153" s="63">
        <v>326</v>
      </c>
      <c r="C153" s="53">
        <v>14</v>
      </c>
      <c r="D153" s="63">
        <v>28</v>
      </c>
      <c r="E153" s="57"/>
      <c r="F153" s="57"/>
      <c r="G153" s="57"/>
      <c r="H153" s="57"/>
      <c r="I153" s="60">
        <f t="shared" si="5"/>
        <v>6.8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90</v>
      </c>
      <c r="B154" s="59">
        <v>330</v>
      </c>
      <c r="C154" s="53">
        <v>15</v>
      </c>
      <c r="D154" s="53">
        <v>28</v>
      </c>
      <c r="E154" s="57"/>
      <c r="F154" s="57"/>
      <c r="G154" s="57"/>
      <c r="H154" s="57"/>
      <c r="I154" s="60">
        <f t="shared" si="5"/>
        <v>6.4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95</v>
      </c>
      <c r="B155" s="59">
        <v>332</v>
      </c>
      <c r="C155" s="53">
        <v>16</v>
      </c>
      <c r="D155" s="53">
        <v>28</v>
      </c>
      <c r="E155" s="57"/>
      <c r="F155" s="57"/>
      <c r="G155" s="57"/>
      <c r="H155" s="57"/>
      <c r="I155" s="60">
        <f t="shared" si="5"/>
        <v>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100</v>
      </c>
      <c r="B156" s="59">
        <v>333</v>
      </c>
      <c r="C156" s="53">
        <v>17</v>
      </c>
      <c r="D156" s="53">
        <v>27</v>
      </c>
      <c r="E156" s="57"/>
      <c r="F156" s="57"/>
      <c r="G156" s="57"/>
      <c r="H156" s="57"/>
      <c r="I156" s="60">
        <f t="shared" si="5"/>
        <v>5.8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105</v>
      </c>
      <c r="B157" s="59">
        <v>333</v>
      </c>
      <c r="C157" s="53">
        <v>18</v>
      </c>
      <c r="D157" s="53">
        <v>26</v>
      </c>
      <c r="E157" s="57"/>
      <c r="F157" s="57"/>
      <c r="G157" s="57"/>
      <c r="H157" s="57"/>
      <c r="I157" s="60">
        <f t="shared" si="5"/>
        <v>5.4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v>332</v>
      </c>
      <c r="C158" s="53">
        <v>19</v>
      </c>
      <c r="D158" s="53">
        <v>25</v>
      </c>
      <c r="E158" s="57"/>
      <c r="F158" s="57"/>
      <c r="G158" s="57"/>
      <c r="H158" s="57"/>
      <c r="I158" s="60">
        <f t="shared" si="5"/>
        <v>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115</v>
      </c>
      <c r="B159" s="59">
        <v>330</v>
      </c>
      <c r="C159" s="53">
        <v>20</v>
      </c>
      <c r="D159" s="61">
        <v>330</v>
      </c>
      <c r="E159" s="57"/>
      <c r="F159" s="57"/>
      <c r="G159" s="57"/>
      <c r="H159" s="57"/>
      <c r="I159" s="60">
        <f t="shared" si="5"/>
        <v>4.5999999999999996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Charme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3">
        <v>71</v>
      </c>
      <c r="C166" s="63">
        <v>1</v>
      </c>
      <c r="D166" s="63">
        <v>8</v>
      </c>
      <c r="E166" s="54"/>
      <c r="F166" s="54"/>
      <c r="G166" s="54">
        <v>1</v>
      </c>
      <c r="H166" s="54"/>
      <c r="I166" s="52">
        <f>IFERROR(B166/A166,"")</f>
        <v>2.84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98</v>
      </c>
      <c r="C167" s="63">
        <v>2</v>
      </c>
      <c r="D167" s="63">
        <v>21</v>
      </c>
      <c r="E167" s="54"/>
      <c r="F167" s="54"/>
      <c r="G167" s="54">
        <v>1</v>
      </c>
      <c r="H167" s="54"/>
      <c r="I167" s="52">
        <f t="shared" ref="I167:I185" si="6">IF(A167&lt;&gt;0,(B167-(B166-D166))/(A167-A166),"")</f>
        <v>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3">
        <v>116</v>
      </c>
      <c r="C168" s="63">
        <v>3</v>
      </c>
      <c r="D168" s="63">
        <v>21</v>
      </c>
      <c r="E168" s="54"/>
      <c r="F168" s="54"/>
      <c r="G168" s="54"/>
      <c r="H168" s="54"/>
      <c r="I168" s="52">
        <f t="shared" si="6"/>
        <v>7.8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3">
        <v>137</v>
      </c>
      <c r="C169" s="63">
        <v>4</v>
      </c>
      <c r="D169" s="63">
        <v>21</v>
      </c>
      <c r="E169" s="54"/>
      <c r="F169" s="54"/>
      <c r="G169" s="54"/>
      <c r="H169" s="54"/>
      <c r="I169" s="52">
        <f t="shared" si="6"/>
        <v>8.4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3">
        <v>158</v>
      </c>
      <c r="C170" s="63">
        <v>5</v>
      </c>
      <c r="D170" s="63">
        <v>21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3">
        <v>179</v>
      </c>
      <c r="C171" s="63">
        <v>6</v>
      </c>
      <c r="D171" s="63">
        <v>21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55</v>
      </c>
      <c r="B172" s="63">
        <v>198</v>
      </c>
      <c r="C172" s="63">
        <v>7</v>
      </c>
      <c r="D172" s="63">
        <v>21</v>
      </c>
      <c r="E172" s="54"/>
      <c r="F172" s="54"/>
      <c r="G172" s="54"/>
      <c r="H172" s="54"/>
      <c r="I172" s="52">
        <f t="shared" si="6"/>
        <v>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215</v>
      </c>
      <c r="C173" s="53">
        <v>8</v>
      </c>
      <c r="D173" s="53">
        <v>21</v>
      </c>
      <c r="E173" s="54"/>
      <c r="F173" s="54"/>
      <c r="G173" s="54"/>
      <c r="H173" s="54"/>
      <c r="I173" s="52">
        <f t="shared" si="6"/>
        <v>7.6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65</v>
      </c>
      <c r="B174" s="53">
        <v>229</v>
      </c>
      <c r="C174" s="53">
        <v>9</v>
      </c>
      <c r="D174" s="53">
        <v>21</v>
      </c>
      <c r="E174" s="54"/>
      <c r="F174" s="54"/>
      <c r="G174" s="54"/>
      <c r="H174" s="54"/>
      <c r="I174" s="52">
        <f t="shared" si="6"/>
        <v>7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70</v>
      </c>
      <c r="B175" s="53">
        <v>242</v>
      </c>
      <c r="C175" s="53">
        <v>10</v>
      </c>
      <c r="D175" s="53">
        <v>21</v>
      </c>
      <c r="E175" s="54"/>
      <c r="F175" s="54"/>
      <c r="G175" s="54"/>
      <c r="H175" s="54"/>
      <c r="I175" s="52">
        <f t="shared" si="6"/>
        <v>6.8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75</v>
      </c>
      <c r="B176" s="53">
        <v>253</v>
      </c>
      <c r="C176" s="53">
        <v>11</v>
      </c>
      <c r="D176" s="53">
        <v>21</v>
      </c>
      <c r="E176" s="54"/>
      <c r="F176" s="54"/>
      <c r="G176" s="54"/>
      <c r="H176" s="54"/>
      <c r="I176" s="52">
        <f t="shared" si="6"/>
        <v>6.4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80</v>
      </c>
      <c r="B177" s="53">
        <v>283</v>
      </c>
      <c r="C177" s="53">
        <v>12</v>
      </c>
      <c r="D177" s="53">
        <v>21</v>
      </c>
      <c r="E177" s="54"/>
      <c r="F177" s="54"/>
      <c r="G177" s="54"/>
      <c r="H177" s="54"/>
      <c r="I177" s="52">
        <f t="shared" si="6"/>
        <v>10.199999999999999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290</v>
      </c>
      <c r="C178" s="53">
        <v>13</v>
      </c>
      <c r="D178" s="53">
        <v>21</v>
      </c>
      <c r="E178" s="54"/>
      <c r="F178" s="54"/>
      <c r="G178" s="54"/>
      <c r="H178" s="54"/>
      <c r="I178" s="52">
        <f t="shared" si="6"/>
        <v>5.6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296</v>
      </c>
      <c r="C179" s="53">
        <v>14</v>
      </c>
      <c r="D179" s="53">
        <v>21</v>
      </c>
      <c r="E179" s="54"/>
      <c r="F179" s="54"/>
      <c r="G179" s="54"/>
      <c r="H179" s="54"/>
      <c r="I179" s="52">
        <f t="shared" si="6"/>
        <v>5.4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95</v>
      </c>
      <c r="B180" s="53">
        <v>300</v>
      </c>
      <c r="C180" s="53">
        <v>15</v>
      </c>
      <c r="D180" s="53">
        <v>21</v>
      </c>
      <c r="E180" s="54"/>
      <c r="F180" s="54"/>
      <c r="G180" s="54"/>
      <c r="H180" s="54"/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100</v>
      </c>
      <c r="B181" s="53">
        <v>303</v>
      </c>
      <c r="C181" s="53">
        <v>16</v>
      </c>
      <c r="D181" s="53">
        <v>21</v>
      </c>
      <c r="E181" s="54"/>
      <c r="F181" s="54"/>
      <c r="G181" s="54"/>
      <c r="H181" s="54"/>
      <c r="I181" s="52">
        <f t="shared" si="6"/>
        <v>4.8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105</v>
      </c>
      <c r="B182" s="53">
        <v>304</v>
      </c>
      <c r="C182" s="53">
        <v>17</v>
      </c>
      <c r="D182" s="53">
        <v>20</v>
      </c>
      <c r="E182" s="54"/>
      <c r="F182" s="54"/>
      <c r="G182" s="54"/>
      <c r="H182" s="54"/>
      <c r="I182" s="52">
        <f t="shared" si="6"/>
        <v>4.4000000000000004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110</v>
      </c>
      <c r="B183" s="53">
        <v>305</v>
      </c>
      <c r="C183" s="53">
        <v>18</v>
      </c>
      <c r="D183" s="53">
        <v>19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115</v>
      </c>
      <c r="B184" s="53">
        <v>305</v>
      </c>
      <c r="C184" s="53">
        <v>19</v>
      </c>
      <c r="D184" s="53">
        <v>18</v>
      </c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305</v>
      </c>
      <c r="C185" s="53">
        <v>20</v>
      </c>
      <c r="D185" s="53">
        <v>305</v>
      </c>
      <c r="E185" s="54"/>
      <c r="F185" s="54"/>
      <c r="G185" s="54"/>
      <c r="H185" s="54"/>
      <c r="I185" s="52">
        <f t="shared" si="6"/>
        <v>3.6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Chêne sessile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Cèdre de l'Atlas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Merisier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>Douglas</v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>Alisier torminal</v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>Charme</v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439.06700232017681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396.92963589781414</v>
      </c>
      <c r="AO3" s="62">
        <f>IF('Données projet'!E10&gt;30,$AM$33-$H$33,LOOKUP('Données projet'!$E$10,$A$3:$A$203,AM3:AM203)-LOOKUP('Données projet'!$E$10,$A$3:$A$203,$H$3:$H$203))</f>
        <v>294.38852181137639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288.82868507674738</v>
      </c>
      <c r="BJ3" s="62">
        <f>IF('Données projet'!E11&gt;30,$BH$33-$H$33,LOOKUP('Données projet'!$E$11,$A$3:$A$203,BH3:BH203)-LOOKUP('Données projet'!$E$11,$A$3:$A$203,$H$3:$H$203))</f>
        <v>283.48738729114024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405.09126081846171</v>
      </c>
      <c r="CE3" s="62">
        <f>IF('Données projet'!E12&gt;30,$CC$33-$H$33,LOOKUP('Données projet'!$E$12,$A$3:$A$203,CC3:CC203)-LOOKUP('Données projet'!$E$12,$A$3:$A$203,$H$3:$H$203))</f>
        <v>534.22295841722166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466.4945858005575</v>
      </c>
      <c r="CZ3" s="62">
        <f>IF('Données projet'!E13&gt;30,$CX$33-$H$33,LOOKUP('Données projet'!$E$13,$A$3:$A$203,CX3:CX203)-LOOKUP('Données projet'!$E$13,$A$3:$A$203,$H$3:$H$203))</f>
        <v>294.45557293177131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404.20764079465965</v>
      </c>
      <c r="DU3" s="62">
        <f>IF('Données projet'!E14&gt;30,$DS$33-$H$33,LOOKUP('Données projet'!$E$14,$A$3:$A$203,DS3:DS203)-LOOKUP('Données projet'!$E$14,$A$3:$A$203,$H$3:$H$203))</f>
        <v>243.23852967152732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439.06700232017681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259.45197446629572</v>
      </c>
      <c r="AN4" s="62">
        <f ca="1">AVERAGE(OFFSET($AM$3,0,0,'Données projet'!$E$10+1,1))-AVERAGE(OFFSET($H$3,0,0,'Données projet'!$E$10+1,1))</f>
        <v>396.92963589781414</v>
      </c>
      <c r="AO4" s="62">
        <f>$AO$3</f>
        <v>294.38852181137639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0.99746715073179792</v>
      </c>
      <c r="BF4" s="14">
        <f>EXP(-1.0587+0.8836*LN(BE4)+0.284)</f>
        <v>0.45981048445793882</v>
      </c>
      <c r="BG4" s="22">
        <f t="shared" ref="BG4:BG67" si="7">(BE4+BF4)*0.475*44/12</f>
        <v>2.5380918812887914</v>
      </c>
      <c r="BH4" s="62">
        <f t="shared" ref="BH4:BH67" si="8">BG4+(AY4+AZ4)*44/12</f>
        <v>260.42698077017764</v>
      </c>
      <c r="BI4" s="62">
        <f ca="1">AVERAGE(OFFSET($BH$3,0,0,'Données projet'!$E$11+1,1))-AVERAGE(OFFSET($H$3,0,0,'Données projet'!$E$11+1,1))</f>
        <v>288.82868507674738</v>
      </c>
      <c r="BJ4" s="62">
        <f>$BJ$3</f>
        <v>283.48738729114024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10.163529411764706</v>
      </c>
      <c r="BY4" s="13">
        <f>IF('Données projet'!$A$114&gt;35,BY3+BX4-CG3,IF(A4&lt;'Données projet'!$A$114,$BV$205^A4,IF(A4='Données projet'!$A$114,'Données projet'!$B$114,BY3+BX4-CG3)))</f>
        <v>1.3539956307764309</v>
      </c>
      <c r="BZ4" s="14">
        <f>BY4*VLOOKUP('Données projet'!$B$12,Paramètres!$A$1:$I$89,3,0)*VLOOKUP('Données projet'!$B$12,Paramètres!$A$1:$I$89,5,0)</f>
        <v>0.75688355760402493</v>
      </c>
      <c r="CA4" s="14">
        <f>EXP(-1.0587+0.8836*LN(BZ4)+0.284)</f>
        <v>0.36029824926500498</v>
      </c>
      <c r="CB4" s="22">
        <f t="shared" ref="CB4:CB67" si="10">(BZ4+CA4)*0.475*44/12</f>
        <v>1.945758313630227</v>
      </c>
      <c r="CC4" s="62">
        <f t="shared" ref="CC4:CC67" si="11">CB4+(BT4+BU4)*44/12</f>
        <v>259.83464720251908</v>
      </c>
      <c r="CD4" s="62">
        <f ca="1">AVERAGE(OFFSET($CC$3,0,0,'Données projet'!$E$12+1,1))-AVERAGE(OFFSET($H$3,0,0,'Données projet'!$E$12+1,1))</f>
        <v>405.09126081846171</v>
      </c>
      <c r="CE4" s="62">
        <f>$CE$3</f>
        <v>534.22295841722166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1.1986225139154763</v>
      </c>
      <c r="CV4" s="14">
        <f>EXP(-1.0587+0.8836*LN(CU4)+0.284)</f>
        <v>0.54084878793982472</v>
      </c>
      <c r="CW4" s="22">
        <f t="shared" ref="CW4:CW67" si="13">(CU4+CV4)*0.475*44/12</f>
        <v>3.0295791840646493</v>
      </c>
      <c r="CX4" s="62">
        <f t="shared" ref="CX4:CX67" si="14">CW4+(CO4+CP4)*44/12</f>
        <v>260.91846807295349</v>
      </c>
      <c r="CY4" s="62">
        <f ca="1">AVERAGE(OFFSET($CX$3,0,0,'Données projet'!$E$13+1,1))-AVERAGE(OFFSET($H$3,0,0,'Données projet'!$E$13+1,1))</f>
        <v>466.4945858005575</v>
      </c>
      <c r="CZ4" s="62">
        <f>$CZ$3</f>
        <v>294.45557293177131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2.84</v>
      </c>
      <c r="DO4" s="13">
        <f>IF('Données projet'!$A$166&gt;35,DO3+DN4-DW3,IF(A4&lt;'Données projet'!$A$166,$DL$205^A4,IF(A4='Données projet'!$A$166,'Données projet'!$B$166,DO3+DN4-DW3)))</f>
        <v>1.185906184594963</v>
      </c>
      <c r="DP4" s="18">
        <f>DO4*VLOOKUP('Données projet'!$B$14,Paramètres!$A$1:$I$89,3,0)*VLOOKUP('Données projet'!$B$14,Paramètres!$A$1:$I$89,5,0)</f>
        <v>1.1285083252605668</v>
      </c>
      <c r="DQ4" s="14">
        <f>EXP(-1.0587+0.8836*LN(DP4)+0.284)</f>
        <v>0.51279676560670906</v>
      </c>
      <c r="DR4" s="22">
        <f t="shared" ref="DR4:DR67" si="16">(DP4+DQ4)*0.475*44/12</f>
        <v>2.8586063665938393</v>
      </c>
      <c r="DS4" s="62">
        <f t="shared" ref="DS4:DS67" si="17">DR4+(DJ4+DK4)*44/12</f>
        <v>260.7474952554827</v>
      </c>
      <c r="DT4" s="62">
        <f ca="1">AVERAGE(OFFSET($DS$3,0,0,'Données projet'!$E$14+1,1))-AVERAGE(OFFSET($H$3,0,0,'Données projet'!$E$14+1,1))</f>
        <v>404.20764079465965</v>
      </c>
      <c r="DU4" s="62">
        <f>$DU$3</f>
        <v>243.23852967152732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439.06700232017681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261.10525168652157</v>
      </c>
      <c r="AN5" s="62">
        <f ca="1">AVERAGE(OFFSET($AM$3,0,0,'Données projet'!$E$10+1,1))-AVERAGE(OFFSET($H$3,0,0,'Données projet'!$E$10+1,1))</f>
        <v>396.92963589781414</v>
      </c>
      <c r="AO5" s="62">
        <f t="shared" ref="AO5:AO68" si="36">$AO$3</f>
        <v>294.38852181137639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1.2755650215243732</v>
      </c>
      <c r="BF5" s="14">
        <f t="shared" ref="BF5:BF68" si="37">EXP(-1.0587+0.8836*LN(BE5)+0.284)</f>
        <v>0.57141400910743001</v>
      </c>
      <c r="BG5" s="22">
        <f t="shared" si="7"/>
        <v>3.2168218116837237</v>
      </c>
      <c r="BH5" s="62">
        <f t="shared" si="8"/>
        <v>262.32793292279484</v>
      </c>
      <c r="BI5" s="62">
        <f ca="1">AVERAGE(OFFSET($BH$3,0,0,'Données projet'!$E$11+1,1))-AVERAGE(OFFSET($H$3,0,0,'Données projet'!$E$11+1,1))</f>
        <v>288.82868507674738</v>
      </c>
      <c r="BJ5" s="62">
        <f t="shared" ref="BJ5:BJ68" si="38">$BJ$3</f>
        <v>283.48738729114024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10.163529411764706</v>
      </c>
      <c r="BY5" s="13">
        <f>IF('Données projet'!$A$114&gt;35,BY4+BX5-CG4,IF(A5&lt;'Données projet'!$A$114,$BV$205^A5,IF(A5='Données projet'!$A$114,'Données projet'!$B$114,BY4+BX5-CG4)))</f>
        <v>1.8333041681616651</v>
      </c>
      <c r="BZ5" s="14">
        <f>BY5*VLOOKUP('Données projet'!$B$12,Paramètres!$A$1:$I$89,3,0)*VLOOKUP('Données projet'!$B$12,Paramètres!$A$1:$I$89,5,0)</f>
        <v>1.0248170300023709</v>
      </c>
      <c r="CA5" s="14">
        <f t="shared" ref="CA5:CA68" si="39">EXP(-1.0587+0.8836*LN(BZ5)+0.284)</f>
        <v>0.47093304471840119</v>
      </c>
      <c r="CB5" s="22">
        <f t="shared" si="10"/>
        <v>2.6050980468053448</v>
      </c>
      <c r="CC5" s="62">
        <f t="shared" si="11"/>
        <v>261.71620915791647</v>
      </c>
      <c r="CD5" s="62">
        <f ca="1">AVERAGE(OFFSET($CC$3,0,0,'Données projet'!$E$12+1,1))-AVERAGE(OFFSET($H$3,0,0,'Données projet'!$E$12+1,1))</f>
        <v>405.09126081846171</v>
      </c>
      <c r="CE5" s="62">
        <f t="shared" ref="CE5:CE68" si="40">$CE$3</f>
        <v>534.22295841722166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1.4854176290995202</v>
      </c>
      <c r="CV5" s="14">
        <f t="shared" ref="CV5:CV68" si="41">EXP(-1.0587+0.8836*LN(CU5)+0.284)</f>
        <v>0.65372856897250708</v>
      </c>
      <c r="CW5" s="22">
        <f t="shared" si="13"/>
        <v>3.725679628308781</v>
      </c>
      <c r="CX5" s="62">
        <f t="shared" si="14"/>
        <v>262.83679073941994</v>
      </c>
      <c r="CY5" s="62">
        <f ca="1">AVERAGE(OFFSET($CX$3,0,0,'Données projet'!$E$13+1,1))-AVERAGE(OFFSET($H$3,0,0,'Données projet'!$E$13+1,1))</f>
        <v>466.4945858005575</v>
      </c>
      <c r="CZ5" s="62">
        <f t="shared" ref="CZ5:CZ68" si="42">$CZ$3</f>
        <v>294.45557293177131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2.84</v>
      </c>
      <c r="DO5" s="13">
        <f>IF('Données projet'!$A$166&gt;35,DO4+DN5-DW4,IF(A5&lt;'Données projet'!$A$166,$DL$205^A5,IF(A5='Données projet'!$A$166,'Données projet'!$B$166,DO4+DN5-DW4)))</f>
        <v>1.4063734786605824</v>
      </c>
      <c r="DP5" s="18">
        <f>DO5*VLOOKUP('Données projet'!$B$14,Paramètres!$A$1:$I$89,3,0)*VLOOKUP('Données projet'!$B$14,Paramètres!$A$1:$I$89,5,0)</f>
        <v>1.3383050022934102</v>
      </c>
      <c r="DQ5" s="14">
        <f t="shared" ref="DQ5:DQ68" si="43">EXP(-1.0587+0.8836*LN(DP5)+0.284)</f>
        <v>0.59617828357056835</v>
      </c>
      <c r="DR5" s="22">
        <f t="shared" si="16"/>
        <v>3.3692250562130952</v>
      </c>
      <c r="DS5" s="62">
        <f t="shared" si="17"/>
        <v>262.48033616732425</v>
      </c>
      <c r="DT5" s="62">
        <f ca="1">AVERAGE(OFFSET($DS$3,0,0,'Données projet'!$E$14+1,1))-AVERAGE(OFFSET($H$3,0,0,'Données projet'!$E$14+1,1))</f>
        <v>404.20764079465965</v>
      </c>
      <c r="DU5" s="62">
        <f t="shared" ref="DU5:DU68" si="44">$DU$3</f>
        <v>243.23852967152732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439.06700232017681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262.8778838402435</v>
      </c>
      <c r="AN6" s="62">
        <f ca="1">AVERAGE(OFFSET($AM$3,0,0,'Données projet'!$E$10+1,1))-AVERAGE(OFFSET($H$3,0,0,'Données projet'!$E$10+1,1))</f>
        <v>396.92963589781414</v>
      </c>
      <c r="AO6" s="62">
        <f t="shared" si="36"/>
        <v>294.38852181137639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1.6311977020423858</v>
      </c>
      <c r="BF6" s="14">
        <f t="shared" si="37"/>
        <v>0.71010553443370616</v>
      </c>
      <c r="BG6" s="22">
        <f t="shared" si="7"/>
        <v>4.0777698035291934</v>
      </c>
      <c r="BH6" s="62">
        <f t="shared" si="8"/>
        <v>264.41110313686249</v>
      </c>
      <c r="BI6" s="62">
        <f ca="1">AVERAGE(OFFSET($BH$3,0,0,'Données projet'!$E$11+1,1))-AVERAGE(OFFSET($H$3,0,0,'Données projet'!$E$11+1,1))</f>
        <v>288.82868507674738</v>
      </c>
      <c r="BJ6" s="62">
        <f t="shared" si="38"/>
        <v>283.48738729114024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10.163529411764706</v>
      </c>
      <c r="BY6" s="13">
        <f>IF('Données projet'!$A$114&gt;35,BY5+BX6-CG5,IF(A6&lt;'Données projet'!$A$114,$BV$205^A6,IF(A6='Données projet'!$A$114,'Données projet'!$B$114,BY5+BX6-CG5)))</f>
        <v>2.4822858335751139</v>
      </c>
      <c r="BZ6" s="14">
        <f>BY6*VLOOKUP('Données projet'!$B$12,Paramètres!$A$1:$I$89,3,0)*VLOOKUP('Données projet'!$B$12,Paramètres!$A$1:$I$89,5,0)</f>
        <v>1.3875977809684887</v>
      </c>
      <c r="CA6" s="14">
        <f t="shared" si="39"/>
        <v>0.61553985638332231</v>
      </c>
      <c r="CB6" s="22">
        <f t="shared" si="10"/>
        <v>3.4887980517210706</v>
      </c>
      <c r="CC6" s="62">
        <f t="shared" si="11"/>
        <v>263.82213138505438</v>
      </c>
      <c r="CD6" s="62">
        <f ca="1">AVERAGE(OFFSET($CC$3,0,0,'Données projet'!$E$12+1,1))-AVERAGE(OFFSET($H$3,0,0,'Données projet'!$E$12+1,1))</f>
        <v>405.09126081846171</v>
      </c>
      <c r="CE6" s="62">
        <f t="shared" si="40"/>
        <v>534.22295841722166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1.8408343804855598</v>
      </c>
      <c r="CV6" s="14">
        <f t="shared" si="41"/>
        <v>0.79016732850363813</v>
      </c>
      <c r="CW6" s="22">
        <f t="shared" si="13"/>
        <v>4.5823279764895188</v>
      </c>
      <c r="CX6" s="62">
        <f t="shared" si="14"/>
        <v>264.91566130982284</v>
      </c>
      <c r="CY6" s="62">
        <f ca="1">AVERAGE(OFFSET($CX$3,0,0,'Données projet'!$E$13+1,1))-AVERAGE(OFFSET($H$3,0,0,'Données projet'!$E$13+1,1))</f>
        <v>466.4945858005575</v>
      </c>
      <c r="CZ6" s="62">
        <f t="shared" si="42"/>
        <v>294.45557293177131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2.84</v>
      </c>
      <c r="DO6" s="13">
        <f>IF('Données projet'!$A$166&gt;35,DO5+DN6-DW5,IF(A6&lt;'Données projet'!$A$166,$DL$205^A6,IF(A6='Données projet'!$A$166,'Données projet'!$B$166,DO5+DN6-DW5)))</f>
        <v>1.6678270061939169</v>
      </c>
      <c r="DP6" s="18">
        <f>DO6*VLOOKUP('Données projet'!$B$14,Paramètres!$A$1:$I$89,3,0)*VLOOKUP('Données projet'!$B$14,Paramètres!$A$1:$I$89,5,0)</f>
        <v>1.5871041790941314</v>
      </c>
      <c r="DQ6" s="14">
        <f t="shared" si="43"/>
        <v>0.69311776056276053</v>
      </c>
      <c r="DR6" s="22">
        <f t="shared" si="16"/>
        <v>3.9713865449024204</v>
      </c>
      <c r="DS6" s="62">
        <f t="shared" si="17"/>
        <v>264.30471987823574</v>
      </c>
      <c r="DT6" s="62">
        <f ca="1">AVERAGE(OFFSET($DS$3,0,0,'Données projet'!$E$14+1,1))-AVERAGE(OFFSET($H$3,0,0,'Données projet'!$E$14+1,1))</f>
        <v>404.20764079465965</v>
      </c>
      <c r="DU6" s="62">
        <f t="shared" si="44"/>
        <v>243.23852967152732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439.06700232017681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264.80304536680109</v>
      </c>
      <c r="AN7" s="62">
        <f ca="1">AVERAGE(OFFSET($AM$3,0,0,'Données projet'!$E$10+1,1))-AVERAGE(OFFSET($H$3,0,0,'Données projet'!$E$10+1,1))</f>
        <v>396.92963589781414</v>
      </c>
      <c r="AO7" s="62">
        <f t="shared" si="36"/>
        <v>294.38852181137639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2.0859822104313781</v>
      </c>
      <c r="BF7" s="14">
        <f t="shared" si="37"/>
        <v>0.88245976121767966</v>
      </c>
      <c r="BG7" s="22">
        <f t="shared" si="7"/>
        <v>5.1700364339554419</v>
      </c>
      <c r="BH7" s="62">
        <f t="shared" si="8"/>
        <v>266.72559198951097</v>
      </c>
      <c r="BI7" s="62">
        <f ca="1">AVERAGE(OFFSET($BH$3,0,0,'Données projet'!$E$11+1,1))-AVERAGE(OFFSET($H$3,0,0,'Données projet'!$E$11+1,1))</f>
        <v>288.82868507674738</v>
      </c>
      <c r="BJ7" s="62">
        <f t="shared" si="38"/>
        <v>283.48738729114024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10.163529411764706</v>
      </c>
      <c r="BY7" s="13">
        <f>IF('Données projet'!$A$114&gt;35,BY6+BX7-CG6,IF(A7&lt;'Données projet'!$A$114,$BV$205^A7,IF(A7='Données projet'!$A$114,'Données projet'!$B$114,BY6+BX7-CG6)))</f>
        <v>3.3610041729989346</v>
      </c>
      <c r="BZ7" s="14">
        <f>BY7*VLOOKUP('Données projet'!$B$12,Paramètres!$A$1:$I$89,3,0)*VLOOKUP('Données projet'!$B$12,Paramètres!$A$1:$I$89,5,0)</f>
        <v>1.8788013327064044</v>
      </c>
      <c r="CA7" s="14">
        <f t="shared" si="39"/>
        <v>0.80455028383697591</v>
      </c>
      <c r="CB7" s="22">
        <f t="shared" si="10"/>
        <v>4.6735040654797206</v>
      </c>
      <c r="CC7" s="62">
        <f t="shared" si="11"/>
        <v>266.22905962103528</v>
      </c>
      <c r="CD7" s="62">
        <f ca="1">AVERAGE(OFFSET($CC$3,0,0,'Données projet'!$E$12+1,1))-AVERAGE(OFFSET($H$3,0,0,'Données projet'!$E$12+1,1))</f>
        <v>405.09126081846171</v>
      </c>
      <c r="CE7" s="62">
        <f t="shared" si="40"/>
        <v>534.22295841722166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2.2812919074024398</v>
      </c>
      <c r="CV7" s="14">
        <f t="shared" si="41"/>
        <v>0.95508202741684722</v>
      </c>
      <c r="CW7" s="22">
        <f t="shared" si="13"/>
        <v>5.6366846031435918</v>
      </c>
      <c r="CX7" s="62">
        <f t="shared" si="14"/>
        <v>267.19224015869912</v>
      </c>
      <c r="CY7" s="62">
        <f ca="1">AVERAGE(OFFSET($CX$3,0,0,'Données projet'!$E$13+1,1))-AVERAGE(OFFSET($H$3,0,0,'Données projet'!$E$13+1,1))</f>
        <v>466.4945858005575</v>
      </c>
      <c r="CZ7" s="62">
        <f t="shared" si="42"/>
        <v>294.45557293177131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2.84</v>
      </c>
      <c r="DO7" s="13">
        <f>IF('Données projet'!$A$166&gt;35,DO6+DN7-DW6,IF(A7&lt;'Données projet'!$A$166,$DL$205^A7,IF(A7='Données projet'!$A$166,'Données projet'!$B$166,DO6+DN7-DW6)))</f>
        <v>1.9778863614798676</v>
      </c>
      <c r="DP7" s="18">
        <f>DO7*VLOOKUP('Données projet'!$B$14,Paramètres!$A$1:$I$89,3,0)*VLOOKUP('Données projet'!$B$14,Paramètres!$A$1:$I$89,5,0)</f>
        <v>1.882156661584242</v>
      </c>
      <c r="DQ7" s="14">
        <f t="shared" si="43"/>
        <v>0.80581974091760233</v>
      </c>
      <c r="DR7" s="22">
        <f t="shared" si="16"/>
        <v>4.6815589010240446</v>
      </c>
      <c r="DS7" s="62">
        <f t="shared" si="17"/>
        <v>266.2371144565796</v>
      </c>
      <c r="DT7" s="62">
        <f ca="1">AVERAGE(OFFSET($DS$3,0,0,'Données projet'!$E$14+1,1))-AVERAGE(OFFSET($H$3,0,0,'Données projet'!$E$14+1,1))</f>
        <v>404.20764079465965</v>
      </c>
      <c r="DU7" s="62">
        <f t="shared" si="44"/>
        <v>243.23852967152732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439.06700232017681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266.92316437994907</v>
      </c>
      <c r="AN8" s="62">
        <f ca="1">AVERAGE(OFFSET($AM$3,0,0,'Données projet'!$E$10+1,1))-AVERAGE(OFFSET($H$3,0,0,'Données projet'!$E$10+1,1))</f>
        <v>396.92963589781414</v>
      </c>
      <c r="AO8" s="62">
        <f t="shared" si="36"/>
        <v>294.38852181137639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2.6675624768156463</v>
      </c>
      <c r="BF8" s="14">
        <f t="shared" si="37"/>
        <v>1.0966471776471767</v>
      </c>
      <c r="BG8" s="22">
        <f t="shared" si="7"/>
        <v>6.5559984815227494</v>
      </c>
      <c r="BH8" s="62">
        <f t="shared" si="8"/>
        <v>269.33377625930052</v>
      </c>
      <c r="BI8" s="62">
        <f ca="1">AVERAGE(OFFSET($BH$3,0,0,'Données projet'!$E$11+1,1))-AVERAGE(OFFSET($H$3,0,0,'Données projet'!$E$11+1,1))</f>
        <v>288.82868507674738</v>
      </c>
      <c r="BJ8" s="62">
        <f t="shared" si="38"/>
        <v>283.48738729114024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10.163529411764706</v>
      </c>
      <c r="BY8" s="13">
        <f>IF('Données projet'!$A$114&gt;35,BY7+BX8-CG7,IF(A8&lt;'Données projet'!$A$114,$BV$205^A8,IF(A8='Données projet'!$A$114,'Données projet'!$B$114,BY7+BX8-CG7)))</f>
        <v>4.5507849652619088</v>
      </c>
      <c r="BZ8" s="14">
        <f>BY8*VLOOKUP('Données projet'!$B$12,Paramètres!$A$1:$I$89,3,0)*VLOOKUP('Données projet'!$B$12,Paramètres!$A$1:$I$89,5,0)</f>
        <v>2.5438887955814073</v>
      </c>
      <c r="CA8" s="14">
        <f t="shared" si="39"/>
        <v>1.0515991003823111</v>
      </c>
      <c r="CB8" s="22">
        <f t="shared" si="10"/>
        <v>6.2621414188034761</v>
      </c>
      <c r="CC8" s="62">
        <f t="shared" si="11"/>
        <v>269.03991919658125</v>
      </c>
      <c r="CD8" s="62">
        <f ca="1">AVERAGE(OFFSET($CC$3,0,0,'Données projet'!$E$12+1,1))-AVERAGE(OFFSET($H$3,0,0,'Données projet'!$E$12+1,1))</f>
        <v>405.09126081846171</v>
      </c>
      <c r="CE8" s="62">
        <f t="shared" si="40"/>
        <v>534.22295841722166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2.8271379663210752</v>
      </c>
      <c r="CV8" s="14">
        <f t="shared" si="41"/>
        <v>1.1544158385061292</v>
      </c>
      <c r="CW8" s="22">
        <f t="shared" si="13"/>
        <v>6.9345395434073795</v>
      </c>
      <c r="CX8" s="62">
        <f t="shared" si="14"/>
        <v>269.71231732118514</v>
      </c>
      <c r="CY8" s="62">
        <f ca="1">AVERAGE(OFFSET($CX$3,0,0,'Données projet'!$E$13+1,1))-AVERAGE(OFFSET($H$3,0,0,'Données projet'!$E$13+1,1))</f>
        <v>466.4945858005575</v>
      </c>
      <c r="CZ8" s="62">
        <f t="shared" si="42"/>
        <v>294.45557293177131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2.84</v>
      </c>
      <c r="DO8" s="13">
        <f>IF('Données projet'!$A$166&gt;35,DO7+DN8-DW7,IF(A8&lt;'Données projet'!$A$166,$DL$205^A8,IF(A8='Données projet'!$A$166,'Données projet'!$B$166,DO7+DN8-DW7)))</f>
        <v>2.3455876685050034</v>
      </c>
      <c r="DP8" s="18">
        <f>DO8*VLOOKUP('Données projet'!$B$14,Paramètres!$A$1:$I$89,3,0)*VLOOKUP('Données projet'!$B$14,Paramètres!$A$1:$I$89,5,0)</f>
        <v>2.2320612253493612</v>
      </c>
      <c r="DQ8" s="14">
        <f t="shared" si="43"/>
        <v>0.93684723116212032</v>
      </c>
      <c r="DR8" s="22">
        <f t="shared" si="16"/>
        <v>5.5191822284241638</v>
      </c>
      <c r="DS8" s="62">
        <f t="shared" si="17"/>
        <v>268.29696000620191</v>
      </c>
      <c r="DT8" s="62">
        <f ca="1">AVERAGE(OFFSET($DS$3,0,0,'Données projet'!$E$14+1,1))-AVERAGE(OFFSET($H$3,0,0,'Données projet'!$E$14+1,1))</f>
        <v>404.20764079465965</v>
      </c>
      <c r="DU8" s="62">
        <f t="shared" si="44"/>
        <v>243.23852967152732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439.06700232017681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269.29251243621979</v>
      </c>
      <c r="AN9" s="62">
        <f ca="1">AVERAGE(OFFSET($AM$3,0,0,'Données projet'!$E$10+1,1))-AVERAGE(OFFSET($H$3,0,0,'Données projet'!$E$10+1,1))</f>
        <v>396.92963589781414</v>
      </c>
      <c r="AO9" s="62">
        <f t="shared" si="36"/>
        <v>294.38852181137639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3.4112896707030256</v>
      </c>
      <c r="BF9" s="14">
        <f t="shared" si="37"/>
        <v>1.3628213830192535</v>
      </c>
      <c r="BG9" s="22">
        <f t="shared" si="7"/>
        <v>8.3149100852329703</v>
      </c>
      <c r="BH9" s="62">
        <f t="shared" si="8"/>
        <v>272.31491008523295</v>
      </c>
      <c r="BI9" s="62">
        <f ca="1">AVERAGE(OFFSET($BH$3,0,0,'Données projet'!$E$11+1,1))-AVERAGE(OFFSET($H$3,0,0,'Données projet'!$E$11+1,1))</f>
        <v>288.82868507674738</v>
      </c>
      <c r="BJ9" s="62">
        <f t="shared" si="38"/>
        <v>283.48738729114024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10.163529411764706</v>
      </c>
      <c r="BY9" s="13">
        <f>IF('Données projet'!$A$114&gt;35,BY8+BX9-CG8,IF(A9&lt;'Données projet'!$A$114,$BV$205^A9,IF(A9='Données projet'!$A$114,'Données projet'!$B$114,BY8+BX9-CG8)))</f>
        <v>6.1617429595676967</v>
      </c>
      <c r="BZ9" s="14">
        <f>BY9*VLOOKUP('Données projet'!$B$12,Paramètres!$A$1:$I$89,3,0)*VLOOKUP('Données projet'!$B$12,Paramètres!$A$1:$I$89,5,0)</f>
        <v>3.4444143143983426</v>
      </c>
      <c r="CA9" s="14">
        <f t="shared" si="39"/>
        <v>1.3745078339304442</v>
      </c>
      <c r="CB9" s="22">
        <f t="shared" si="10"/>
        <v>8.3929560750059693</v>
      </c>
      <c r="CC9" s="62">
        <f t="shared" si="11"/>
        <v>272.39295607500594</v>
      </c>
      <c r="CD9" s="62">
        <f ca="1">AVERAGE(OFFSET($CC$3,0,0,'Données projet'!$E$12+1,1))-AVERAGE(OFFSET($H$3,0,0,'Données projet'!$E$12+1,1))</f>
        <v>405.09126081846171</v>
      </c>
      <c r="CE9" s="62">
        <f t="shared" si="40"/>
        <v>534.22295841722166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3.5035889333929422</v>
      </c>
      <c r="CV9" s="14">
        <f t="shared" si="41"/>
        <v>1.3953523257036018</v>
      </c>
      <c r="CW9" s="22">
        <f t="shared" si="13"/>
        <v>8.5323226929264795</v>
      </c>
      <c r="CX9" s="62">
        <f t="shared" si="14"/>
        <v>272.53232269292647</v>
      </c>
      <c r="CY9" s="62">
        <f ca="1">AVERAGE(OFFSET($CX$3,0,0,'Données projet'!$E$13+1,1))-AVERAGE(OFFSET($H$3,0,0,'Données projet'!$E$13+1,1))</f>
        <v>466.4945858005575</v>
      </c>
      <c r="CZ9" s="62">
        <f t="shared" si="42"/>
        <v>294.45557293177131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2.84</v>
      </c>
      <c r="DO9" s="13">
        <f>IF('Données projet'!$A$166&gt;35,DO8+DN9-DW8,IF(A9&lt;'Données projet'!$A$166,$DL$205^A9,IF(A9='Données projet'!$A$166,'Données projet'!$B$166,DO8+DN9-DW8)))</f>
        <v>2.7816469225897635</v>
      </c>
      <c r="DP9" s="18">
        <f>DO9*VLOOKUP('Données projet'!$B$14,Paramètres!$A$1:$I$89,3,0)*VLOOKUP('Données projet'!$B$14,Paramètres!$A$1:$I$89,5,0)</f>
        <v>2.6470152115364192</v>
      </c>
      <c r="DQ9" s="14">
        <f t="shared" si="43"/>
        <v>1.0891799865025611</v>
      </c>
      <c r="DR9" s="22">
        <f t="shared" si="16"/>
        <v>6.5072066365845567</v>
      </c>
      <c r="DS9" s="62">
        <f t="shared" si="17"/>
        <v>270.50720663658456</v>
      </c>
      <c r="DT9" s="62">
        <f ca="1">AVERAGE(OFFSET($DS$3,0,0,'Données projet'!$E$14+1,1))-AVERAGE(OFFSET($H$3,0,0,'Données projet'!$E$14+1,1))</f>
        <v>404.20764079465965</v>
      </c>
      <c r="DU9" s="62">
        <f t="shared" si="44"/>
        <v>243.23852967152732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439.06700232017681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271.98052129859713</v>
      </c>
      <c r="AN10" s="62">
        <f ca="1">AVERAGE(OFFSET($AM$3,0,0,'Données projet'!$E$10+1,1))-AVERAGE(OFFSET($H$3,0,0,'Données projet'!$E$10+1,1))</f>
        <v>396.92963589781414</v>
      </c>
      <c r="AO10" s="62">
        <f t="shared" si="36"/>
        <v>294.38852181137639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4.3623710104576414</v>
      </c>
      <c r="BF10" s="14">
        <f t="shared" si="37"/>
        <v>1.6936004212396314</v>
      </c>
      <c r="BG10" s="22">
        <f t="shared" si="7"/>
        <v>10.54748357687275</v>
      </c>
      <c r="BH10" s="62">
        <f t="shared" si="8"/>
        <v>275.76970579909499</v>
      </c>
      <c r="BI10" s="62">
        <f ca="1">AVERAGE(OFFSET($BH$3,0,0,'Données projet'!$E$11+1,1))-AVERAGE(OFFSET($H$3,0,0,'Données projet'!$E$11+1,1))</f>
        <v>288.82868507674738</v>
      </c>
      <c r="BJ10" s="62">
        <f t="shared" si="38"/>
        <v>283.48738729114024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10.163529411764706</v>
      </c>
      <c r="BY10" s="13">
        <f>IF('Données projet'!$A$114&gt;35,BY9+BX10-CG9,IF(A10&lt;'Données projet'!$A$114,$BV$205^A10,IF(A10='Données projet'!$A$114,'Données projet'!$B$114,BY9+BX10-CG9)))</f>
        <v>8.3429730452220969</v>
      </c>
      <c r="BZ10" s="14">
        <f>BY10*VLOOKUP('Données projet'!$B$12,Paramètres!$A$1:$I$89,3,0)*VLOOKUP('Données projet'!$B$12,Paramètres!$A$1:$I$89,5,0)</f>
        <v>4.6637219322791523</v>
      </c>
      <c r="CA10" s="14">
        <f t="shared" si="39"/>
        <v>1.7965703706377396</v>
      </c>
      <c r="CB10" s="22">
        <f t="shared" si="10"/>
        <v>11.251675760913587</v>
      </c>
      <c r="CC10" s="62">
        <f t="shared" si="11"/>
        <v>276.47389798313583</v>
      </c>
      <c r="CD10" s="62">
        <f ca="1">AVERAGE(OFFSET($CC$3,0,0,'Données projet'!$E$12+1,1))-AVERAGE(OFFSET($H$3,0,0,'Données projet'!$E$12+1,1))</f>
        <v>405.09126081846171</v>
      </c>
      <c r="CE10" s="62">
        <f t="shared" si="40"/>
        <v>534.22295841722166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4.3418947219498456</v>
      </c>
      <c r="CV10" s="14">
        <f t="shared" si="41"/>
        <v>1.6865743243491664</v>
      </c>
      <c r="CW10" s="22">
        <f t="shared" si="13"/>
        <v>10.499583588970779</v>
      </c>
      <c r="CX10" s="62">
        <f t="shared" si="14"/>
        <v>275.72180581119301</v>
      </c>
      <c r="CY10" s="62">
        <f ca="1">AVERAGE(OFFSET($CX$3,0,0,'Données projet'!$E$13+1,1))-AVERAGE(OFFSET($H$3,0,0,'Données projet'!$E$13+1,1))</f>
        <v>466.4945858005575</v>
      </c>
      <c r="CZ10" s="62">
        <f t="shared" si="42"/>
        <v>294.45557293177131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2.84</v>
      </c>
      <c r="DO10" s="13">
        <f>IF('Données projet'!$A$166&gt;35,DO9+DN10-DW9,IF(A10&lt;'Données projet'!$A$166,$DL$205^A10,IF(A10='Données projet'!$A$166,'Données projet'!$B$166,DO9+DN10-DW9)))</f>
        <v>3.2987722888587467</v>
      </c>
      <c r="DP10" s="18">
        <f>DO10*VLOOKUP('Données projet'!$B$14,Paramètres!$A$1:$I$89,3,0)*VLOOKUP('Données projet'!$B$14,Paramètres!$A$1:$I$89,5,0)</f>
        <v>3.1391117100779837</v>
      </c>
      <c r="DQ10" s="14">
        <f t="shared" si="43"/>
        <v>1.2662822747804323</v>
      </c>
      <c r="DR10" s="22">
        <f t="shared" si="16"/>
        <v>7.6727278569617399</v>
      </c>
      <c r="DS10" s="62">
        <f t="shared" si="17"/>
        <v>272.89495007918396</v>
      </c>
      <c r="DT10" s="62">
        <f ca="1">AVERAGE(OFFSET($DS$3,0,0,'Données projet'!$E$14+1,1))-AVERAGE(OFFSET($H$3,0,0,'Données projet'!$E$14+1,1))</f>
        <v>404.20764079465965</v>
      </c>
      <c r="DU10" s="62">
        <f t="shared" si="44"/>
        <v>243.23852967152732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439.06700232017681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275.07603134727827</v>
      </c>
      <c r="AN11" s="62">
        <f ca="1">AVERAGE(OFFSET($AM$3,0,0,'Données projet'!$E$10+1,1))-AVERAGE(OFFSET($H$3,0,0,'Données projet'!$E$10+1,1))</f>
        <v>396.92963589781414</v>
      </c>
      <c r="AO11" s="62">
        <f t="shared" si="36"/>
        <v>294.38852181137639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5.5786176695335605</v>
      </c>
      <c r="BF11" s="14">
        <f t="shared" si="37"/>
        <v>2.1046649418345189</v>
      </c>
      <c r="BG11" s="22">
        <f t="shared" si="7"/>
        <v>13.381717214799407</v>
      </c>
      <c r="BH11" s="62">
        <f t="shared" si="8"/>
        <v>279.82616165924384</v>
      </c>
      <c r="BI11" s="62">
        <f ca="1">AVERAGE(OFFSET($BH$3,0,0,'Données projet'!$E$11+1,1))-AVERAGE(OFFSET($H$3,0,0,'Données projet'!$E$11+1,1))</f>
        <v>288.82868507674738</v>
      </c>
      <c r="BJ11" s="62">
        <f t="shared" si="38"/>
        <v>283.48738729114024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10.163529411764706</v>
      </c>
      <c r="BY11" s="13">
        <f>IF('Données projet'!$A$114&gt;35,BY10+BX11-CG10,IF(A11&lt;'Données projet'!$A$114,$BV$205^A11,IF(A11='Données projet'!$A$114,'Données projet'!$B$114,BY10+BX11-CG10)))</f>
        <v>11.296349050916252</v>
      </c>
      <c r="BZ11" s="14">
        <f>BY11*VLOOKUP('Données projet'!$B$12,Paramètres!$A$1:$I$89,3,0)*VLOOKUP('Données projet'!$B$12,Paramètres!$A$1:$I$89,5,0)</f>
        <v>6.3146591194621848</v>
      </c>
      <c r="CA11" s="14">
        <f t="shared" si="39"/>
        <v>2.3482333217583955</v>
      </c>
      <c r="CB11" s="22">
        <f t="shared" si="10"/>
        <v>15.087871001792513</v>
      </c>
      <c r="CC11" s="62">
        <f t="shared" si="11"/>
        <v>281.53231544623696</v>
      </c>
      <c r="CD11" s="62">
        <f ca="1">AVERAGE(OFFSET($CC$3,0,0,'Données projet'!$E$12+1,1))-AVERAGE(OFFSET($H$3,0,0,'Données projet'!$E$12+1,1))</f>
        <v>405.09126081846171</v>
      </c>
      <c r="CE11" s="62">
        <f t="shared" si="40"/>
        <v>534.22295841722166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5.3807824305002701</v>
      </c>
      <c r="CV11" s="14">
        <f t="shared" si="41"/>
        <v>2.0385768519929188</v>
      </c>
      <c r="CW11" s="22">
        <f t="shared" si="13"/>
        <v>12.922050750342303</v>
      </c>
      <c r="CX11" s="62">
        <f t="shared" si="14"/>
        <v>279.36649519478675</v>
      </c>
      <c r="CY11" s="62">
        <f ca="1">AVERAGE(OFFSET($CX$3,0,0,'Données projet'!$E$13+1,1))-AVERAGE(OFFSET($H$3,0,0,'Données projet'!$E$13+1,1))</f>
        <v>466.4945858005575</v>
      </c>
      <c r="CZ11" s="62">
        <f t="shared" si="42"/>
        <v>294.45557293177131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2.84</v>
      </c>
      <c r="DO11" s="13">
        <f>IF('Données projet'!$A$166&gt;35,DO10+DN11-DW10,IF(A11&lt;'Données projet'!$A$166,$DL$205^A11,IF(A11='Données projet'!$A$166,'Données projet'!$B$166,DO10+DN11-DW10)))</f>
        <v>3.9120344589280696</v>
      </c>
      <c r="DP11" s="18">
        <f>DO11*VLOOKUP('Données projet'!$B$14,Paramètres!$A$1:$I$89,3,0)*VLOOKUP('Données projet'!$B$14,Paramètres!$A$1:$I$89,5,0)</f>
        <v>3.7226919911159508</v>
      </c>
      <c r="DQ11" s="14">
        <f t="shared" si="43"/>
        <v>1.4721816589487393</v>
      </c>
      <c r="DR11" s="22">
        <f t="shared" si="16"/>
        <v>9.0477382738626684</v>
      </c>
      <c r="DS11" s="62">
        <f t="shared" si="17"/>
        <v>275.49218271830711</v>
      </c>
      <c r="DT11" s="62">
        <f ca="1">AVERAGE(OFFSET($DS$3,0,0,'Données projet'!$E$14+1,1))-AVERAGE(OFFSET($H$3,0,0,'Données projet'!$E$14+1,1))</f>
        <v>404.20764079465965</v>
      </c>
      <c r="DU11" s="62">
        <f t="shared" si="44"/>
        <v>243.23852967152732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439.06700232017681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278.6927340463364</v>
      </c>
      <c r="AN12" s="62">
        <f ca="1">AVERAGE(OFFSET($AM$3,0,0,'Données projet'!$E$10+1,1))-AVERAGE(OFFSET($H$3,0,0,'Données projet'!$E$10+1,1))</f>
        <v>396.92963589781414</v>
      </c>
      <c r="AO12" s="62">
        <f t="shared" si="36"/>
        <v>294.38852181137639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7.1339588100662858</v>
      </c>
      <c r="BF12" s="14">
        <f t="shared" si="37"/>
        <v>2.6155015444227643</v>
      </c>
      <c r="BG12" s="22">
        <f t="shared" si="7"/>
        <v>16.980310117401761</v>
      </c>
      <c r="BH12" s="62">
        <f t="shared" si="8"/>
        <v>284.64697678406844</v>
      </c>
      <c r="BI12" s="62">
        <f ca="1">AVERAGE(OFFSET($BH$3,0,0,'Données projet'!$E$11+1,1))-AVERAGE(OFFSET($H$3,0,0,'Données projet'!$E$11+1,1))</f>
        <v>288.82868507674738</v>
      </c>
      <c r="BJ12" s="62">
        <f t="shared" si="38"/>
        <v>283.48738729114024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10.163529411764706</v>
      </c>
      <c r="BY12" s="13">
        <f>IF('Données projet'!$A$114&gt;35,BY11+BX12-CG11,IF(A12&lt;'Données projet'!$A$114,$BV$205^A12,IF(A12='Données projet'!$A$114,'Données projet'!$B$114,BY11+BX12-CG11)))</f>
        <v>15.295207258666087</v>
      </c>
      <c r="BZ12" s="14">
        <f>BY12*VLOOKUP('Données projet'!$B$12,Paramètres!$A$1:$I$89,3,0)*VLOOKUP('Données projet'!$B$12,Paramètres!$A$1:$I$89,5,0)</f>
        <v>8.5500208575943439</v>
      </c>
      <c r="CA12" s="14">
        <f t="shared" si="39"/>
        <v>3.0692923714750222</v>
      </c>
      <c r="CB12" s="22">
        <f t="shared" si="10"/>
        <v>20.236970540629144</v>
      </c>
      <c r="CC12" s="62">
        <f t="shared" si="11"/>
        <v>287.90363720729584</v>
      </c>
      <c r="CD12" s="62">
        <f ca="1">AVERAGE(OFFSET($CC$3,0,0,'Données projet'!$E$12+1,1))-AVERAGE(OFFSET($H$3,0,0,'Données projet'!$E$12+1,1))</f>
        <v>405.09126081846171</v>
      </c>
      <c r="CE12" s="62">
        <f t="shared" si="40"/>
        <v>534.22295841722166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6.6682454132324853</v>
      </c>
      <c r="CV12" s="14">
        <f t="shared" si="41"/>
        <v>2.4640453263659414</v>
      </c>
      <c r="CW12" s="22">
        <f t="shared" si="13"/>
        <v>15.905406371467258</v>
      </c>
      <c r="CX12" s="62">
        <f t="shared" si="14"/>
        <v>283.57207303813396</v>
      </c>
      <c r="CY12" s="62">
        <f ca="1">AVERAGE(OFFSET($CX$3,0,0,'Données projet'!$E$13+1,1))-AVERAGE(OFFSET($H$3,0,0,'Données projet'!$E$13+1,1))</f>
        <v>466.4945858005575</v>
      </c>
      <c r="CZ12" s="62">
        <f t="shared" si="42"/>
        <v>294.45557293177131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2.84</v>
      </c>
      <c r="DO12" s="13">
        <f>IF('Données projet'!$A$166&gt;35,DO11+DN12-DW11,IF(A12&lt;'Données projet'!$A$166,$DL$205^A12,IF(A12='Données projet'!$A$166,'Données projet'!$B$166,DO11+DN12-DW11)))</f>
        <v>4.6393058591914071</v>
      </c>
      <c r="DP12" s="18">
        <f>DO12*VLOOKUP('Données projet'!$B$14,Paramètres!$A$1:$I$89,3,0)*VLOOKUP('Données projet'!$B$14,Paramètres!$A$1:$I$89,5,0)</f>
        <v>4.4147634556065434</v>
      </c>
      <c r="DQ12" s="14">
        <f t="shared" si="43"/>
        <v>1.7115605896962163</v>
      </c>
      <c r="DR12" s="22">
        <f t="shared" si="16"/>
        <v>10.670014378902303</v>
      </c>
      <c r="DS12" s="62">
        <f t="shared" si="17"/>
        <v>278.33668104556898</v>
      </c>
      <c r="DT12" s="62">
        <f ca="1">AVERAGE(OFFSET($DS$3,0,0,'Données projet'!$E$14+1,1))-AVERAGE(OFFSET($H$3,0,0,'Données projet'!$E$14+1,1))</f>
        <v>404.20764079465965</v>
      </c>
      <c r="DU12" s="62">
        <f t="shared" si="44"/>
        <v>243.23852967152732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439.06700232017681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282.97614497005429</v>
      </c>
      <c r="AN13" s="62">
        <f ca="1">AVERAGE(OFFSET($AM$3,0,0,'Données projet'!$E$10+1,1))-AVERAGE(OFFSET($H$3,0,0,'Données projet'!$E$10+1,1))</f>
        <v>396.92963589781414</v>
      </c>
      <c r="AO13" s="62">
        <f t="shared" si="36"/>
        <v>294.38852181137639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9.1229353432241354</v>
      </c>
      <c r="BF13" s="14">
        <f t="shared" si="37"/>
        <v>3.2503265450485803</v>
      </c>
      <c r="BG13" s="22">
        <f t="shared" si="7"/>
        <v>21.550097788741649</v>
      </c>
      <c r="BH13" s="62">
        <f t="shared" si="8"/>
        <v>290.43898667763051</v>
      </c>
      <c r="BI13" s="62">
        <f ca="1">AVERAGE(OFFSET($BH$3,0,0,'Données projet'!$E$11+1,1))-AVERAGE(OFFSET($H$3,0,0,'Données projet'!$E$11+1,1))</f>
        <v>288.82868507674738</v>
      </c>
      <c r="BJ13" s="62">
        <f t="shared" si="38"/>
        <v>283.48738729114024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10.163529411764706</v>
      </c>
      <c r="BY13" s="13">
        <f>IF('Données projet'!$A$114&gt;35,BY12+BX13-CG12,IF(A13&lt;'Données projet'!$A$114,$BV$205^A13,IF(A13='Données projet'!$A$114,'Données projet'!$B$114,BY12+BX13-CG12)))</f>
        <v>20.709643800053833</v>
      </c>
      <c r="BZ13" s="14">
        <f>BY13*VLOOKUP('Données projet'!$B$12,Paramètres!$A$1:$I$89,3,0)*VLOOKUP('Données projet'!$B$12,Paramètres!$A$1:$I$89,5,0)</f>
        <v>11.576690884230093</v>
      </c>
      <c r="CA13" s="14">
        <f t="shared" si="39"/>
        <v>4.0117630451391877</v>
      </c>
      <c r="CB13" s="22">
        <f t="shared" si="10"/>
        <v>27.149890593651492</v>
      </c>
      <c r="CC13" s="62">
        <f t="shared" si="11"/>
        <v>296.03877948254035</v>
      </c>
      <c r="CD13" s="62">
        <f ca="1">AVERAGE(OFFSET($CC$3,0,0,'Données projet'!$E$12+1,1))-AVERAGE(OFFSET($H$3,0,0,'Données projet'!$E$12+1,1))</f>
        <v>405.09126081846171</v>
      </c>
      <c r="CE13" s="62">
        <f t="shared" si="40"/>
        <v>534.22295841722166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8.2637604224711172</v>
      </c>
      <c r="CV13" s="14">
        <f t="shared" si="41"/>
        <v>2.9783127206856603</v>
      </c>
      <c r="CW13" s="22">
        <f t="shared" si="13"/>
        <v>19.579944057664719</v>
      </c>
      <c r="CX13" s="62">
        <f t="shared" si="14"/>
        <v>288.46883294655356</v>
      </c>
      <c r="CY13" s="62">
        <f ca="1">AVERAGE(OFFSET($CX$3,0,0,'Données projet'!$E$13+1,1))-AVERAGE(OFFSET($H$3,0,0,'Données projet'!$E$13+1,1))</f>
        <v>466.4945858005575</v>
      </c>
      <c r="CZ13" s="62">
        <f t="shared" si="42"/>
        <v>294.45557293177131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2.84</v>
      </c>
      <c r="DO13" s="13">
        <f>IF('Données projet'!$A$166&gt;35,DO12+DN13-DW12,IF(A13&lt;'Données projet'!$A$166,$DL$205^A13,IF(A13='Données projet'!$A$166,'Données projet'!$B$166,DO12+DN13-DW12)))</f>
        <v>5.5017815106427381</v>
      </c>
      <c r="DP13" s="18">
        <f>DO13*VLOOKUP('Données projet'!$B$14,Paramètres!$A$1:$I$89,3,0)*VLOOKUP('Données projet'!$B$14,Paramètres!$A$1:$I$89,5,0)</f>
        <v>5.2354952855276293</v>
      </c>
      <c r="DQ13" s="14">
        <f t="shared" si="43"/>
        <v>1.9898628911686913</v>
      </c>
      <c r="DR13" s="22">
        <f t="shared" si="16"/>
        <v>12.584165491079425</v>
      </c>
      <c r="DS13" s="62">
        <f t="shared" si="17"/>
        <v>281.47305437996829</v>
      </c>
      <c r="DT13" s="62">
        <f ca="1">AVERAGE(OFFSET($DS$3,0,0,'Données projet'!$E$14+1,1))-AVERAGE(OFFSET($H$3,0,0,'Données projet'!$E$14+1,1))</f>
        <v>404.20764079465965</v>
      </c>
      <c r="DU13" s="62">
        <f t="shared" si="44"/>
        <v>243.23852967152732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439.06700232017681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288.11253895675651</v>
      </c>
      <c r="AN14" s="62">
        <f ca="1">AVERAGE(OFFSET($AM$3,0,0,'Données projet'!$E$10+1,1))-AVERAGE(OFFSET($H$3,0,0,'Données projet'!$E$10+1,1))</f>
        <v>396.92963589781414</v>
      </c>
      <c r="AO14" s="62">
        <f t="shared" si="36"/>
        <v>294.38852181137639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11.666446568097685</v>
      </c>
      <c r="BF14" s="14">
        <f t="shared" si="37"/>
        <v>4.0392339557111736</v>
      </c>
      <c r="BG14" s="22">
        <f t="shared" si="7"/>
        <v>27.354060245633761</v>
      </c>
      <c r="BH14" s="62">
        <f t="shared" si="8"/>
        <v>297.46517135674492</v>
      </c>
      <c r="BI14" s="62">
        <f ca="1">AVERAGE(OFFSET($BH$3,0,0,'Données projet'!$E$11+1,1))-AVERAGE(OFFSET($H$3,0,0,'Données projet'!$E$11+1,1))</f>
        <v>288.82868507674738</v>
      </c>
      <c r="BJ14" s="62">
        <f t="shared" si="38"/>
        <v>283.48738729114024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10.163529411764706</v>
      </c>
      <c r="BY14" s="13">
        <f>IF('Données projet'!$A$114&gt;35,BY13+BX14-CG13,IF(A14&lt;'Données projet'!$A$114,$BV$205^A14,IF(A14='Données projet'!$A$114,'Données projet'!$B$114,BY13+BX14-CG13)))</f>
        <v>28.040767220209094</v>
      </c>
      <c r="BZ14" s="14">
        <f>BY14*VLOOKUP('Données projet'!$B$12,Paramètres!$A$1:$I$89,3,0)*VLOOKUP('Données projet'!$B$12,Paramètres!$A$1:$I$89,5,0)</f>
        <v>15.674788876096885</v>
      </c>
      <c r="CA14" s="14">
        <f t="shared" si="39"/>
        <v>5.2436329884760928</v>
      </c>
      <c r="CB14" s="22">
        <f t="shared" si="10"/>
        <v>36.432918080797933</v>
      </c>
      <c r="CC14" s="62">
        <f t="shared" si="11"/>
        <v>306.54402919190909</v>
      </c>
      <c r="CD14" s="62">
        <f ca="1">AVERAGE(OFFSET($CC$3,0,0,'Données projet'!$E$12+1,1))-AVERAGE(OFFSET($H$3,0,0,'Données projet'!$E$12+1,1))</f>
        <v>405.09126081846171</v>
      </c>
      <c r="CE14" s="62">
        <f t="shared" si="40"/>
        <v>534.22295841722166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10.241035248115747</v>
      </c>
      <c r="CV14" s="14">
        <f t="shared" si="41"/>
        <v>3.5999121311945652</v>
      </c>
      <c r="CW14" s="22">
        <f t="shared" si="13"/>
        <v>24.106316685632123</v>
      </c>
      <c r="CX14" s="62">
        <f t="shared" si="14"/>
        <v>294.21742779674327</v>
      </c>
      <c r="CY14" s="62">
        <f ca="1">AVERAGE(OFFSET($CX$3,0,0,'Données projet'!$E$13+1,1))-AVERAGE(OFFSET($H$3,0,0,'Données projet'!$E$13+1,1))</f>
        <v>466.4945858005575</v>
      </c>
      <c r="CZ14" s="62">
        <f t="shared" si="42"/>
        <v>294.45557293177131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2.84</v>
      </c>
      <c r="DO14" s="13">
        <f>IF('Données projet'!$A$166&gt;35,DO13+DN14-DW13,IF(A14&lt;'Données projet'!$A$166,$DL$205^A14,IF(A14='Données projet'!$A$166,'Données projet'!$B$166,DO13+DN14-DW13)))</f>
        <v>6.5245967197614414</v>
      </c>
      <c r="DP14" s="18">
        <f>DO14*VLOOKUP('Données projet'!$B$14,Paramètres!$A$1:$I$89,3,0)*VLOOKUP('Données projet'!$B$14,Paramètres!$A$1:$I$89,5,0)</f>
        <v>6.2088062385249874</v>
      </c>
      <c r="DQ14" s="14">
        <f t="shared" si="43"/>
        <v>2.3134175614273764</v>
      </c>
      <c r="DR14" s="22">
        <f t="shared" si="16"/>
        <v>14.842873118250367</v>
      </c>
      <c r="DS14" s="62">
        <f t="shared" si="17"/>
        <v>284.95398422936148</v>
      </c>
      <c r="DT14" s="62">
        <f ca="1">AVERAGE(OFFSET($DS$3,0,0,'Données projet'!$E$14+1,1))-AVERAGE(OFFSET($H$3,0,0,'Données projet'!$E$14+1,1))</f>
        <v>404.20764079465965</v>
      </c>
      <c r="DU14" s="62">
        <f t="shared" si="44"/>
        <v>243.23852967152732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439.06700232017681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294.3404009375538</v>
      </c>
      <c r="AN15" s="62">
        <f ca="1">AVERAGE(OFFSET($AM$3,0,0,'Données projet'!$E$10+1,1))-AVERAGE(OFFSET($H$3,0,0,'Données projet'!$E$10+1,1))</f>
        <v>396.92963589781414</v>
      </c>
      <c r="AO15" s="62">
        <f t="shared" si="36"/>
        <v>294.38852181137639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14.919098996724562</v>
      </c>
      <c r="BF15" s="14">
        <f t="shared" si="37"/>
        <v>5.019622097301081</v>
      </c>
      <c r="BG15" s="22">
        <f t="shared" si="7"/>
        <v>34.726605905427995</v>
      </c>
      <c r="BH15" s="62">
        <f t="shared" si="8"/>
        <v>306.05993923876133</v>
      </c>
      <c r="BI15" s="62">
        <f ca="1">AVERAGE(OFFSET($BH$3,0,0,'Données projet'!$E$11+1,1))-AVERAGE(OFFSET($H$3,0,0,'Données projet'!$E$11+1,1))</f>
        <v>288.82868507674738</v>
      </c>
      <c r="BJ15" s="62">
        <f t="shared" si="38"/>
        <v>283.48738729114024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10.163529411764706</v>
      </c>
      <c r="BY15" s="13">
        <f>IF('Données projet'!$A$114&gt;35,BY14+BX15-CG14,IF(A15&lt;'Données projet'!$A$114,$BV$205^A15,IF(A15='Données projet'!$A$114,'Données projet'!$B$114,BY14+BX15-CG14)))</f>
        <v>37.967076299782079</v>
      </c>
      <c r="BZ15" s="14">
        <f>BY15*VLOOKUP('Données projet'!$B$12,Paramètres!$A$1:$I$89,3,0)*VLOOKUP('Données projet'!$B$12,Paramètres!$A$1:$I$89,5,0)</f>
        <v>21.223595651578183</v>
      </c>
      <c r="CA15" s="14">
        <f t="shared" si="39"/>
        <v>6.8537664384614088</v>
      </c>
      <c r="CB15" s="22">
        <f t="shared" si="10"/>
        <v>48.901405640152291</v>
      </c>
      <c r="CC15" s="62">
        <f t="shared" si="11"/>
        <v>320.23473897348561</v>
      </c>
      <c r="CD15" s="62">
        <f ca="1">AVERAGE(OFFSET($CC$3,0,0,'Données projet'!$E$12+1,1))-AVERAGE(OFFSET($H$3,0,0,'Données projet'!$E$12+1,1))</f>
        <v>405.09126081846171</v>
      </c>
      <c r="CE15" s="62">
        <f t="shared" si="40"/>
        <v>534.22295841722166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12.69141378638699</v>
      </c>
      <c r="CV15" s="14">
        <f t="shared" si="41"/>
        <v>4.3512446702837533</v>
      </c>
      <c r="CW15" s="22">
        <f t="shared" si="13"/>
        <v>29.682630145368211</v>
      </c>
      <c r="CX15" s="62">
        <f t="shared" si="14"/>
        <v>301.01596347870151</v>
      </c>
      <c r="CY15" s="62">
        <f ca="1">AVERAGE(OFFSET($CX$3,0,0,'Données projet'!$E$13+1,1))-AVERAGE(OFFSET($H$3,0,0,'Données projet'!$E$13+1,1))</f>
        <v>466.4945858005575</v>
      </c>
      <c r="CZ15" s="62">
        <f t="shared" si="42"/>
        <v>294.45557293177131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2.84</v>
      </c>
      <c r="DO15" s="13">
        <f>IF('Données projet'!$A$166&gt;35,DO14+DN15-DW14,IF(A15&lt;'Données projet'!$A$166,$DL$205^A15,IF(A15='Données projet'!$A$166,'Données projet'!$B$166,DO14+DN15-DW14)))</f>
        <v>7.7375596019531026</v>
      </c>
      <c r="DP15" s="18">
        <f>DO15*VLOOKUP('Données projet'!$B$14,Paramètres!$A$1:$I$89,3,0)*VLOOKUP('Données projet'!$B$14,Paramètres!$A$1:$I$89,5,0)</f>
        <v>7.3630617172185726</v>
      </c>
      <c r="DQ15" s="14">
        <f t="shared" si="43"/>
        <v>2.6895827030460873</v>
      </c>
      <c r="DR15" s="22">
        <f t="shared" si="16"/>
        <v>17.508355698627614</v>
      </c>
      <c r="DS15" s="62">
        <f t="shared" si="17"/>
        <v>288.84168903196093</v>
      </c>
      <c r="DT15" s="62">
        <f ca="1">AVERAGE(OFFSET($DS$3,0,0,'Données projet'!$E$14+1,1))-AVERAGE(OFFSET($H$3,0,0,'Données projet'!$E$14+1,1))</f>
        <v>404.20764079465965</v>
      </c>
      <c r="DU15" s="62">
        <f t="shared" si="44"/>
        <v>243.23852967152732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439.06700232017681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301.9651025183199</v>
      </c>
      <c r="AN16" s="62">
        <f ca="1">AVERAGE(OFFSET($AM$3,0,0,'Données projet'!$E$10+1,1))-AVERAGE(OFFSET($H$3,0,0,'Données projet'!$E$10+1,1))</f>
        <v>396.92963589781414</v>
      </c>
      <c r="AO16" s="62">
        <f t="shared" si="36"/>
        <v>294.38852181137639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19.078604061215994</v>
      </c>
      <c r="BF16" s="14">
        <f t="shared" si="37"/>
        <v>6.2379664748280286</v>
      </c>
      <c r="BG16" s="22">
        <f t="shared" si="7"/>
        <v>44.093027016943331</v>
      </c>
      <c r="BH16" s="62">
        <f t="shared" si="8"/>
        <v>316.64858257249887</v>
      </c>
      <c r="BI16" s="62">
        <f ca="1">AVERAGE(OFFSET($BH$3,0,0,'Données projet'!$E$11+1,1))-AVERAGE(OFFSET($H$3,0,0,'Données projet'!$E$11+1,1))</f>
        <v>288.82868507674738</v>
      </c>
      <c r="BJ16" s="62">
        <f t="shared" si="38"/>
        <v>283.48738729114024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10.163529411764706</v>
      </c>
      <c r="BY16" s="13">
        <f>IF('Données projet'!$A$114&gt;35,BY15+BX16-CG15,IF(A16&lt;'Données projet'!$A$114,$BV$205^A16,IF(A16='Données projet'!$A$114,'Données projet'!$B$114,BY15+BX16-CG15)))</f>
        <v>51.40725542326031</v>
      </c>
      <c r="BZ16" s="14">
        <f>BY16*VLOOKUP('Données projet'!$B$12,Paramètres!$A$1:$I$89,3,0)*VLOOKUP('Données projet'!$B$12,Paramètres!$A$1:$I$89,5,0)</f>
        <v>28.736655781602511</v>
      </c>
      <c r="CA16" s="14">
        <f t="shared" si="39"/>
        <v>8.9583146830098084</v>
      </c>
      <c r="CB16" s="22">
        <f t="shared" si="10"/>
        <v>65.652073559199778</v>
      </c>
      <c r="CC16" s="62">
        <f t="shared" si="11"/>
        <v>338.20762911475532</v>
      </c>
      <c r="CD16" s="62">
        <f ca="1">AVERAGE(OFFSET($CC$3,0,0,'Données projet'!$E$12+1,1))-AVERAGE(OFFSET($H$3,0,0,'Données projet'!$E$12+1,1))</f>
        <v>405.09126081846171</v>
      </c>
      <c r="CE16" s="62">
        <f t="shared" si="40"/>
        <v>534.22295841722166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15.728095841377899</v>
      </c>
      <c r="CV16" s="14">
        <f t="shared" si="41"/>
        <v>5.2593867546400634</v>
      </c>
      <c r="CW16" s="22">
        <f t="shared" si="13"/>
        <v>36.553198854731285</v>
      </c>
      <c r="CX16" s="62">
        <f t="shared" si="14"/>
        <v>309.10875441028685</v>
      </c>
      <c r="CY16" s="62">
        <f ca="1">AVERAGE(OFFSET($CX$3,0,0,'Données projet'!$E$13+1,1))-AVERAGE(OFFSET($H$3,0,0,'Données projet'!$E$13+1,1))</f>
        <v>466.4945858005575</v>
      </c>
      <c r="CZ16" s="62">
        <f t="shared" si="42"/>
        <v>294.45557293177131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2.84</v>
      </c>
      <c r="DO16" s="13">
        <f>IF('Données projet'!$A$166&gt;35,DO15+DN16-DW15,IF(A16&lt;'Données projet'!$A$166,$DL$205^A16,IF(A16='Données projet'!$A$166,'Données projet'!$B$166,DO15+DN16-DW15)))</f>
        <v>9.1760197856283234</v>
      </c>
      <c r="DP16" s="18">
        <f>DO16*VLOOKUP('Données projet'!$B$14,Paramètres!$A$1:$I$89,3,0)*VLOOKUP('Données projet'!$B$14,Paramètres!$A$1:$I$89,5,0)</f>
        <v>8.7319004280039128</v>
      </c>
      <c r="DQ16" s="14">
        <f t="shared" si="43"/>
        <v>3.1269128570379721</v>
      </c>
      <c r="DR16" s="22">
        <f t="shared" si="16"/>
        <v>20.654099804781278</v>
      </c>
      <c r="DS16" s="62">
        <f t="shared" si="17"/>
        <v>293.2096553603368</v>
      </c>
      <c r="DT16" s="62">
        <f ca="1">AVERAGE(OFFSET($DS$3,0,0,'Données projet'!$E$14+1,1))-AVERAGE(OFFSET($H$3,0,0,'Données projet'!$E$14+1,1))</f>
        <v>404.20764079465965</v>
      </c>
      <c r="DU16" s="62">
        <f t="shared" si="44"/>
        <v>243.23852967152732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439.06700232017681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311.37771528134829</v>
      </c>
      <c r="AN17" s="62">
        <f ca="1">AVERAGE(OFFSET($AM$3,0,0,'Données projet'!$E$10+1,1))-AVERAGE(OFFSET($H$3,0,0,'Données projet'!$E$10+1,1))</f>
        <v>396.92963589781414</v>
      </c>
      <c r="AO17" s="62">
        <f t="shared" si="36"/>
        <v>294.38852181137639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24.397795939591308</v>
      </c>
      <c r="BF17" s="14">
        <f t="shared" si="37"/>
        <v>7.75202295846145</v>
      </c>
      <c r="BG17" s="22">
        <f t="shared" si="7"/>
        <v>55.994267914108548</v>
      </c>
      <c r="BH17" s="62">
        <f t="shared" si="8"/>
        <v>329.77204569188632</v>
      </c>
      <c r="BI17" s="62">
        <f ca="1">AVERAGE(OFFSET($BH$3,0,0,'Données projet'!$E$11+1,1))-AVERAGE(OFFSET($H$3,0,0,'Données projet'!$E$11+1,1))</f>
        <v>288.82868507674738</v>
      </c>
      <c r="BJ17" s="62">
        <f t="shared" si="38"/>
        <v>283.48738729114024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10.163529411764706</v>
      </c>
      <c r="BY17" s="13">
        <f>IF('Données projet'!$A$114&gt;35,BY16+BX17-CG16,IF(A17&lt;'Données projet'!$A$114,$BV$205^A17,IF(A17='Données projet'!$A$114,'Données projet'!$B$114,BY16+BX17-CG16)))</f>
        <v>69.605199233302443</v>
      </c>
      <c r="BZ17" s="14">
        <f>BY17*VLOOKUP('Données projet'!$B$12,Paramètres!$A$1:$I$89,3,0)*VLOOKUP('Données projet'!$B$12,Paramètres!$A$1:$I$89,5,0)</f>
        <v>38.909306371416065</v>
      </c>
      <c r="CA17" s="14">
        <f t="shared" si="39"/>
        <v>11.709094945150285</v>
      </c>
      <c r="CB17" s="22">
        <f t="shared" si="10"/>
        <v>88.160382293019723</v>
      </c>
      <c r="CC17" s="62">
        <f t="shared" si="11"/>
        <v>361.93816007079749</v>
      </c>
      <c r="CD17" s="62">
        <f ca="1">AVERAGE(OFFSET($CC$3,0,0,'Données projet'!$E$12+1,1))-AVERAGE(OFFSET($H$3,0,0,'Données projet'!$E$12+1,1))</f>
        <v>405.09126081846171</v>
      </c>
      <c r="CE17" s="62">
        <f t="shared" si="40"/>
        <v>534.22295841722166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19.491366601009023</v>
      </c>
      <c r="CV17" s="14">
        <f t="shared" si="41"/>
        <v>6.3570658813537859</v>
      </c>
      <c r="CW17" s="22">
        <f t="shared" si="13"/>
        <v>45.01935324011523</v>
      </c>
      <c r="CX17" s="62">
        <f t="shared" si="14"/>
        <v>318.79713101789298</v>
      </c>
      <c r="CY17" s="62">
        <f ca="1">AVERAGE(OFFSET($CX$3,0,0,'Données projet'!$E$13+1,1))-AVERAGE(OFFSET($H$3,0,0,'Données projet'!$E$13+1,1))</f>
        <v>466.4945858005575</v>
      </c>
      <c r="CZ17" s="62">
        <f t="shared" si="42"/>
        <v>294.45557293177131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2.84</v>
      </c>
      <c r="DO17" s="13">
        <f>IF('Données projet'!$A$166&gt;35,DO16+DN17-DW16,IF(A17&lt;'Données projet'!$A$166,$DL$205^A17,IF(A17='Données projet'!$A$166,'Données projet'!$B$166,DO16+DN17-DW16)))</f>
        <v>10.881898613742376</v>
      </c>
      <c r="DP17" s="18">
        <f>DO17*VLOOKUP('Données projet'!$B$14,Paramètres!$A$1:$I$89,3,0)*VLOOKUP('Données projet'!$B$14,Paramètres!$A$1:$I$89,5,0)</f>
        <v>10.355214720837244</v>
      </c>
      <c r="DQ17" s="14">
        <f t="shared" si="43"/>
        <v>3.6353535455279977</v>
      </c>
      <c r="DR17" s="22">
        <f t="shared" si="16"/>
        <v>24.366906397252794</v>
      </c>
      <c r="DS17" s="62">
        <f t="shared" si="17"/>
        <v>298.14468417503059</v>
      </c>
      <c r="DT17" s="62">
        <f ca="1">AVERAGE(OFFSET($DS$3,0,0,'Données projet'!$E$14+1,1))-AVERAGE(OFFSET($H$3,0,0,'Données projet'!$E$14+1,1))</f>
        <v>404.20764079465965</v>
      </c>
      <c r="DU17" s="62">
        <f t="shared" si="44"/>
        <v>243.23852967152732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439.06700232017681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323.07912961223798</v>
      </c>
      <c r="AN18" s="62">
        <f ca="1">AVERAGE(OFFSET($AM$3,0,0,'Données projet'!$E$10+1,1))-AVERAGE(OFFSET($H$3,0,0,'Données projet'!$E$10+1,1))</f>
        <v>396.92963589781414</v>
      </c>
      <c r="AO18" s="62">
        <f t="shared" si="36"/>
        <v>294.38852181137639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31.200000000000003</v>
      </c>
      <c r="BF18" s="14">
        <f t="shared" si="37"/>
        <v>9.6335657126419925</v>
      </c>
      <c r="BG18" s="22">
        <f t="shared" si="7"/>
        <v>71.118460282851473</v>
      </c>
      <c r="BH18" s="62">
        <f t="shared" si="8"/>
        <v>346.11846028285146</v>
      </c>
      <c r="BI18" s="62">
        <f ca="1">AVERAGE(OFFSET($BH$3,0,0,'Données projet'!$E$11+1,1))-AVERAGE(OFFSET($H$3,0,0,'Données projet'!$E$11+1,1))</f>
        <v>288.82868507674738</v>
      </c>
      <c r="BJ18" s="62">
        <f t="shared" si="38"/>
        <v>283.48738729114024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10.163529411764706</v>
      </c>
      <c r="BY18" s="13">
        <f>IF('Données projet'!$A$114&gt;35,BY17+BX18-CG17,IF(A18&lt;'Données projet'!$A$114,$BV$205^A18,IF(A18='Données projet'!$A$114,'Données projet'!$B$114,BY17+BX18-CG17)))</f>
        <v>94.245135641214503</v>
      </c>
      <c r="BZ18" s="14">
        <f>BY18*VLOOKUP('Données projet'!$B$12,Paramètres!$A$1:$I$89,3,0)*VLOOKUP('Données projet'!$B$12,Paramètres!$A$1:$I$89,5,0)</f>
        <v>52.683030823438912</v>
      </c>
      <c r="CA18" s="14">
        <f t="shared" si="39"/>
        <v>15.304542124934633</v>
      </c>
      <c r="CB18" s="22">
        <f t="shared" si="10"/>
        <v>118.41168955175056</v>
      </c>
      <c r="CC18" s="62">
        <f t="shared" si="11"/>
        <v>393.41168955175056</v>
      </c>
      <c r="CD18" s="62">
        <f ca="1">AVERAGE(OFFSET($CC$3,0,0,'Données projet'!$E$12+1,1))-AVERAGE(OFFSET($H$3,0,0,'Données projet'!$E$12+1,1))</f>
        <v>405.09126081846171</v>
      </c>
      <c r="CE18" s="62">
        <f t="shared" si="40"/>
        <v>534.22295841722166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24.155077372776663</v>
      </c>
      <c r="CV18" s="14">
        <f t="shared" si="41"/>
        <v>7.6838400568695304</v>
      </c>
      <c r="CW18" s="22">
        <f t="shared" si="13"/>
        <v>55.452781189967119</v>
      </c>
      <c r="CX18" s="62">
        <f t="shared" si="14"/>
        <v>330.45278118996714</v>
      </c>
      <c r="CY18" s="62">
        <f ca="1">AVERAGE(OFFSET($CX$3,0,0,'Données projet'!$E$13+1,1))-AVERAGE(OFFSET($H$3,0,0,'Données projet'!$E$13+1,1))</f>
        <v>466.4945858005575</v>
      </c>
      <c r="CZ18" s="62">
        <f t="shared" si="42"/>
        <v>294.45557293177131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2.84</v>
      </c>
      <c r="DO18" s="13">
        <f>IF('Données projet'!$A$166&gt;35,DO17+DN18-DW17,IF(A18&lt;'Données projet'!$A$166,$DL$205^A18,IF(A18='Données projet'!$A$166,'Données projet'!$B$166,DO17+DN18-DW17)))</f>
        <v>12.904910866172436</v>
      </c>
      <c r="DP18" s="18">
        <f>DO18*VLOOKUP('Données projet'!$B$14,Paramètres!$A$1:$I$89,3,0)*VLOOKUP('Données projet'!$B$14,Paramètres!$A$1:$I$89,5,0)</f>
        <v>12.28031318024969</v>
      </c>
      <c r="DQ18" s="14">
        <f t="shared" si="43"/>
        <v>4.2264674473537802</v>
      </c>
      <c r="DR18" s="22">
        <f t="shared" si="16"/>
        <v>28.749309593076038</v>
      </c>
      <c r="DS18" s="62">
        <f t="shared" si="17"/>
        <v>303.74930959307602</v>
      </c>
      <c r="DT18" s="62">
        <f ca="1">AVERAGE(OFFSET($DS$3,0,0,'Données projet'!$E$14+1,1))-AVERAGE(OFFSET($H$3,0,0,'Données projet'!$E$14+1,1))</f>
        <v>404.20764079465965</v>
      </c>
      <c r="DU18" s="62">
        <f t="shared" si="44"/>
        <v>243.23852967152732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439.06700232017681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337.71097882304434</v>
      </c>
      <c r="AN19" s="62">
        <f ca="1">AVERAGE(OFFSET($AM$3,0,0,'Données projet'!$E$10+1,1))-AVERAGE(OFFSET($H$3,0,0,'Données projet'!$E$10+1,1))</f>
        <v>396.92963589781414</v>
      </c>
      <c r="AO19" s="62">
        <f t="shared" si="36"/>
        <v>294.38852181137639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46.6</v>
      </c>
      <c r="BE19" s="14">
        <f>BD19*VLOOKUP('Données projet'!$B$11,Paramètres!$A$1:$I$89,3,0)*VLOOKUP('Données projet'!$B$11,Paramètres!$A$1:$I$89,5,0)</f>
        <v>36.347999999999999</v>
      </c>
      <c r="BF19" s="14">
        <f t="shared" si="37"/>
        <v>11.025356771848859</v>
      </c>
      <c r="BG19" s="22">
        <f t="shared" si="7"/>
        <v>82.508596377636763</v>
      </c>
      <c r="BH19" s="62">
        <f t="shared" si="8"/>
        <v>358.73081859985899</v>
      </c>
      <c r="BI19" s="62">
        <f ca="1">AVERAGE(OFFSET($BH$3,0,0,'Données projet'!$E$11+1,1))-AVERAGE(OFFSET($H$3,0,0,'Données projet'!$E$11+1,1))</f>
        <v>288.82868507674738</v>
      </c>
      <c r="BJ19" s="62">
        <f t="shared" si="38"/>
        <v>283.48738729114024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10.163529411764706</v>
      </c>
      <c r="BY19" s="13">
        <f>IF('Données projet'!$A$114&gt;35,BY18+BX19-CG18,IF(A19&lt;'Données projet'!$A$114,$BV$205^A19,IF(A19='Données projet'!$A$114,'Données projet'!$B$114,BY18+BX19-CG18)))</f>
        <v>127.60750188013651</v>
      </c>
      <c r="BZ19" s="14">
        <f>BY19*VLOOKUP('Données projet'!$B$12,Paramètres!$A$1:$I$89,3,0)*VLOOKUP('Données projet'!$B$12,Paramètres!$A$1:$I$89,5,0)</f>
        <v>71.332593550996307</v>
      </c>
      <c r="CA19" s="14">
        <f t="shared" si="39"/>
        <v>20.004023432307392</v>
      </c>
      <c r="CB19" s="22">
        <f t="shared" si="10"/>
        <v>159.07794124592061</v>
      </c>
      <c r="CC19" s="62">
        <f t="shared" si="11"/>
        <v>435.30016346814284</v>
      </c>
      <c r="CD19" s="62">
        <f ca="1">AVERAGE(OFFSET($CC$3,0,0,'Données projet'!$E$12+1,1))-AVERAGE(OFFSET($H$3,0,0,'Données projet'!$E$12+1,1))</f>
        <v>405.09126081846171</v>
      </c>
      <c r="CE19" s="62">
        <f t="shared" si="40"/>
        <v>534.22295841722166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29.934676968962361</v>
      </c>
      <c r="CV19" s="14">
        <f t="shared" si="41"/>
        <v>9.2875233828754098</v>
      </c>
      <c r="CW19" s="22">
        <f t="shared" si="13"/>
        <v>68.311998946117441</v>
      </c>
      <c r="CX19" s="62">
        <f t="shared" si="14"/>
        <v>344.53422116833968</v>
      </c>
      <c r="CY19" s="62">
        <f ca="1">AVERAGE(OFFSET($CX$3,0,0,'Données projet'!$E$13+1,1))-AVERAGE(OFFSET($H$3,0,0,'Données projet'!$E$13+1,1))</f>
        <v>466.4945858005575</v>
      </c>
      <c r="CZ19" s="62">
        <f t="shared" si="42"/>
        <v>294.45557293177131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2.84</v>
      </c>
      <c r="DO19" s="13">
        <f>IF('Données projet'!$A$166&gt;35,DO18+DN19-DW18,IF(A19&lt;'Données projet'!$A$166,$DL$205^A19,IF(A19='Données projet'!$A$166,'Données projet'!$B$166,DO18+DN19-DW18)))</f>
        <v>15.304013607840634</v>
      </c>
      <c r="DP19" s="18">
        <f>DO19*VLOOKUP('Données projet'!$B$14,Paramètres!$A$1:$I$89,3,0)*VLOOKUP('Données projet'!$B$14,Paramètres!$A$1:$I$89,5,0)</f>
        <v>14.563299349221147</v>
      </c>
      <c r="DQ19" s="14">
        <f t="shared" si="43"/>
        <v>4.9136973501560082</v>
      </c>
      <c r="DR19" s="22">
        <f t="shared" si="16"/>
        <v>33.922435918081874</v>
      </c>
      <c r="DS19" s="62">
        <f t="shared" si="17"/>
        <v>310.1446581403041</v>
      </c>
      <c r="DT19" s="62">
        <f ca="1">AVERAGE(OFFSET($DS$3,0,0,'Données projet'!$E$14+1,1))-AVERAGE(OFFSET($H$3,0,0,'Données projet'!$E$14+1,1))</f>
        <v>404.20764079465965</v>
      </c>
      <c r="DU19" s="62">
        <f t="shared" si="44"/>
        <v>243.23852967152732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439.06700232017681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356.09529321188012</v>
      </c>
      <c r="AN20" s="62">
        <f ca="1">AVERAGE(OFFSET($AM$3,0,0,'Données projet'!$E$10+1,1))-AVERAGE(OFFSET($H$3,0,0,'Données projet'!$E$10+1,1))</f>
        <v>396.92963589781414</v>
      </c>
      <c r="AO20" s="62">
        <f t="shared" si="36"/>
        <v>294.38852181137639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56.2</v>
      </c>
      <c r="BE20" s="14">
        <f>BD20*VLOOKUP('Données projet'!$B$11,Paramètres!$A$1:$I$89,3,0)*VLOOKUP('Données projet'!$B$11,Paramètres!$A$1:$I$89,5,0)</f>
        <v>43.836000000000006</v>
      </c>
      <c r="BF20" s="14">
        <f t="shared" si="37"/>
        <v>13.009897179721728</v>
      </c>
      <c r="BG20" s="22">
        <f t="shared" si="7"/>
        <v>99.006604254682017</v>
      </c>
      <c r="BH20" s="62">
        <f t="shared" si="8"/>
        <v>376.45104869912649</v>
      </c>
      <c r="BI20" s="62">
        <f ca="1">AVERAGE(OFFSET($BH$3,0,0,'Données projet'!$E$11+1,1))-AVERAGE(OFFSET($H$3,0,0,'Données projet'!$E$11+1,1))</f>
        <v>288.82868507674738</v>
      </c>
      <c r="BJ20" s="62">
        <f t="shared" si="38"/>
        <v>283.48738729114024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172.78</v>
      </c>
      <c r="BW20" s="13">
        <f>VLOOKUP(A20,'Données projet'!$A$113:$I$133,9,0)</f>
        <v>10.163529411764706</v>
      </c>
      <c r="BX20" s="13">
        <f t="array" ref="BX20">INDEX(BW:BW,MIN(IF(ISNUMBER(BW20:BW216),ROW(BW20:BW216),"")))</f>
        <v>10.163529411764706</v>
      </c>
      <c r="BY20" s="13">
        <f>IF('Données projet'!$A$114&gt;35,BY19+BX20-CG19,IF(A20&lt;'Données projet'!$A$114,$BV$205^A20,IF(A20='Données projet'!$A$114,'Données projet'!$B$114,BY19+BX20-CG19)))</f>
        <v>172.78</v>
      </c>
      <c r="BZ20" s="14">
        <f>BY20*VLOOKUP('Données projet'!$B$12,Paramètres!$A$1:$I$89,3,0)*VLOOKUP('Données projet'!$B$12,Paramètres!$A$1:$I$89,5,0)</f>
        <v>96.58402000000001</v>
      </c>
      <c r="CA20" s="14">
        <f t="shared" si="39"/>
        <v>26.146548535310259</v>
      </c>
      <c r="CB20" s="22">
        <f t="shared" si="10"/>
        <v>213.75574019899872</v>
      </c>
      <c r="CC20" s="62">
        <f t="shared" si="11"/>
        <v>491.20018464344321</v>
      </c>
      <c r="CD20" s="62">
        <f ca="1">AVERAGE(OFFSET($CC$3,0,0,'Données projet'!$E$12+1,1))-AVERAGE(OFFSET($H$3,0,0,'Données projet'!$E$12+1,1))</f>
        <v>405.09126081846171</v>
      </c>
      <c r="CE20" s="62">
        <f t="shared" si="40"/>
        <v>534.22295841722166</v>
      </c>
      <c r="CF20" s="16">
        <f>IF(ISNA(VLOOKUP(A20,'Données projet'!$A$113:$I$133,3,0)),0,VLOOKUP(A20,'Données projet'!$A$113:$I$133,3,0))</f>
        <v>1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37.097164766113913</v>
      </c>
      <c r="CV20" s="14">
        <f t="shared" si="41"/>
        <v>11.225909174194843</v>
      </c>
      <c r="CW20" s="22">
        <f t="shared" si="13"/>
        <v>84.162687112704418</v>
      </c>
      <c r="CX20" s="62">
        <f t="shared" si="14"/>
        <v>361.60713155714888</v>
      </c>
      <c r="CY20" s="62">
        <f ca="1">AVERAGE(OFFSET($CX$3,0,0,'Données projet'!$E$13+1,1))-AVERAGE(OFFSET($H$3,0,0,'Données projet'!$E$13+1,1))</f>
        <v>466.4945858005575</v>
      </c>
      <c r="CZ20" s="62">
        <f t="shared" si="42"/>
        <v>294.45557293177131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2.84</v>
      </c>
      <c r="DO20" s="13">
        <f>IF('Données projet'!$A$166&gt;35,DO19+DN20-DW19,IF(A20&lt;'Données projet'!$A$166,$DL$205^A20,IF(A20='Données projet'!$A$166,'Données projet'!$B$166,DO19+DN20-DW19)))</f>
        <v>18.149124386663679</v>
      </c>
      <c r="DP20" s="18">
        <f>DO20*VLOOKUP('Données projet'!$B$14,Paramètres!$A$1:$I$89,3,0)*VLOOKUP('Données projet'!$B$14,Paramètres!$A$1:$I$89,5,0)</f>
        <v>17.270706766349157</v>
      </c>
      <c r="DQ20" s="14">
        <f t="shared" si="43"/>
        <v>5.7126718588704986</v>
      </c>
      <c r="DR20" s="22">
        <f t="shared" si="16"/>
        <v>40.029384438924232</v>
      </c>
      <c r="DS20" s="62">
        <f t="shared" si="17"/>
        <v>317.4738288833687</v>
      </c>
      <c r="DT20" s="62">
        <f ca="1">AVERAGE(OFFSET($DS$3,0,0,'Données projet'!$E$14+1,1))-AVERAGE(OFFSET($H$3,0,0,'Données projet'!$E$14+1,1))</f>
        <v>404.20764079465965</v>
      </c>
      <c r="DU20" s="62">
        <f t="shared" si="44"/>
        <v>243.23852967152732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439.06700232017681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379.28535416224724</v>
      </c>
      <c r="AN21" s="62">
        <f ca="1">AVERAGE(OFFSET($AM$3,0,0,'Données projet'!$E$10+1,1))-AVERAGE(OFFSET($H$3,0,0,'Données projet'!$E$10+1,1))</f>
        <v>396.92963589781414</v>
      </c>
      <c r="AO21" s="62">
        <f t="shared" si="36"/>
        <v>294.38852181137639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65.8</v>
      </c>
      <c r="BE21" s="14">
        <f>BD21*VLOOKUP('Données projet'!$B$11,Paramètres!$A$1:$I$89,3,0)*VLOOKUP('Données projet'!$B$11,Paramètres!$A$1:$I$89,5,0)</f>
        <v>51.323999999999998</v>
      </c>
      <c r="BF21" s="14">
        <f t="shared" si="37"/>
        <v>14.95516659950003</v>
      </c>
      <c r="BG21" s="22">
        <f t="shared" si="7"/>
        <v>115.43621516079588</v>
      </c>
      <c r="BH21" s="62">
        <f t="shared" si="8"/>
        <v>394.10288182746257</v>
      </c>
      <c r="BI21" s="62">
        <f ca="1">AVERAGE(OFFSET($BH$3,0,0,'Données projet'!$E$11+1,1))-AVERAGE(OFFSET($H$3,0,0,'Données projet'!$E$11+1,1))</f>
        <v>288.82868507674738</v>
      </c>
      <c r="BJ21" s="62">
        <f t="shared" si="38"/>
        <v>283.48738729114024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202.31</v>
      </c>
      <c r="BW21" s="13">
        <f>VLOOKUP(A21,'Données projet'!$A$113:$I$133,9,0)</f>
        <v>29.53</v>
      </c>
      <c r="BX21" s="13">
        <f t="array" ref="BX21">INDEX(BW:BW,MIN(IF(ISNUMBER(BW21:BW217),ROW(BW21:BW217),"")))</f>
        <v>29.53</v>
      </c>
      <c r="BY21" s="13">
        <f>IF('Données projet'!$A$114&gt;35,BY20+BX21-CG20,IF(A21&lt;'Données projet'!$A$114,$BV$205^A21,IF(A21='Données projet'!$A$114,'Données projet'!$B$114,BY20+BX21-CG20)))</f>
        <v>202.31</v>
      </c>
      <c r="BZ21" s="14">
        <f>BY21*VLOOKUP('Données projet'!$B$12,Paramètres!$A$1:$I$89,3,0)*VLOOKUP('Données projet'!$B$12,Paramètres!$A$1:$I$89,5,0)</f>
        <v>113.09129000000001</v>
      </c>
      <c r="CA21" s="14">
        <f t="shared" si="39"/>
        <v>30.05813764305373</v>
      </c>
      <c r="CB21" s="22">
        <f t="shared" si="10"/>
        <v>249.31858647831859</v>
      </c>
      <c r="CC21" s="62">
        <f t="shared" si="11"/>
        <v>527.98525314498534</v>
      </c>
      <c r="CD21" s="62">
        <f ca="1">AVERAGE(OFFSET($CC$3,0,0,'Données projet'!$E$12+1,1))-AVERAGE(OFFSET($H$3,0,0,'Données projet'!$E$12+1,1))</f>
        <v>405.09126081846171</v>
      </c>
      <c r="CE21" s="62">
        <f t="shared" si="40"/>
        <v>534.22295841722166</v>
      </c>
      <c r="CF21" s="16">
        <f>IF(ISNA(VLOOKUP(A21,'Données projet'!$A$113:$I$133,3,0)),0,VLOOKUP(A21,'Données projet'!$A$113:$I$133,3,0))</f>
        <v>2</v>
      </c>
      <c r="CG21" s="16">
        <f>IF(ISNA(VLOOKUP(A21,'Données projet'!$A$113:$I$133,4,0)),0,VLOOKUP(A21,'Données projet'!$A$113:$I$133,4,0))</f>
        <v>74.819999999999993</v>
      </c>
      <c r="CH21" s="17">
        <f>IF(ISNA(VLOOKUP(A21,'Données projet'!$A$113:$I$133,5,0)),0%,VLOOKUP(A21,'Données projet'!$A$113:$I$133,5,0)*VLOOKUP('Données projet'!$B$12,Paramètres!$A$1:$I$89,7,0))</f>
        <v>5.5000000000000007E-2</v>
      </c>
      <c r="CI21" s="17">
        <f>IF(ISNA(VLOOKUP(A21,'Données projet'!$A$113:$I$133,6,0)),0%,VLOOKUP(A21,'Données projet'!$A$113:$I$133,6,0)*VLOOKUP('Données projet'!$B$12,Paramètres!$A$1:$I$89,7,0))</f>
        <v>0.22000000000000003</v>
      </c>
      <c r="CJ21" s="17">
        <f>IF(ISNA(VLOOKUP(A21,'Données projet'!$A$113:$I$133,7,0)),0%,VLOOKUP(A21,'Données projet'!$A$113:$I$133,7,0))</f>
        <v>0.5</v>
      </c>
      <c r="CK21" s="23">
        <f>EXP(-LN(2)/35)*CK20+(1-EXP(-LN(2)/35))/(LN(2)/35)*CG21*CH21*VLOOKUP('Données projet'!$B$12,Paramètres!$A$1:$I$89,3,0)*0.475*44/12</f>
        <v>3.0515504733338017</v>
      </c>
      <c r="CL21" s="23">
        <f>EXP(-LN(2)/25)*CL20+(1-EXP(-LN(2)/25))/(LN(2)/25)*Calculateur!CG21*Calculateur!CI21*VLOOKUP('Données projet'!$B$12,Paramètres!$A$1:$I$89,3,0)*0.475*44/12</f>
        <v>12.1581414255536</v>
      </c>
      <c r="CM21" s="23">
        <f>EXP(-LN(2)/2)*CM20+(1-EXP(-LN(2)/2))/(LN(2)/2)*CG21*CJ21*VLOOKUP('Données projet'!$B$12,Paramètres!$A$1:$I$89,3,0)*0.475*44/12</f>
        <v>23.677456930009981</v>
      </c>
      <c r="CN21" s="24">
        <f t="shared" si="12"/>
        <v>38.887148828897381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45.973425238933089</v>
      </c>
      <c r="CV21" s="14">
        <f t="shared" si="41"/>
        <v>13.56885270616201</v>
      </c>
      <c r="CW21" s="22">
        <f t="shared" si="13"/>
        <v>103.70280075437397</v>
      </c>
      <c r="CX21" s="62">
        <f t="shared" si="14"/>
        <v>382.36946742104067</v>
      </c>
      <c r="CY21" s="62">
        <f ca="1">AVERAGE(OFFSET($CX$3,0,0,'Données projet'!$E$13+1,1))-AVERAGE(OFFSET($H$3,0,0,'Données projet'!$E$13+1,1))</f>
        <v>466.4945858005575</v>
      </c>
      <c r="CZ21" s="62">
        <f t="shared" si="42"/>
        <v>294.45557293177131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2.84</v>
      </c>
      <c r="DO21" s="13">
        <f>IF('Données projet'!$A$166&gt;35,DO20+DN21-DW20,IF(A21&lt;'Données projet'!$A$166,$DL$205^A21,IF(A21='Données projet'!$A$166,'Données projet'!$B$166,DO20+DN21-DW20)))</f>
        <v>21.523158855127722</v>
      </c>
      <c r="DP21" s="18">
        <f>DO21*VLOOKUP('Données projet'!$B$14,Paramètres!$A$1:$I$89,3,0)*VLOOKUP('Données projet'!$B$14,Paramètres!$A$1:$I$89,5,0)</f>
        <v>20.481437966539538</v>
      </c>
      <c r="DQ21" s="14">
        <f t="shared" si="43"/>
        <v>6.6415608128764356</v>
      </c>
      <c r="DR21" s="22">
        <f t="shared" si="16"/>
        <v>47.239222874149483</v>
      </c>
      <c r="DS21" s="62">
        <f t="shared" si="17"/>
        <v>325.90588954081619</v>
      </c>
      <c r="DT21" s="62">
        <f ca="1">AVERAGE(OFFSET($DS$3,0,0,'Données projet'!$E$14+1,1))-AVERAGE(OFFSET($H$3,0,0,'Données projet'!$E$14+1,1))</f>
        <v>404.20764079465965</v>
      </c>
      <c r="DU21" s="62">
        <f t="shared" si="44"/>
        <v>243.23852967152732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439.06700232017681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408.63091873093396</v>
      </c>
      <c r="AN22" s="62">
        <f ca="1">AVERAGE(OFFSET($AM$3,0,0,'Données projet'!$E$10+1,1))-AVERAGE(OFFSET($H$3,0,0,'Données projet'!$E$10+1,1))</f>
        <v>396.92963589781414</v>
      </c>
      <c r="AO22" s="62">
        <f t="shared" si="36"/>
        <v>294.38852181137639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75.399999999999991</v>
      </c>
      <c r="BE22" s="14">
        <f>BD22*VLOOKUP('Données projet'!$B$11,Paramètres!$A$1:$I$89,3,0)*VLOOKUP('Données projet'!$B$11,Paramètres!$A$1:$I$89,5,0)</f>
        <v>58.811999999999998</v>
      </c>
      <c r="BF22" s="14">
        <f t="shared" si="37"/>
        <v>16.86755663452599</v>
      </c>
      <c r="BG22" s="22">
        <f t="shared" si="7"/>
        <v>131.8085611384661</v>
      </c>
      <c r="BH22" s="62">
        <f t="shared" si="8"/>
        <v>411.69745002735499</v>
      </c>
      <c r="BI22" s="62">
        <f ca="1">AVERAGE(OFFSET($BH$3,0,0,'Données projet'!$E$11+1,1))-AVERAGE(OFFSET($H$3,0,0,'Données projet'!$E$11+1,1))</f>
        <v>288.82868507674738</v>
      </c>
      <c r="BJ22" s="62">
        <f t="shared" si="38"/>
        <v>283.48738729114024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>
        <f>VLOOKUP(A22,'Données projet'!$A$113:$I$133,2,0)</f>
        <v>150.35</v>
      </c>
      <c r="BW22" s="13">
        <f>VLOOKUP(A22,'Données projet'!$A$113:$I$133,9,0)</f>
        <v>22.859999999999985</v>
      </c>
      <c r="BX22" s="13">
        <f t="array" ref="BX22">INDEX(BW:BW,MIN(IF(ISNUMBER(BW22:BW218),ROW(BW22:BW218),"")))</f>
        <v>22.859999999999985</v>
      </c>
      <c r="BY22" s="13">
        <f>IF('Données projet'!$A$114&gt;35,BY21+BX22-CG21,IF(A22&lt;'Données projet'!$A$114,$BV$205^A22,IF(A22='Données projet'!$A$114,'Données projet'!$B$114,BY21+BX22-CG21)))</f>
        <v>150.35</v>
      </c>
      <c r="BZ22" s="14">
        <f>BY22*VLOOKUP('Données projet'!$B$12,Paramètres!$A$1:$I$89,3,0)*VLOOKUP('Données projet'!$B$12,Paramètres!$A$1:$I$89,5,0)</f>
        <v>84.045649999999995</v>
      </c>
      <c r="CA22" s="14">
        <f t="shared" si="39"/>
        <v>23.123508581543572</v>
      </c>
      <c r="CB22" s="22">
        <f t="shared" si="10"/>
        <v>186.65295119618835</v>
      </c>
      <c r="CC22" s="62">
        <f t="shared" si="11"/>
        <v>466.54184008507718</v>
      </c>
      <c r="CD22" s="62">
        <f ca="1">AVERAGE(OFFSET($CC$3,0,0,'Données projet'!$E$12+1,1))-AVERAGE(OFFSET($H$3,0,0,'Données projet'!$E$12+1,1))</f>
        <v>405.09126081846171</v>
      </c>
      <c r="CE22" s="62">
        <f t="shared" si="40"/>
        <v>534.22295841722166</v>
      </c>
      <c r="CF22" s="16">
        <f>IF(ISNA(VLOOKUP(A22,'Données projet'!$A$113:$I$133,3,0)),0,VLOOKUP(A22,'Données projet'!$A$113:$I$133,3,0))</f>
        <v>3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0.22000000000000003</v>
      </c>
      <c r="CI22" s="17">
        <f>IF(ISNA(VLOOKUP(A22,'Données projet'!$A$113:$I$133,6,0)),0%,VLOOKUP(A22,'Données projet'!$A$113:$I$133,6,0)*VLOOKUP('Données projet'!$B$12,Paramètres!$A$1:$I$89,7,0))</f>
        <v>0.16500000000000001</v>
      </c>
      <c r="CJ22" s="17">
        <f>IF(ISNA(VLOOKUP(A22,'Données projet'!$A$113:$I$133,7,0)),0%,VLOOKUP(A22,'Données projet'!$A$113:$I$133,7,0))</f>
        <v>0.3</v>
      </c>
      <c r="CK22" s="23">
        <f>EXP(-LN(2)/35)*CK21+(1-EXP(-LN(2)/35))/(LN(2)/35)*CG22*CH22*VLOOKUP('Données projet'!$B$12,Paramètres!$A$1:$I$89,3,0)*0.475*44/12</f>
        <v>2.9917114298137304</v>
      </c>
      <c r="CL22" s="23">
        <f>EXP(-LN(2)/25)*CL21+(1-EXP(-LN(2)/25))/(LN(2)/25)*Calculateur!CG22*Calculateur!CI22*VLOOKUP('Données projet'!$B$12,Paramètres!$A$1:$I$89,3,0)*0.475*44/12</f>
        <v>11.825676408902966</v>
      </c>
      <c r="CM22" s="23">
        <f>EXP(-LN(2)/2)*CM21+(1-EXP(-LN(2)/2))/(LN(2)/2)*CG22*CJ22*VLOOKUP('Données projet'!$B$12,Paramètres!$A$1:$I$89,3,0)*0.475*44/12</f>
        <v>16.742490356462472</v>
      </c>
      <c r="CN22" s="24">
        <f t="shared" si="12"/>
        <v>31.559878195179166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56.973513785354818</v>
      </c>
      <c r="CV22" s="14">
        <f t="shared" si="41"/>
        <v>16.400788649238766</v>
      </c>
      <c r="CW22" s="22">
        <f t="shared" si="13"/>
        <v>127.7935767402505</v>
      </c>
      <c r="CX22" s="62">
        <f t="shared" si="14"/>
        <v>407.68246562913936</v>
      </c>
      <c r="CY22" s="62">
        <f ca="1">AVERAGE(OFFSET($CX$3,0,0,'Données projet'!$E$13+1,1))-AVERAGE(OFFSET($H$3,0,0,'Données projet'!$E$13+1,1))</f>
        <v>466.4945858005575</v>
      </c>
      <c r="CZ22" s="62">
        <f t="shared" si="42"/>
        <v>294.45557293177131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2.84</v>
      </c>
      <c r="DO22" s="13">
        <f>IF('Données projet'!$A$166&gt;35,DO21+DN22-DW21,IF(A22&lt;'Données projet'!$A$166,$DL$205^A22,IF(A22='Données projet'!$A$166,'Données projet'!$B$166,DO21+DN22-DW21)))</f>
        <v>25.524447198315809</v>
      </c>
      <c r="DP22" s="18">
        <f>DO22*VLOOKUP('Données projet'!$B$14,Paramètres!$A$1:$I$89,3,0)*VLOOKUP('Données projet'!$B$14,Paramètres!$A$1:$I$89,5,0)</f>
        <v>24.289063953917324</v>
      </c>
      <c r="DQ22" s="14">
        <f t="shared" si="43"/>
        <v>7.7214884945023501</v>
      </c>
      <c r="DR22" s="22">
        <f t="shared" si="16"/>
        <v>55.7517121809976</v>
      </c>
      <c r="DS22" s="62">
        <f t="shared" si="17"/>
        <v>335.64060106988643</v>
      </c>
      <c r="DT22" s="62">
        <f ca="1">AVERAGE(OFFSET($DS$3,0,0,'Données projet'!$E$14+1,1))-AVERAGE(OFFSET($H$3,0,0,'Données projet'!$E$14+1,1))</f>
        <v>404.20764079465965</v>
      </c>
      <c r="DU22" s="62">
        <f t="shared" si="44"/>
        <v>243.23852967152732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439.06700232017681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445.86188445423306</v>
      </c>
      <c r="AN23" s="62">
        <f ca="1">AVERAGE(OFFSET($AM$3,0,0,'Données projet'!$E$10+1,1))-AVERAGE(OFFSET($H$3,0,0,'Données projet'!$E$10+1,1))</f>
        <v>396.92963589781414</v>
      </c>
      <c r="AO23" s="62">
        <f t="shared" si="36"/>
        <v>294.38852181137639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85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84.999999999999986</v>
      </c>
      <c r="BE23" s="14">
        <f>BD23*VLOOKUP('Données projet'!$B$11,Paramètres!$A$1:$I$89,3,0)*VLOOKUP('Données projet'!$B$11,Paramètres!$A$1:$I$89,5,0)</f>
        <v>66.3</v>
      </c>
      <c r="BF23" s="14">
        <f t="shared" si="37"/>
        <v>18.751733344032118</v>
      </c>
      <c r="BG23" s="22">
        <f t="shared" si="7"/>
        <v>148.13176890752257</v>
      </c>
      <c r="BH23" s="62">
        <f t="shared" si="8"/>
        <v>429.24288001863374</v>
      </c>
      <c r="BI23" s="62">
        <f ca="1">AVERAGE(OFFSET($BH$3,0,0,'Données projet'!$E$11+1,1))-AVERAGE(OFFSET($H$3,0,0,'Données projet'!$E$11+1,1))</f>
        <v>288.82868507674738</v>
      </c>
      <c r="BJ23" s="62">
        <f t="shared" si="38"/>
        <v>283.48738729114024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27.097500000000004</v>
      </c>
      <c r="BY23" s="13">
        <f>IF('Données projet'!$A$114&gt;35,BY22+BX23-CG22,IF(A23&lt;'Données projet'!$A$114,$BV$205^A23,IF(A23='Données projet'!$A$114,'Données projet'!$B$114,BY22+BX23-CG22)))</f>
        <v>177.44749999999999</v>
      </c>
      <c r="BZ23" s="14">
        <f>BY23*VLOOKUP('Données projet'!$B$12,Paramètres!$A$1:$I$89,3,0)*VLOOKUP('Données projet'!$B$12,Paramètres!$A$1:$I$89,5,0)</f>
        <v>99.193152499999997</v>
      </c>
      <c r="CA23" s="14">
        <f t="shared" si="39"/>
        <v>26.769686721634265</v>
      </c>
      <c r="CB23" s="22">
        <f t="shared" si="10"/>
        <v>219.38527831101297</v>
      </c>
      <c r="CC23" s="62">
        <f t="shared" si="11"/>
        <v>500.49638942212414</v>
      </c>
      <c r="CD23" s="62">
        <f ca="1">AVERAGE(OFFSET($CC$3,0,0,'Données projet'!$E$12+1,1))-AVERAGE(OFFSET($H$3,0,0,'Données projet'!$E$12+1,1))</f>
        <v>405.09126081846171</v>
      </c>
      <c r="CE23" s="62">
        <f t="shared" si="40"/>
        <v>534.22295841722166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2.9330457934388749</v>
      </c>
      <c r="CL23" s="23">
        <f>EXP(-LN(2)/25)*CL22+(1-EXP(-LN(2)/25))/(LN(2)/25)*Calculateur!CG23*Calculateur!CI23*VLOOKUP('Données projet'!$B$12,Paramètres!$A$1:$I$89,3,0)*0.475*44/12</f>
        <v>11.50230266561622</v>
      </c>
      <c r="CM23" s="23">
        <f>EXP(-LN(2)/2)*CM22+(1-EXP(-LN(2)/2))/(LN(2)/2)*CG23*CJ23*VLOOKUP('Données projet'!$B$12,Paramètres!$A$1:$I$89,3,0)*0.475*44/12</f>
        <v>11.838728465004992</v>
      </c>
      <c r="CN23" s="24">
        <f t="shared" si="12"/>
        <v>26.27407692406009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70.605599999999995</v>
      </c>
      <c r="CV23" s="14">
        <f t="shared" si="41"/>
        <v>19.823773913828742</v>
      </c>
      <c r="CW23" s="22">
        <f t="shared" si="13"/>
        <v>157.49782623325171</v>
      </c>
      <c r="CX23" s="62">
        <f t="shared" si="14"/>
        <v>438.60893734436286</v>
      </c>
      <c r="CY23" s="62">
        <f ca="1">AVERAGE(OFFSET($CX$3,0,0,'Données projet'!$E$13+1,1))-AVERAGE(OFFSET($H$3,0,0,'Données projet'!$E$13+1,1))</f>
        <v>466.4945858005575</v>
      </c>
      <c r="CZ23" s="62">
        <f t="shared" si="42"/>
        <v>294.45557293177131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2.84</v>
      </c>
      <c r="DO23" s="13">
        <f>IF('Données projet'!$A$166&gt;35,DO22+DN23-DW22,IF(A23&lt;'Données projet'!$A$166,$DL$205^A23,IF(A23='Données projet'!$A$166,'Données projet'!$B$166,DO22+DN23-DW22)))</f>
        <v>30.269599790850293</v>
      </c>
      <c r="DP23" s="18">
        <f>DO23*VLOOKUP('Données projet'!$B$14,Paramètres!$A$1:$I$89,3,0)*VLOOKUP('Données projet'!$B$14,Paramètres!$A$1:$I$89,5,0)</f>
        <v>28.804551160973141</v>
      </c>
      <c r="DQ23" s="14">
        <f t="shared" si="43"/>
        <v>8.9770140258507016</v>
      </c>
      <c r="DR23" s="22">
        <f t="shared" si="16"/>
        <v>65.802892700384845</v>
      </c>
      <c r="DS23" s="62">
        <f t="shared" si="17"/>
        <v>346.914003811496</v>
      </c>
      <c r="DT23" s="62">
        <f ca="1">AVERAGE(OFFSET($DS$3,0,0,'Données projet'!$E$14+1,1))-AVERAGE(OFFSET($H$3,0,0,'Données projet'!$E$14+1,1))</f>
        <v>404.20764079465965</v>
      </c>
      <c r="DU23" s="62">
        <f t="shared" si="44"/>
        <v>243.23852967152732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439.06700232017681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456.42729018925093</v>
      </c>
      <c r="AN24" s="62">
        <f ca="1">AVERAGE(OFFSET($AM$3,0,0,'Données projet'!$E$10+1,1))-AVERAGE(OFFSET($H$3,0,0,'Données projet'!$E$10+1,1))</f>
        <v>396.92963589781414</v>
      </c>
      <c r="AO24" s="62">
        <f t="shared" si="36"/>
        <v>294.38852181137639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70.59999999999998</v>
      </c>
      <c r="BE24" s="14">
        <f>BD24*VLOOKUP('Données projet'!$B$11,Paramètres!$A$1:$I$89,3,0)*VLOOKUP('Données projet'!$B$11,Paramètres!$A$1:$I$89,5,0)</f>
        <v>55.067999999999984</v>
      </c>
      <c r="BF24" s="14">
        <f t="shared" si="37"/>
        <v>15.915148294580479</v>
      </c>
      <c r="BG24" s="22">
        <f t="shared" si="7"/>
        <v>123.62898327972762</v>
      </c>
      <c r="BH24" s="62">
        <f t="shared" si="8"/>
        <v>405.96231661306092</v>
      </c>
      <c r="BI24" s="62">
        <f ca="1">AVERAGE(OFFSET($BH$3,0,0,'Données projet'!$E$11+1,1))-AVERAGE(OFFSET($H$3,0,0,'Données projet'!$E$11+1,1))</f>
        <v>288.82868507674738</v>
      </c>
      <c r="BJ24" s="62">
        <f t="shared" si="38"/>
        <v>283.48738729114024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27.097500000000004</v>
      </c>
      <c r="BY24" s="13">
        <f>IF('Données projet'!$A$114&gt;35,BY23+BX24-CG23,IF(A24&lt;'Données projet'!$A$114,$BV$205^A24,IF(A24='Données projet'!$A$114,'Données projet'!$B$114,BY23+BX24-CG23)))</f>
        <v>204.54499999999999</v>
      </c>
      <c r="BZ24" s="14">
        <f>BY24*VLOOKUP('Données projet'!$B$12,Paramètres!$A$1:$I$89,3,0)*VLOOKUP('Données projet'!$B$12,Paramètres!$A$1:$I$89,5,0)</f>
        <v>114.340655</v>
      </c>
      <c r="CA24" s="14">
        <f t="shared" si="39"/>
        <v>30.351361817470281</v>
      </c>
      <c r="CB24" s="22">
        <f t="shared" si="10"/>
        <v>252.00526262376073</v>
      </c>
      <c r="CC24" s="62">
        <f t="shared" si="11"/>
        <v>534.33859595709407</v>
      </c>
      <c r="CD24" s="62">
        <f ca="1">AVERAGE(OFFSET($CC$3,0,0,'Données projet'!$E$12+1,1))-AVERAGE(OFFSET($H$3,0,0,'Données projet'!$E$12+1,1))</f>
        <v>405.09126081846171</v>
      </c>
      <c r="CE24" s="62">
        <f t="shared" si="40"/>
        <v>534.22295841722166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2.8755305544108252</v>
      </c>
      <c r="CL24" s="23">
        <f>EXP(-LN(2)/25)*CL23+(1-EXP(-LN(2)/25))/(LN(2)/25)*Calculateur!CG24*Calculateur!CI24*VLOOKUP('Données projet'!$B$12,Paramètres!$A$1:$I$89,3,0)*0.475*44/12</f>
        <v>11.187771594345136</v>
      </c>
      <c r="CM24" s="23">
        <f>EXP(-LN(2)/2)*CM23+(1-EXP(-LN(2)/2))/(LN(2)/2)*CG24*CJ24*VLOOKUP('Données projet'!$B$12,Paramètres!$A$1:$I$89,3,0)*0.475*44/12</f>
        <v>8.3712451782312378</v>
      </c>
      <c r="CN24" s="24">
        <f t="shared" si="12"/>
        <v>22.4345473269872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74.2</v>
      </c>
      <c r="CU24" s="18">
        <f>CT24*VLOOKUP('Données projet'!$B$13,Paramètres!$A$1:$I$89,3,0)*VLOOKUP('Données projet'!$B$13,Paramètres!$A$1:$I$89,5,0)</f>
        <v>71.76624000000001</v>
      </c>
      <c r="CV24" s="14">
        <f t="shared" si="41"/>
        <v>20.111439068025625</v>
      </c>
      <c r="CW24" s="22">
        <f t="shared" si="13"/>
        <v>160.02029104347795</v>
      </c>
      <c r="CX24" s="62">
        <f t="shared" si="14"/>
        <v>442.35362437681124</v>
      </c>
      <c r="CY24" s="62">
        <f ca="1">AVERAGE(OFFSET($CX$3,0,0,'Données projet'!$E$13+1,1))-AVERAGE(OFFSET($H$3,0,0,'Données projet'!$E$13+1,1))</f>
        <v>466.4945858005575</v>
      </c>
      <c r="CZ24" s="62">
        <f t="shared" si="42"/>
        <v>294.45557293177131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2.84</v>
      </c>
      <c r="DO24" s="13">
        <f>IF('Données projet'!$A$166&gt;35,DO23+DN24-DW23,IF(A24&lt;'Données projet'!$A$166,$DL$205^A24,IF(A24='Données projet'!$A$166,'Données projet'!$B$166,DO23+DN24-DW23)))</f>
        <v>35.896905597183761</v>
      </c>
      <c r="DP24" s="18">
        <f>DO24*VLOOKUP('Données projet'!$B$14,Paramètres!$A$1:$I$89,3,0)*VLOOKUP('Données projet'!$B$14,Paramètres!$A$1:$I$89,5,0)</f>
        <v>34.159495366280069</v>
      </c>
      <c r="DQ24" s="14">
        <f t="shared" si="43"/>
        <v>10.436689878861767</v>
      </c>
      <c r="DR24" s="22">
        <f t="shared" si="16"/>
        <v>77.671689301955368</v>
      </c>
      <c r="DS24" s="62">
        <f t="shared" si="17"/>
        <v>360.0050226352887</v>
      </c>
      <c r="DT24" s="62">
        <f ca="1">AVERAGE(OFFSET($DS$3,0,0,'Données projet'!$E$14+1,1))-AVERAGE(OFFSET($H$3,0,0,'Données projet'!$E$14+1,1))</f>
        <v>404.20764079465965</v>
      </c>
      <c r="DU24" s="62">
        <f t="shared" si="44"/>
        <v>243.23852967152732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439.06700232017681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466.98091528491091</v>
      </c>
      <c r="AN25" s="62">
        <f ca="1">AVERAGE(OFFSET($AM$3,0,0,'Données projet'!$E$10+1,1))-AVERAGE(OFFSET($H$3,0,0,'Données projet'!$E$10+1,1))</f>
        <v>396.92963589781414</v>
      </c>
      <c r="AO25" s="62">
        <f t="shared" si="36"/>
        <v>294.38852181137639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81.199999999999974</v>
      </c>
      <c r="BE25" s="14">
        <f>BD25*VLOOKUP('Données projet'!$B$11,Paramètres!$A$1:$I$89,3,0)*VLOOKUP('Données projet'!$B$11,Paramètres!$A$1:$I$89,5,0)</f>
        <v>63.335999999999984</v>
      </c>
      <c r="BF25" s="14">
        <f t="shared" si="37"/>
        <v>18.009040022946227</v>
      </c>
      <c r="BG25" s="22">
        <f t="shared" si="7"/>
        <v>141.67594470663133</v>
      </c>
      <c r="BH25" s="62">
        <f t="shared" si="8"/>
        <v>425.23150026218684</v>
      </c>
      <c r="BI25" s="62">
        <f ca="1">AVERAGE(OFFSET($BH$3,0,0,'Données projet'!$E$11+1,1))-AVERAGE(OFFSET($H$3,0,0,'Données projet'!$E$11+1,1))</f>
        <v>288.82868507674738</v>
      </c>
      <c r="BJ25" s="62">
        <f t="shared" si="38"/>
        <v>283.48738729114024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27.097500000000004</v>
      </c>
      <c r="BY25" s="13">
        <f>IF('Données projet'!$A$114&gt;35,BY24+BX25-CG24,IF(A25&lt;'Données projet'!$A$114,$BV$205^A25,IF(A25='Données projet'!$A$114,'Données projet'!$B$114,BY24+BX25-CG24)))</f>
        <v>231.64249999999998</v>
      </c>
      <c r="BZ25" s="14">
        <f>BY25*VLOOKUP('Données projet'!$B$12,Paramètres!$A$1:$I$89,3,0)*VLOOKUP('Données projet'!$B$12,Paramètres!$A$1:$I$89,5,0)</f>
        <v>129.4881575</v>
      </c>
      <c r="CA25" s="14">
        <f t="shared" si="39"/>
        <v>33.878060417139011</v>
      </c>
      <c r="CB25" s="22">
        <f t="shared" si="10"/>
        <v>284.52949620568376</v>
      </c>
      <c r="CC25" s="62">
        <f t="shared" si="11"/>
        <v>568.08505176123936</v>
      </c>
      <c r="CD25" s="62">
        <f ca="1">AVERAGE(OFFSET($CC$3,0,0,'Données projet'!$E$12+1,1))-AVERAGE(OFFSET($H$3,0,0,'Données projet'!$E$12+1,1))</f>
        <v>405.09126081846171</v>
      </c>
      <c r="CE25" s="62">
        <f t="shared" si="40"/>
        <v>534.22295841722166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2.819143154139284</v>
      </c>
      <c r="CL25" s="23">
        <f>EXP(-LN(2)/25)*CL24+(1-EXP(-LN(2)/25))/(LN(2)/25)*Calculateur!CG25*Calculateur!CI25*VLOOKUP('Données projet'!$B$12,Paramètres!$A$1:$I$89,3,0)*0.475*44/12</f>
        <v>10.88184139175843</v>
      </c>
      <c r="CM25" s="23">
        <f>EXP(-LN(2)/2)*CM24+(1-EXP(-LN(2)/2))/(LN(2)/2)*CG25*CJ25*VLOOKUP('Données projet'!$B$12,Paramètres!$A$1:$I$89,3,0)*0.475*44/12</f>
        <v>5.9193642325024971</v>
      </c>
      <c r="CN25" s="24">
        <f t="shared" si="12"/>
        <v>19.620348778400214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81.400000000000006</v>
      </c>
      <c r="CU25" s="18">
        <f>CT25*VLOOKUP('Données projet'!$B$13,Paramètres!$A$1:$I$89,3,0)*VLOOKUP('Données projet'!$B$13,Paramètres!$A$1:$I$89,5,0)</f>
        <v>78.730080000000015</v>
      </c>
      <c r="CV25" s="14">
        <f t="shared" si="41"/>
        <v>21.826393515256996</v>
      </c>
      <c r="CW25" s="22">
        <f t="shared" si="13"/>
        <v>175.13585803907259</v>
      </c>
      <c r="CX25" s="62">
        <f t="shared" si="14"/>
        <v>458.6914135946281</v>
      </c>
      <c r="CY25" s="62">
        <f ca="1">AVERAGE(OFFSET($CX$3,0,0,'Données projet'!$E$13+1,1))-AVERAGE(OFFSET($H$3,0,0,'Données projet'!$E$13+1,1))</f>
        <v>466.4945858005575</v>
      </c>
      <c r="CZ25" s="62">
        <f t="shared" si="42"/>
        <v>294.45557293177131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2.84</v>
      </c>
      <c r="DO25" s="13">
        <f>IF('Données projet'!$A$166&gt;35,DO24+DN25-DW24,IF(A25&lt;'Données projet'!$A$166,$DL$205^A25,IF(A25='Données projet'!$A$166,'Données projet'!$B$166,DO24+DN25-DW24)))</f>
        <v>42.570362355521766</v>
      </c>
      <c r="DP25" s="18">
        <f>DO25*VLOOKUP('Données projet'!$B$14,Paramètres!$A$1:$I$89,3,0)*VLOOKUP('Données projet'!$B$14,Paramètres!$A$1:$I$89,5,0)</f>
        <v>40.509956817514514</v>
      </c>
      <c r="DQ25" s="14">
        <f t="shared" si="43"/>
        <v>12.133711199945846</v>
      </c>
      <c r="DR25" s="22">
        <f t="shared" si="16"/>
        <v>91.68772179707679</v>
      </c>
      <c r="DS25" s="62">
        <f t="shared" si="17"/>
        <v>375.24327735263233</v>
      </c>
      <c r="DT25" s="62">
        <f ca="1">AVERAGE(OFFSET($DS$3,0,0,'Données projet'!$E$14+1,1))-AVERAGE(OFFSET($H$3,0,0,'Données projet'!$E$14+1,1))</f>
        <v>404.20764079465965</v>
      </c>
      <c r="DU25" s="62">
        <f t="shared" si="44"/>
        <v>243.23852967152732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439.06700232017681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477.52344422670757</v>
      </c>
      <c r="AN26" s="62">
        <f ca="1">AVERAGE(OFFSET($AM$3,0,0,'Données projet'!$E$10+1,1))-AVERAGE(OFFSET($H$3,0,0,'Données projet'!$E$10+1,1))</f>
        <v>396.92963589781414</v>
      </c>
      <c r="AO26" s="62">
        <f t="shared" si="36"/>
        <v>294.38852181137639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91.799999999999969</v>
      </c>
      <c r="BE26" s="14">
        <f>BD26*VLOOKUP('Données projet'!$B$11,Paramètres!$A$1:$I$89,3,0)*VLOOKUP('Données projet'!$B$11,Paramètres!$A$1:$I$89,5,0)</f>
        <v>71.603999999999985</v>
      </c>
      <c r="BF26" s="14">
        <f t="shared" si="37"/>
        <v>20.071260561992585</v>
      </c>
      <c r="BG26" s="22">
        <f t="shared" si="7"/>
        <v>159.66774547880371</v>
      </c>
      <c r="BH26" s="62">
        <f t="shared" si="8"/>
        <v>444.44552325658151</v>
      </c>
      <c r="BI26" s="62">
        <f ca="1">AVERAGE(OFFSET($BH$3,0,0,'Données projet'!$E$11+1,1))-AVERAGE(OFFSET($H$3,0,0,'Données projet'!$E$11+1,1))</f>
        <v>288.82868507674738</v>
      </c>
      <c r="BJ26" s="62">
        <f t="shared" si="38"/>
        <v>283.48738729114024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>
        <f>VLOOKUP(A26,'Données projet'!$A$113:$I$133,2,0)</f>
        <v>258.74</v>
      </c>
      <c r="BW26" s="13">
        <f>VLOOKUP(A26,'Données projet'!$A$113:$I$133,9,0)</f>
        <v>27.097500000000004</v>
      </c>
      <c r="BX26" s="13">
        <f t="array" ref="BX26">INDEX(BW:BW,MIN(IF(ISNUMBER(BW26:BW222),ROW(BW26:BW222),"")))</f>
        <v>27.097500000000004</v>
      </c>
      <c r="BY26" s="13">
        <f>IF('Données projet'!$A$114&gt;35,BY25+BX26-CG25,IF(A26&lt;'Données projet'!$A$114,$BV$205^A26,IF(A26='Données projet'!$A$114,'Données projet'!$B$114,BY25+BX26-CG25)))</f>
        <v>258.74</v>
      </c>
      <c r="BZ26" s="14">
        <f>BY26*VLOOKUP('Données projet'!$B$12,Paramètres!$A$1:$I$89,3,0)*VLOOKUP('Données projet'!$B$12,Paramètres!$A$1:$I$89,5,0)</f>
        <v>144.63566</v>
      </c>
      <c r="CA26" s="14">
        <f t="shared" si="39"/>
        <v>37.356948366647352</v>
      </c>
      <c r="CB26" s="22">
        <f t="shared" si="10"/>
        <v>316.97045957191079</v>
      </c>
      <c r="CC26" s="62">
        <f t="shared" si="11"/>
        <v>601.74823734968857</v>
      </c>
      <c r="CD26" s="62">
        <f ca="1">AVERAGE(OFFSET($CC$3,0,0,'Données projet'!$E$12+1,1))-AVERAGE(OFFSET($H$3,0,0,'Données projet'!$E$12+1,1))</f>
        <v>405.09126081846171</v>
      </c>
      <c r="CE26" s="62">
        <f t="shared" si="40"/>
        <v>534.22295841722166</v>
      </c>
      <c r="CF26" s="16">
        <f>IF(ISNA(VLOOKUP(A26,'Données projet'!$A$113:$I$133,3,0)),0,VLOOKUP(A26,'Données projet'!$A$113:$I$133,3,0))</f>
        <v>4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0.27500000000000002</v>
      </c>
      <c r="CI26" s="17">
        <f>IF(ISNA(VLOOKUP(A26,'Données projet'!$A$113:$I$133,6,0)),0%,VLOOKUP(A26,'Données projet'!$A$113:$I$133,6,0)*VLOOKUP('Données projet'!$B$12,Paramètres!$A$1:$I$89,7,0))</f>
        <v>0.16500000000000001</v>
      </c>
      <c r="CJ26" s="17">
        <f>IF(ISNA(VLOOKUP(A26,'Données projet'!$A$113:$I$133,7,0)),0%,VLOOKUP(A26,'Données projet'!$A$113:$I$133,7,0))</f>
        <v>0.2</v>
      </c>
      <c r="CK26" s="23">
        <f>EXP(-LN(2)/35)*CK25+(1-EXP(-LN(2)/35))/(LN(2)/35)*CG26*CH26*VLOOKUP('Données projet'!$B$12,Paramètres!$A$1:$I$89,3,0)*0.475*44/12</f>
        <v>2.7638614763941494</v>
      </c>
      <c r="CL26" s="23">
        <f>EXP(-LN(2)/25)*CL25+(1-EXP(-LN(2)/25))/(LN(2)/25)*Calculateur!CG26*Calculateur!CI26*VLOOKUP('Données projet'!$B$12,Paramètres!$A$1:$I$89,3,0)*0.475*44/12</f>
        <v>10.584276866649628</v>
      </c>
      <c r="CM26" s="23">
        <f>EXP(-LN(2)/2)*CM25+(1-EXP(-LN(2)/2))/(LN(2)/2)*CG26*CJ26*VLOOKUP('Données projet'!$B$12,Paramètres!$A$1:$I$89,3,0)*0.475*44/12</f>
        <v>4.1856225891156189</v>
      </c>
      <c r="CN26" s="24">
        <f t="shared" si="12"/>
        <v>17.533760932159396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88.600000000000009</v>
      </c>
      <c r="CU26" s="18">
        <f>CT26*VLOOKUP('Données projet'!$B$13,Paramètres!$A$1:$I$89,3,0)*VLOOKUP('Données projet'!$B$13,Paramètres!$A$1:$I$89,5,0)</f>
        <v>85.693920000000006</v>
      </c>
      <c r="CV26" s="14">
        <f t="shared" si="41"/>
        <v>23.523757486236178</v>
      </c>
      <c r="CW26" s="22">
        <f t="shared" si="13"/>
        <v>190.22078828852798</v>
      </c>
      <c r="CX26" s="62">
        <f t="shared" si="14"/>
        <v>474.99856606630578</v>
      </c>
      <c r="CY26" s="62">
        <f ca="1">AVERAGE(OFFSET($CX$3,0,0,'Données projet'!$E$13+1,1))-AVERAGE(OFFSET($H$3,0,0,'Données projet'!$E$13+1,1))</f>
        <v>466.4945858005575</v>
      </c>
      <c r="CZ26" s="62">
        <f t="shared" si="42"/>
        <v>294.45557293177131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2.84</v>
      </c>
      <c r="DO26" s="13">
        <f>IF('Données projet'!$A$166&gt;35,DO25+DN26-DW25,IF(A26&lt;'Données projet'!$A$166,$DL$205^A26,IF(A26='Données projet'!$A$166,'Données projet'!$B$166,DO25+DN26-DW25)))</f>
        <v>50.484455997861858</v>
      </c>
      <c r="DP26" s="18">
        <f>DO26*VLOOKUP('Données projet'!$B$14,Paramètres!$A$1:$I$89,3,0)*VLOOKUP('Données projet'!$B$14,Paramètres!$A$1:$I$89,5,0)</f>
        <v>48.041008327565343</v>
      </c>
      <c r="DQ26" s="14">
        <f t="shared" si="43"/>
        <v>14.10667071576797</v>
      </c>
      <c r="DR26" s="22">
        <f t="shared" si="16"/>
        <v>108.24054100047216</v>
      </c>
      <c r="DS26" s="62">
        <f t="shared" si="17"/>
        <v>393.01831877824992</v>
      </c>
      <c r="DT26" s="62">
        <f ca="1">AVERAGE(OFFSET($DS$3,0,0,'Données projet'!$E$14+1,1))-AVERAGE(OFFSET($H$3,0,0,'Données projet'!$E$14+1,1))</f>
        <v>404.20764079465965</v>
      </c>
      <c r="DU26" s="62">
        <f t="shared" si="44"/>
        <v>243.23852967152732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439.06700232017681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488.05548980820538</v>
      </c>
      <c r="AN27" s="62">
        <f ca="1">AVERAGE(OFFSET($AM$3,0,0,'Données projet'!$E$10+1,1))-AVERAGE(OFFSET($H$3,0,0,'Données projet'!$E$10+1,1))</f>
        <v>396.92963589781414</v>
      </c>
      <c r="AO27" s="62">
        <f t="shared" si="36"/>
        <v>294.38852181137639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79.871999999999971</v>
      </c>
      <c r="BF27" s="14">
        <f t="shared" si="37"/>
        <v>22.105884547145401</v>
      </c>
      <c r="BG27" s="22">
        <f t="shared" si="7"/>
        <v>177.61148225294485</v>
      </c>
      <c r="BH27" s="62">
        <f t="shared" si="8"/>
        <v>463.61148225294482</v>
      </c>
      <c r="BI27" s="62">
        <f ca="1">AVERAGE(OFFSET($BH$3,0,0,'Données projet'!$E$11+1,1))-AVERAGE(OFFSET($H$3,0,0,'Données projet'!$E$11+1,1))</f>
        <v>288.82868507674738</v>
      </c>
      <c r="BJ27" s="62">
        <f t="shared" si="38"/>
        <v>283.48738729114024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289.08999999999997</v>
      </c>
      <c r="BW27" s="13">
        <f>VLOOKUP(A27,'Données projet'!$A$113:$I$133,9,0)</f>
        <v>30.349999999999966</v>
      </c>
      <c r="BX27" s="13">
        <f t="array" ref="BX27">INDEX(BW:BW,MIN(IF(ISNUMBER(BW27:BW223),ROW(BW27:BW223),"")))</f>
        <v>30.349999999999966</v>
      </c>
      <c r="BY27" s="13">
        <f>IF('Données projet'!$A$114&gt;35,BY26+BX27-CG26,IF(A27&lt;'Données projet'!$A$114,$BV$205^A27,IF(A27='Données projet'!$A$114,'Données projet'!$B$114,BY26+BX27-CG26)))</f>
        <v>289.08999999999997</v>
      </c>
      <c r="BZ27" s="14">
        <f>BY27*VLOOKUP('Données projet'!$B$12,Paramètres!$A$1:$I$89,3,0)*VLOOKUP('Données projet'!$B$12,Paramètres!$A$1:$I$89,5,0)</f>
        <v>161.60130999999998</v>
      </c>
      <c r="CA27" s="14">
        <f t="shared" si="39"/>
        <v>41.203485747561459</v>
      </c>
      <c r="CB27" s="22">
        <f t="shared" si="10"/>
        <v>353.21835259366952</v>
      </c>
      <c r="CC27" s="62">
        <f t="shared" si="11"/>
        <v>639.21835259366958</v>
      </c>
      <c r="CD27" s="62">
        <f ca="1">AVERAGE(OFFSET($CC$3,0,0,'Données projet'!$E$12+1,1))-AVERAGE(OFFSET($H$3,0,0,'Données projet'!$E$12+1,1))</f>
        <v>405.09126081846171</v>
      </c>
      <c r="CE27" s="62">
        <f t="shared" si="40"/>
        <v>534.22295841722166</v>
      </c>
      <c r="CF27" s="16">
        <f>IF(ISNA(VLOOKUP(A27,'Données projet'!$A$113:$I$133,3,0)),0,VLOOKUP(A27,'Données projet'!$A$113:$I$133,3,0))</f>
        <v>5</v>
      </c>
      <c r="CG27" s="16">
        <f>IF(ISNA(VLOOKUP(A27,'Données projet'!$A$113:$I$133,4,0)),0,VLOOKUP(A27,'Données projet'!$A$113:$I$133,4,0))</f>
        <v>51.39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2.7096638386311027</v>
      </c>
      <c r="CL27" s="23">
        <f>EXP(-LN(2)/25)*CL26+(1-EXP(-LN(2)/25))/(LN(2)/25)*Calculateur!CG27*Calculateur!CI27*VLOOKUP('Données projet'!$B$12,Paramètres!$A$1:$I$89,3,0)*0.475*44/12</f>
        <v>10.294849259128164</v>
      </c>
      <c r="CM27" s="23">
        <f>EXP(-LN(2)/2)*CM26+(1-EXP(-LN(2)/2))/(LN(2)/2)*CG27*CJ27*VLOOKUP('Données projet'!$B$12,Paramètres!$A$1:$I$89,3,0)*0.475*44/12</f>
        <v>2.9596821162512486</v>
      </c>
      <c r="CN27" s="24">
        <f t="shared" si="12"/>
        <v>15.964195214010516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95.800000000000011</v>
      </c>
      <c r="CU27" s="18">
        <f>CT27*VLOOKUP('Données projet'!$B$13,Paramètres!$A$1:$I$89,3,0)*VLOOKUP('Données projet'!$B$13,Paramètres!$A$1:$I$89,5,0)</f>
        <v>92.65776000000001</v>
      </c>
      <c r="CV27" s="14">
        <f t="shared" si="41"/>
        <v>25.205122972074609</v>
      </c>
      <c r="CW27" s="22">
        <f t="shared" si="13"/>
        <v>205.2778545096966</v>
      </c>
      <c r="CX27" s="62">
        <f t="shared" si="14"/>
        <v>491.27785450969657</v>
      </c>
      <c r="CY27" s="62">
        <f ca="1">AVERAGE(OFFSET($CX$3,0,0,'Données projet'!$E$13+1,1))-AVERAGE(OFFSET($H$3,0,0,'Données projet'!$E$13+1,1))</f>
        <v>466.4945858005575</v>
      </c>
      <c r="CZ27" s="62">
        <f t="shared" si="42"/>
        <v>294.45557293177131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2.84</v>
      </c>
      <c r="DO27" s="13">
        <f>IF('Données projet'!$A$166&gt;35,DO26+DN27-DW26,IF(A27&lt;'Données projet'!$A$166,$DL$205^A27,IF(A27='Données projet'!$A$166,'Données projet'!$B$166,DO26+DN27-DW26)))</f>
        <v>59.869828593776646</v>
      </c>
      <c r="DP27" s="18">
        <f>DO27*VLOOKUP('Données projet'!$B$14,Paramètres!$A$1:$I$89,3,0)*VLOOKUP('Données projet'!$B$14,Paramètres!$A$1:$I$89,5,0)</f>
        <v>56.972128889837862</v>
      </c>
      <c r="DQ27" s="14">
        <f t="shared" si="43"/>
        <v>16.400436387837694</v>
      </c>
      <c r="DR27" s="22">
        <f t="shared" si="16"/>
        <v>127.79055119195162</v>
      </c>
      <c r="DS27" s="62">
        <f t="shared" si="17"/>
        <v>413.79055119195164</v>
      </c>
      <c r="DT27" s="62">
        <f ca="1">AVERAGE(OFFSET($DS$3,0,0,'Données projet'!$E$14+1,1))-AVERAGE(OFFSET($H$3,0,0,'Données projet'!$E$14+1,1))</f>
        <v>404.20764079465965</v>
      </c>
      <c r="DU27" s="62">
        <f t="shared" si="44"/>
        <v>243.23852967152732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439.06700232017681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0.129</v>
      </c>
      <c r="Y28" s="17">
        <f>IF(ISNA(VLOOKUP(A28,'Données projet'!$A$35:$I$55,7,0)),0%,VLOOKUP(A28,'Données projet'!$A$35:$I$55,7,0))</f>
        <v>0.7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3.5986042274365828</v>
      </c>
      <c r="AB28" s="23">
        <f>EXP(-LN(2)/2)*AB27+(1-EXP(-LN(2)/2))/(LN(2)/2)*V28*Y28*VLOOKUP('Données projet'!$B$9,Paramètres!$A$1:$I$89,3,0)*0.475*44/12</f>
        <v>16.73258178576512</v>
      </c>
      <c r="AC28" s="24">
        <f t="shared" si="3"/>
        <v>20.331186013201702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498.57760367018307</v>
      </c>
      <c r="AN28" s="62">
        <f ca="1">AVERAGE(OFFSET($AM$3,0,0,'Données projet'!$E$10+1,1))-AVERAGE(OFFSET($H$3,0,0,'Données projet'!$E$10+1,1))</f>
        <v>396.92963589781414</v>
      </c>
      <c r="AO28" s="62">
        <f t="shared" si="36"/>
        <v>294.38852181137639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113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112.99999999999996</v>
      </c>
      <c r="BE28" s="14">
        <f>BD28*VLOOKUP('Données projet'!$B$11,Paramètres!$A$1:$I$89,3,0)*VLOOKUP('Données projet'!$B$11,Paramètres!$A$1:$I$89,5,0)</f>
        <v>88.139999999999972</v>
      </c>
      <c r="BF28" s="14">
        <f t="shared" si="37"/>
        <v>24.116094026318823</v>
      </c>
      <c r="BG28" s="22">
        <f t="shared" si="7"/>
        <v>195.51269709583855</v>
      </c>
      <c r="BH28" s="62">
        <f t="shared" si="8"/>
        <v>482.73491931806075</v>
      </c>
      <c r="BI28" s="62">
        <f ca="1">AVERAGE(OFFSET($BH$3,0,0,'Données projet'!$E$11+1,1))-AVERAGE(OFFSET($H$3,0,0,'Données projet'!$E$11+1,1))</f>
        <v>288.82868507674738</v>
      </c>
      <c r="BJ28" s="62">
        <f t="shared" si="38"/>
        <v>283.48738729114024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0.34400000000000003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7.9772014893914402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7.9772014893914402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27.550000000000011</v>
      </c>
      <c r="BY28" s="13">
        <f>IF('Données projet'!$A$114&gt;35,BY27+BX28-CG27,IF(A28&lt;'Données projet'!$A$114,$BV$205^A28,IF(A28='Données projet'!$A$114,'Données projet'!$B$114,BY27+BX28-CG27)))</f>
        <v>265.25</v>
      </c>
      <c r="BZ28" s="14">
        <f>BY28*VLOOKUP('Données projet'!$B$12,Paramètres!$A$1:$I$89,3,0)*VLOOKUP('Données projet'!$B$12,Paramètres!$A$1:$I$89,5,0)</f>
        <v>148.27475000000001</v>
      </c>
      <c r="CA28" s="14">
        <f t="shared" si="39"/>
        <v>38.186252787335206</v>
      </c>
      <c r="CB28" s="22">
        <f t="shared" si="10"/>
        <v>324.75291318794217</v>
      </c>
      <c r="CC28" s="62">
        <f t="shared" si="11"/>
        <v>611.9751354101644</v>
      </c>
      <c r="CD28" s="62">
        <f ca="1">AVERAGE(OFFSET($CC$3,0,0,'Données projet'!$E$12+1,1))-AVERAGE(OFFSET($H$3,0,0,'Données projet'!$E$12+1,1))</f>
        <v>405.09126081846171</v>
      </c>
      <c r="CE28" s="62">
        <f t="shared" si="40"/>
        <v>534.22295841722166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2.6565289834872945</v>
      </c>
      <c r="CL28" s="23">
        <f>EXP(-LN(2)/25)*CL27+(1-EXP(-LN(2)/25))/(LN(2)/25)*Calculateur!CG28*Calculateur!CI28*VLOOKUP('Données projet'!$B$12,Paramètres!$A$1:$I$89,3,0)*0.475*44/12</f>
        <v>10.013336064754711</v>
      </c>
      <c r="CM28" s="23">
        <f>EXP(-LN(2)/2)*CM27+(1-EXP(-LN(2)/2))/(LN(2)/2)*CG28*CJ28*VLOOKUP('Données projet'!$B$12,Paramètres!$A$1:$I$89,3,0)*0.475*44/12</f>
        <v>2.0928112945578095</v>
      </c>
      <c r="CN28" s="24">
        <f t="shared" si="12"/>
        <v>14.762676342799814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103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103.00000000000001</v>
      </c>
      <c r="CU28" s="18">
        <f>CT28*VLOOKUP('Données projet'!$B$13,Paramètres!$A$1:$I$89,3,0)*VLOOKUP('Données projet'!$B$13,Paramètres!$A$1:$I$89,5,0)</f>
        <v>99.621600000000015</v>
      </c>
      <c r="CV28" s="14">
        <f t="shared" si="41"/>
        <v>26.871829085032747</v>
      </c>
      <c r="CW28" s="22">
        <f t="shared" si="13"/>
        <v>220.30938898976538</v>
      </c>
      <c r="CX28" s="62">
        <f t="shared" si="14"/>
        <v>507.53161121198764</v>
      </c>
      <c r="CY28" s="62">
        <f ca="1">AVERAGE(OFFSET($CX$3,0,0,'Données projet'!$E$13+1,1))-AVERAGE(OFFSET($H$3,0,0,'Données projet'!$E$13+1,1))</f>
        <v>466.4945858005575</v>
      </c>
      <c r="CZ28" s="62">
        <f t="shared" si="42"/>
        <v>294.45557293177131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0.129</v>
      </c>
      <c r="DE28" s="17">
        <f>IF(ISNA(VLOOKUP(A28,'Données projet'!$A$139:$I$159,7,0)),0%,VLOOKUP(A28,'Données projet'!$A$139:$I$159,7,0))</f>
        <v>0.7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3.8467838293287619</v>
      </c>
      <c r="DH28" s="23">
        <f>EXP(-LN(2)/2)*DH27+(1-EXP(-LN(2)/2))/(LN(2)/2)*DB28*DE28*VLOOKUP('Données projet'!$B$13,Paramètres!$A$1:$I$89,3,0)*0.475*44/12</f>
        <v>17.886552943404094</v>
      </c>
      <c r="DI28" s="24">
        <f t="shared" si="15"/>
        <v>21.733336772732855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71</v>
      </c>
      <c r="DM28" s="13">
        <f>VLOOKUP(A28,'Données projet'!$A$165:$I$185,9,0)</f>
        <v>2.84</v>
      </c>
      <c r="DN28" s="13">
        <f t="array" ref="DN28">INDEX(DM:DM,MIN(IF(ISNUMBER(DM28:DM224),ROW(DM28:DM224),"")))</f>
        <v>2.84</v>
      </c>
      <c r="DO28" s="13">
        <f>IF('Données projet'!$A$166&gt;35,DO27+DN28-DW27,IF(A28&lt;'Données projet'!$A$166,$DL$205^A28,IF(A28='Données projet'!$A$166,'Données projet'!$B$166,DO27+DN28-DW27)))</f>
        <v>71</v>
      </c>
      <c r="DP28" s="18">
        <f>DO28*VLOOKUP('Données projet'!$B$14,Paramètres!$A$1:$I$89,3,0)*VLOOKUP('Données projet'!$B$14,Paramètres!$A$1:$I$89,5,0)</f>
        <v>67.563600000000008</v>
      </c>
      <c r="DQ28" s="14">
        <f t="shared" si="43"/>
        <v>19.06717177504256</v>
      </c>
      <c r="DR28" s="22">
        <f t="shared" si="16"/>
        <v>150.88192750819914</v>
      </c>
      <c r="DS28" s="62">
        <f t="shared" si="17"/>
        <v>438.10414973042134</v>
      </c>
      <c r="DT28" s="62">
        <f ca="1">AVERAGE(OFFSET($DS$3,0,0,'Données projet'!$E$14+1,1))-AVERAGE(OFFSET($H$3,0,0,'Données projet'!$E$14+1,1))</f>
        <v>404.20764079465965</v>
      </c>
      <c r="DU28" s="62">
        <f t="shared" si="44"/>
        <v>243.23852967152732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1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7.1828816955078993</v>
      </c>
      <c r="ED28" s="24">
        <f t="shared" si="18"/>
        <v>7.1828816955078993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439.06700232017681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3.5002002055949579</v>
      </c>
      <c r="AB29" s="23">
        <f>EXP(-LN(2)/2)*AB28+(1-EXP(-LN(2)/2))/(LN(2)/2)*V29*Y29*VLOOKUP('Données projet'!$B$9,Paramètres!$A$1:$I$89,3,0)*0.475*44/12</f>
        <v>11.831722047473029</v>
      </c>
      <c r="AC29" s="24">
        <f t="shared" si="3"/>
        <v>15.331922253067987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509.09028488487695</v>
      </c>
      <c r="AN29" s="62">
        <f ca="1">AVERAGE(OFFSET($AM$3,0,0,'Données projet'!$E$10+1,1))-AVERAGE(OFFSET($H$3,0,0,'Données projet'!$E$10+1,1))</f>
        <v>396.92963589781414</v>
      </c>
      <c r="AO29" s="62">
        <f t="shared" si="36"/>
        <v>294.38852181137639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97.499999999999957</v>
      </c>
      <c r="BE29" s="14">
        <f>BD29*VLOOKUP('Données projet'!$B$11,Paramètres!$A$1:$I$89,3,0)*VLOOKUP('Données projet'!$B$11,Paramètres!$A$1:$I$89,5,0)</f>
        <v>76.049999999999969</v>
      </c>
      <c r="BF29" s="14">
        <f t="shared" si="37"/>
        <v>21.168560890749262</v>
      </c>
      <c r="BG29" s="22">
        <f t="shared" si="7"/>
        <v>169.32232688472158</v>
      </c>
      <c r="BH29" s="62">
        <f t="shared" si="8"/>
        <v>457.76677132916603</v>
      </c>
      <c r="BI29" s="62">
        <f ca="1">AVERAGE(OFFSET($BH$3,0,0,'Données projet'!$E$11+1,1))-AVERAGE(OFFSET($H$3,0,0,'Données projet'!$E$11+1,1))</f>
        <v>288.82868507674738</v>
      </c>
      <c r="BJ29" s="62">
        <f t="shared" si="38"/>
        <v>283.48738729114024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7.7590644951612369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7.7590644951612369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>
        <f>VLOOKUP(A29,'Données projet'!$A$113:$I$133,2,0)</f>
        <v>292.8</v>
      </c>
      <c r="BW29" s="13">
        <f>VLOOKUP(A29,'Données projet'!$A$113:$I$133,9,0)</f>
        <v>27.550000000000011</v>
      </c>
      <c r="BX29" s="13">
        <f t="array" ref="BX29">INDEX(BW:BW,MIN(IF(ISNUMBER(BW29:BW225),ROW(BW29:BW225),"")))</f>
        <v>27.550000000000011</v>
      </c>
      <c r="BY29" s="13">
        <f>IF('Données projet'!$A$114&gt;35,BY28+BX29-CG28,IF(A29&lt;'Données projet'!$A$114,$BV$205^A29,IF(A29='Données projet'!$A$114,'Données projet'!$B$114,BY28+BX29-CG28)))</f>
        <v>292.8</v>
      </c>
      <c r="BZ29" s="14">
        <f>BY29*VLOOKUP('Données projet'!$B$12,Paramètres!$A$1:$I$89,3,0)*VLOOKUP('Données projet'!$B$12,Paramètres!$A$1:$I$89,5,0)</f>
        <v>163.67519999999999</v>
      </c>
      <c r="CA29" s="14">
        <f t="shared" si="39"/>
        <v>41.670368197291587</v>
      </c>
      <c r="CB29" s="22">
        <f t="shared" si="10"/>
        <v>357.64353127694949</v>
      </c>
      <c r="CC29" s="62">
        <f t="shared" si="11"/>
        <v>646.08797572139395</v>
      </c>
      <c r="CD29" s="62">
        <f ca="1">AVERAGE(OFFSET($CC$3,0,0,'Données projet'!$E$12+1,1))-AVERAGE(OFFSET($H$3,0,0,'Données projet'!$E$12+1,1))</f>
        <v>405.09126081846171</v>
      </c>
      <c r="CE29" s="62">
        <f t="shared" si="40"/>
        <v>534.22295841722166</v>
      </c>
      <c r="CF29" s="16">
        <f>IF(ISNA(VLOOKUP(A29,'Données projet'!$A$113:$I$133,3,0)),0,VLOOKUP(A29,'Données projet'!$A$113:$I$133,3,0))</f>
        <v>6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2.604436070443795</v>
      </c>
      <c r="CL29" s="23">
        <f>EXP(-LN(2)/25)*CL28+(1-EXP(-LN(2)/25))/(LN(2)/25)*Calculateur!CG29*Calculateur!CI29*VLOOKUP('Données projet'!$B$12,Paramètres!$A$1:$I$89,3,0)*0.475*44/12</f>
        <v>9.7395208634855361</v>
      </c>
      <c r="CM29" s="23">
        <f>EXP(-LN(2)/2)*CM28+(1-EXP(-LN(2)/2))/(LN(2)/2)*CG29*CJ29*VLOOKUP('Données projet'!$B$12,Paramètres!$A$1:$I$89,3,0)*0.475*44/12</f>
        <v>1.4798410581256243</v>
      </c>
      <c r="CN29" s="24">
        <f t="shared" si="12"/>
        <v>13.823797992054955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81.438240000000022</v>
      </c>
      <c r="CV29" s="14">
        <f t="shared" si="41"/>
        <v>22.488475778344696</v>
      </c>
      <c r="CW29" s="22">
        <f t="shared" si="13"/>
        <v>181.00569664728371</v>
      </c>
      <c r="CX29" s="62">
        <f t="shared" si="14"/>
        <v>469.45014109172814</v>
      </c>
      <c r="CY29" s="62">
        <f ca="1">AVERAGE(OFFSET($CX$3,0,0,'Données projet'!$E$13+1,1))-AVERAGE(OFFSET($H$3,0,0,'Données projet'!$E$13+1,1))</f>
        <v>466.4945858005575</v>
      </c>
      <c r="CZ29" s="62">
        <f t="shared" si="42"/>
        <v>294.45557293177131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3.7415933232221974</v>
      </c>
      <c r="DH29" s="23">
        <f>EXP(-LN(2)/2)*DH28+(1-EXP(-LN(2)/2))/(LN(2)/2)*DB29*DE29*VLOOKUP('Données projet'!$B$13,Paramètres!$A$1:$I$89,3,0)*0.475*44/12</f>
        <v>12.647702878333238</v>
      </c>
      <c r="DI29" s="24">
        <f t="shared" si="15"/>
        <v>16.389296201555435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70</v>
      </c>
      <c r="DP29" s="18">
        <f>DO29*VLOOKUP('Données projet'!$B$14,Paramètres!$A$1:$I$89,3,0)*VLOOKUP('Données projet'!$B$14,Paramètres!$A$1:$I$89,5,0)</f>
        <v>66.611999999999995</v>
      </c>
      <c r="DQ29" s="14">
        <f t="shared" si="43"/>
        <v>18.829683939536395</v>
      </c>
      <c r="DR29" s="22">
        <f t="shared" si="16"/>
        <v>148.81093286135922</v>
      </c>
      <c r="DS29" s="62">
        <f t="shared" si="17"/>
        <v>437.25537730580368</v>
      </c>
      <c r="DT29" s="62">
        <f ca="1">AVERAGE(OFFSET($DS$3,0,0,'Données projet'!$E$14+1,1))-AVERAGE(OFFSET($H$3,0,0,'Données projet'!$E$14+1,1))</f>
        <v>404.20764079465965</v>
      </c>
      <c r="DU29" s="62">
        <f t="shared" si="44"/>
        <v>243.23852967152732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5.0790643553543617</v>
      </c>
      <c r="ED29" s="24">
        <f t="shared" si="18"/>
        <v>5.0790643553543617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439.06700232017681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3.4044870469054347</v>
      </c>
      <c r="AB30" s="23">
        <f>EXP(-LN(2)/2)*AB29+(1-EXP(-LN(2)/2))/(LN(2)/2)*V30*Y30*VLOOKUP('Données projet'!$B$9,Paramètres!$A$1:$I$89,3,0)*0.475*44/12</f>
        <v>8.3662908928825619</v>
      </c>
      <c r="AC30" s="24">
        <f t="shared" si="3"/>
        <v>11.770777939787997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519.59398701671637</v>
      </c>
      <c r="AN30" s="62">
        <f ca="1">AVERAGE(OFFSET($AM$3,0,0,'Données projet'!$E$10+1,1))-AVERAGE(OFFSET($H$3,0,0,'Données projet'!$E$10+1,1))</f>
        <v>396.92963589781414</v>
      </c>
      <c r="AO30" s="62">
        <f t="shared" si="36"/>
        <v>294.38852181137639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108.99999999999996</v>
      </c>
      <c r="BE30" s="14">
        <f>BD30*VLOOKUP('Données projet'!$B$11,Paramètres!$A$1:$I$89,3,0)*VLOOKUP('Données projet'!$B$11,Paramètres!$A$1:$I$89,5,0)</f>
        <v>85.019999999999968</v>
      </c>
      <c r="BF30" s="14">
        <f t="shared" si="37"/>
        <v>23.360218970693097</v>
      </c>
      <c r="BG30" s="22">
        <f t="shared" si="7"/>
        <v>188.76221470729038</v>
      </c>
      <c r="BH30" s="62">
        <f t="shared" si="8"/>
        <v>478.4288813739571</v>
      </c>
      <c r="BI30" s="62">
        <f ca="1">AVERAGE(OFFSET($BH$3,0,0,'Données projet'!$E$11+1,1))-AVERAGE(OFFSET($H$3,0,0,'Données projet'!$E$11+1,1))</f>
        <v>288.82868507674738</v>
      </c>
      <c r="BJ30" s="62">
        <f t="shared" si="38"/>
        <v>283.48738729114024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7.5468924685095846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7.5468924685095846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28.629999999999995</v>
      </c>
      <c r="BY30" s="13">
        <f>IF('Données projet'!$A$114&gt;35,BY29+BX30-CG29,IF(A30&lt;'Données projet'!$A$114,$BV$205^A30,IF(A30='Données projet'!$A$114,'Données projet'!$B$114,BY29+BX30-CG29)))</f>
        <v>321.43</v>
      </c>
      <c r="BZ30" s="14">
        <f>BY30*VLOOKUP('Données projet'!$B$12,Paramètres!$A$1:$I$89,3,0)*VLOOKUP('Données projet'!$B$12,Paramètres!$A$1:$I$89,5,0)</f>
        <v>179.67937000000001</v>
      </c>
      <c r="CA30" s="14">
        <f t="shared" si="39"/>
        <v>45.250844498664819</v>
      </c>
      <c r="CB30" s="22">
        <f t="shared" si="10"/>
        <v>391.75345691850794</v>
      </c>
      <c r="CC30" s="62">
        <f t="shared" si="11"/>
        <v>681.42012358517468</v>
      </c>
      <c r="CD30" s="62">
        <f ca="1">AVERAGE(OFFSET($CC$3,0,0,'Données projet'!$E$12+1,1))-AVERAGE(OFFSET($H$3,0,0,'Données projet'!$E$12+1,1))</f>
        <v>405.09126081846171</v>
      </c>
      <c r="CE30" s="62">
        <f t="shared" si="40"/>
        <v>534.22295841722166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2.5533646676515391</v>
      </c>
      <c r="CL30" s="23">
        <f>EXP(-LN(2)/25)*CL29+(1-EXP(-LN(2)/25))/(LN(2)/25)*Calculateur!CG30*Calculateur!CI30*VLOOKUP('Données projet'!$B$12,Paramètres!$A$1:$I$89,3,0)*0.475*44/12</f>
        <v>9.4731931532943818</v>
      </c>
      <c r="CM30" s="23">
        <f>EXP(-LN(2)/2)*CM29+(1-EXP(-LN(2)/2))/(LN(2)/2)*CG30*CJ30*VLOOKUP('Données projet'!$B$12,Paramètres!$A$1:$I$89,3,0)*0.475*44/12</f>
        <v>1.0464056472789047</v>
      </c>
      <c r="CN30" s="24">
        <f t="shared" si="12"/>
        <v>13.072963468224826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90.336480000000023</v>
      </c>
      <c r="CV30" s="14">
        <f t="shared" si="41"/>
        <v>24.646358234355564</v>
      </c>
      <c r="CW30" s="22">
        <f t="shared" si="13"/>
        <v>200.26177659150264</v>
      </c>
      <c r="CX30" s="62">
        <f t="shared" si="14"/>
        <v>489.9284432581693</v>
      </c>
      <c r="CY30" s="62">
        <f ca="1">AVERAGE(OFFSET($CX$3,0,0,'Données projet'!$E$13+1,1))-AVERAGE(OFFSET($H$3,0,0,'Données projet'!$E$13+1,1))</f>
        <v>466.4945858005575</v>
      </c>
      <c r="CZ30" s="62">
        <f t="shared" si="42"/>
        <v>294.45557293177131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3.6392792570368449</v>
      </c>
      <c r="DH30" s="23">
        <f>EXP(-LN(2)/2)*DH29+(1-EXP(-LN(2)/2))/(LN(2)/2)*DB30*DE30*VLOOKUP('Données projet'!$B$13,Paramètres!$A$1:$I$89,3,0)*0.475*44/12</f>
        <v>8.943276471702049</v>
      </c>
      <c r="DI30" s="24">
        <f t="shared" si="15"/>
        <v>12.582555728738894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77</v>
      </c>
      <c r="DP30" s="18">
        <f>DO30*VLOOKUP('Données projet'!$B$14,Paramètres!$A$1:$I$89,3,0)*VLOOKUP('Données projet'!$B$14,Paramètres!$A$1:$I$89,5,0)</f>
        <v>73.273200000000003</v>
      </c>
      <c r="DQ30" s="14">
        <f t="shared" si="43"/>
        <v>20.484133942460197</v>
      </c>
      <c r="DR30" s="22">
        <f t="shared" si="16"/>
        <v>163.29402328311821</v>
      </c>
      <c r="DS30" s="62">
        <f t="shared" si="17"/>
        <v>452.96068994978486</v>
      </c>
      <c r="DT30" s="62">
        <f ca="1">AVERAGE(OFFSET($DS$3,0,0,'Données projet'!$E$14+1,1))-AVERAGE(OFFSET($H$3,0,0,'Données projet'!$E$14+1,1))</f>
        <v>404.20764079465965</v>
      </c>
      <c r="DU30" s="62">
        <f t="shared" si="44"/>
        <v>243.23852967152732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3.5914408477539501</v>
      </c>
      <c r="ED30" s="24">
        <f t="shared" si="18"/>
        <v>3.5914408477539501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439.06700232017681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3.3113911695736129</v>
      </c>
      <c r="AB31" s="23">
        <f>EXP(-LN(2)/2)*AB30+(1-EXP(-LN(2)/2))/(LN(2)/2)*V31*Y31*VLOOKUP('Données projet'!$B$9,Paramètres!$A$1:$I$89,3,0)*0.475*44/12</f>
        <v>5.9158610237365155</v>
      </c>
      <c r="AC31" s="24">
        <f t="shared" si="3"/>
        <v>9.2272521933101288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530.08912398182281</v>
      </c>
      <c r="AN31" s="62">
        <f ca="1">AVERAGE(OFFSET($AM$3,0,0,'Données projet'!$E$10+1,1))-AVERAGE(OFFSET($H$3,0,0,'Données projet'!$E$10+1,1))</f>
        <v>396.92963589781414</v>
      </c>
      <c r="AO31" s="62">
        <f t="shared" si="36"/>
        <v>294.38852181137639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120.49999999999996</v>
      </c>
      <c r="BE31" s="14">
        <f>BD31*VLOOKUP('Données projet'!$B$11,Paramètres!$A$1:$I$89,3,0)*VLOOKUP('Données projet'!$B$11,Paramètres!$A$1:$I$89,5,0)</f>
        <v>93.989999999999966</v>
      </c>
      <c r="BF31" s="14">
        <f t="shared" si="37"/>
        <v>25.525074036970054</v>
      </c>
      <c r="BG31" s="22">
        <f t="shared" si="7"/>
        <v>208.15542061438944</v>
      </c>
      <c r="BH31" s="62">
        <f t="shared" si="8"/>
        <v>499.04430950327833</v>
      </c>
      <c r="BI31" s="62">
        <f ca="1">AVERAGE(OFFSET($BH$3,0,0,'Données projet'!$E$11+1,1))-AVERAGE(OFFSET($H$3,0,0,'Données projet'!$E$11+1,1))</f>
        <v>288.82868507674738</v>
      </c>
      <c r="BJ31" s="62">
        <f t="shared" si="38"/>
        <v>283.48738729114024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7.3405222970843633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7.3405222970843633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350.06</v>
      </c>
      <c r="BW31" s="13">
        <f>VLOOKUP(A31,'Données projet'!$A$113:$I$133,9,0)</f>
        <v>28.629999999999995</v>
      </c>
      <c r="BX31" s="13">
        <f t="array" ref="BX31">INDEX(BW:BW,MIN(IF(ISNUMBER(BW31:BW227),ROW(BW31:BW227),"")))</f>
        <v>28.629999999999995</v>
      </c>
      <c r="BY31" s="13">
        <f>IF('Données projet'!$A$114&gt;35,BY30+BX31-CG30,IF(A31&lt;'Données projet'!$A$114,$BV$205^A31,IF(A31='Données projet'!$A$114,'Données projet'!$B$114,BY30+BX31-CG30)))</f>
        <v>350.06</v>
      </c>
      <c r="BZ31" s="14">
        <f>BY31*VLOOKUP('Données projet'!$B$12,Paramètres!$A$1:$I$89,3,0)*VLOOKUP('Données projet'!$B$12,Paramètres!$A$1:$I$89,5,0)</f>
        <v>195.68354000000002</v>
      </c>
      <c r="CA31" s="14">
        <f t="shared" si="39"/>
        <v>48.79433922175842</v>
      </c>
      <c r="CB31" s="22">
        <f t="shared" si="10"/>
        <v>425.79897297789597</v>
      </c>
      <c r="CC31" s="62">
        <f t="shared" si="11"/>
        <v>716.68786186678483</v>
      </c>
      <c r="CD31" s="62">
        <f ca="1">AVERAGE(OFFSET($CC$3,0,0,'Données projet'!$E$12+1,1))-AVERAGE(OFFSET($H$3,0,0,'Données projet'!$E$12+1,1))</f>
        <v>405.09126081846171</v>
      </c>
      <c r="CE31" s="62">
        <f t="shared" si="40"/>
        <v>534.22295841722166</v>
      </c>
      <c r="CF31" s="16">
        <f>IF(ISNA(VLOOKUP(A31,'Données projet'!$A$113:$I$133,3,0)),0,VLOOKUP(A31,'Données projet'!$A$113:$I$133,3,0))</f>
        <v>7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2.5032947439175595</v>
      </c>
      <c r="CL31" s="23">
        <f>EXP(-LN(2)/25)*CL30+(1-EXP(-LN(2)/25))/(LN(2)/25)*Calculateur!CG31*Calculateur!CI31*VLOOKUP('Données projet'!$B$12,Paramètres!$A$1:$I$89,3,0)*0.475*44/12</f>
        <v>9.2141481883439695</v>
      </c>
      <c r="CM31" s="23">
        <f>EXP(-LN(2)/2)*CM30+(1-EXP(-LN(2)/2))/(LN(2)/2)*CG31*CJ31*VLOOKUP('Données projet'!$B$12,Paramètres!$A$1:$I$89,3,0)*0.475*44/12</f>
        <v>0.73992052906281214</v>
      </c>
      <c r="CN31" s="24">
        <f t="shared" si="12"/>
        <v>12.457363461324341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99.234720000000024</v>
      </c>
      <c r="CV31" s="14">
        <f t="shared" si="41"/>
        <v>26.779598706219044</v>
      </c>
      <c r="CW31" s="22">
        <f t="shared" si="13"/>
        <v>219.47493841333153</v>
      </c>
      <c r="CX31" s="62">
        <f t="shared" si="14"/>
        <v>510.36382730222039</v>
      </c>
      <c r="CY31" s="62">
        <f ca="1">AVERAGE(OFFSET($CX$3,0,0,'Données projet'!$E$13+1,1))-AVERAGE(OFFSET($H$3,0,0,'Données projet'!$E$13+1,1))</f>
        <v>466.4945858005575</v>
      </c>
      <c r="CZ31" s="62">
        <f t="shared" si="42"/>
        <v>294.45557293177131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3.539762974371794</v>
      </c>
      <c r="DH31" s="23">
        <f>EXP(-LN(2)/2)*DH30+(1-EXP(-LN(2)/2))/(LN(2)/2)*DB31*DE31*VLOOKUP('Données projet'!$B$13,Paramètres!$A$1:$I$89,3,0)*0.475*44/12</f>
        <v>6.3238514391666198</v>
      </c>
      <c r="DI31" s="24">
        <f t="shared" si="15"/>
        <v>9.8636144135384143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84</v>
      </c>
      <c r="DP31" s="18">
        <f>DO31*VLOOKUP('Données projet'!$B$14,Paramètres!$A$1:$I$89,3,0)*VLOOKUP('Données projet'!$B$14,Paramètres!$A$1:$I$89,5,0)</f>
        <v>79.934400000000011</v>
      </c>
      <c r="DQ31" s="14">
        <f t="shared" si="43"/>
        <v>22.121143821921812</v>
      </c>
      <c r="DR31" s="22">
        <f t="shared" si="16"/>
        <v>177.74673882318049</v>
      </c>
      <c r="DS31" s="62">
        <f t="shared" si="17"/>
        <v>468.63562771206932</v>
      </c>
      <c r="DT31" s="62">
        <f ca="1">AVERAGE(OFFSET($DS$3,0,0,'Données projet'!$E$14+1,1))-AVERAGE(OFFSET($H$3,0,0,'Données projet'!$E$14+1,1))</f>
        <v>404.20764079465965</v>
      </c>
      <c r="DU31" s="62">
        <f t="shared" si="44"/>
        <v>243.23852967152732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2.5395321776771813</v>
      </c>
      <c r="ED31" s="24">
        <f t="shared" si="18"/>
        <v>2.5395321776771813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439.06700232017681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3.220841003903129</v>
      </c>
      <c r="AB32" s="23">
        <f>EXP(-LN(2)/2)*AB31+(1-EXP(-LN(2)/2))/(LN(2)/2)*V32*Y32*VLOOKUP('Données projet'!$B$9,Paramètres!$A$1:$I$89,3,0)*0.475*44/12</f>
        <v>4.1831454464412818</v>
      </c>
      <c r="AC32" s="24">
        <f t="shared" si="3"/>
        <v>7.4039864503444104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540.57607495026184</v>
      </c>
      <c r="AN32" s="62">
        <f ca="1">AVERAGE(OFFSET($AM$3,0,0,'Données projet'!$E$10+1,1))-AVERAGE(OFFSET($H$3,0,0,'Données projet'!$E$10+1,1))</f>
        <v>396.92963589781414</v>
      </c>
      <c r="AO32" s="62">
        <f t="shared" si="36"/>
        <v>294.38852181137639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131.99999999999994</v>
      </c>
      <c r="BE32" s="14">
        <f>BD32*VLOOKUP('Données projet'!$B$11,Paramètres!$A$1:$I$89,3,0)*VLOOKUP('Données projet'!$B$11,Paramètres!$A$1:$I$89,5,0)</f>
        <v>102.95999999999997</v>
      </c>
      <c r="BF32" s="14">
        <f t="shared" si="37"/>
        <v>27.665975080374633</v>
      </c>
      <c r="BG32" s="22">
        <f t="shared" si="7"/>
        <v>227.50690659831903</v>
      </c>
      <c r="BH32" s="62">
        <f t="shared" si="8"/>
        <v>519.61801770943021</v>
      </c>
      <c r="BI32" s="62">
        <f ca="1">AVERAGE(OFFSET($BH$3,0,0,'Données projet'!$E$11+1,1))-AVERAGE(OFFSET($H$3,0,0,'Données projet'!$E$11+1,1))</f>
        <v>288.82868507674738</v>
      </c>
      <c r="BJ32" s="62">
        <f t="shared" si="38"/>
        <v>283.48738729114024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7.139795328849301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7.139795328849301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30.25</v>
      </c>
      <c r="BY32" s="13">
        <f>IF('Données projet'!$A$114&gt;35,BY31+BX32-CG31,IF(A32&lt;'Données projet'!$A$114,$BV$205^A32,IF(A32='Données projet'!$A$114,'Données projet'!$B$114,BY31+BX32-CG31)))</f>
        <v>380.31</v>
      </c>
      <c r="BZ32" s="14">
        <f>BY32*VLOOKUP('Données projet'!$B$12,Paramètres!$A$1:$I$89,3,0)*VLOOKUP('Données projet'!$B$12,Paramètres!$A$1:$I$89,5,0)</f>
        <v>212.59329</v>
      </c>
      <c r="CA32" s="14">
        <f t="shared" si="39"/>
        <v>52.501879375758435</v>
      </c>
      <c r="CB32" s="22">
        <f t="shared" si="10"/>
        <v>461.70741999611255</v>
      </c>
      <c r="CC32" s="62">
        <f t="shared" si="11"/>
        <v>753.81853110722363</v>
      </c>
      <c r="CD32" s="62">
        <f ca="1">AVERAGE(OFFSET($CC$3,0,0,'Données projet'!$E$12+1,1))-AVERAGE(OFFSET($H$3,0,0,'Données projet'!$E$12+1,1))</f>
        <v>405.09126081846171</v>
      </c>
      <c r="CE32" s="62">
        <f t="shared" si="40"/>
        <v>534.22295841722166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2.454206660848365</v>
      </c>
      <c r="CL32" s="23">
        <f>EXP(-LN(2)/25)*CL31+(1-EXP(-LN(2)/25))/(LN(2)/25)*Calculateur!CG32*Calculateur!CI32*VLOOKUP('Données projet'!$B$12,Paramètres!$A$1:$I$89,3,0)*0.475*44/12</f>
        <v>8.9621868215827103</v>
      </c>
      <c r="CM32" s="23">
        <f>EXP(-LN(2)/2)*CM31+(1-EXP(-LN(2)/2))/(LN(2)/2)*CG32*CJ32*VLOOKUP('Données projet'!$B$12,Paramètres!$A$1:$I$89,3,0)*0.475*44/12</f>
        <v>0.52320282363945236</v>
      </c>
      <c r="CN32" s="24">
        <f t="shared" si="12"/>
        <v>11.939596306070529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108.13296000000003</v>
      </c>
      <c r="CV32" s="14">
        <f t="shared" si="41"/>
        <v>28.890658079177882</v>
      </c>
      <c r="CW32" s="22">
        <f t="shared" si="13"/>
        <v>238.64946815456821</v>
      </c>
      <c r="CX32" s="62">
        <f t="shared" si="14"/>
        <v>530.76057926567933</v>
      </c>
      <c r="CY32" s="62">
        <f ca="1">AVERAGE(OFFSET($CX$3,0,0,'Données projet'!$E$13+1,1))-AVERAGE(OFFSET($H$3,0,0,'Données projet'!$E$13+1,1))</f>
        <v>466.4945858005575</v>
      </c>
      <c r="CZ32" s="62">
        <f t="shared" si="42"/>
        <v>294.45557293177131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3.4429679696895525</v>
      </c>
      <c r="DH32" s="23">
        <f>EXP(-LN(2)/2)*DH31+(1-EXP(-LN(2)/2))/(LN(2)/2)*DB32*DE32*VLOOKUP('Données projet'!$B$13,Paramètres!$A$1:$I$89,3,0)*0.475*44/12</f>
        <v>4.4716382358510254</v>
      </c>
      <c r="DI32" s="24">
        <f t="shared" si="15"/>
        <v>7.9146062055405775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91</v>
      </c>
      <c r="DP32" s="18">
        <f>DO32*VLOOKUP('Données projet'!$B$14,Paramètres!$A$1:$I$89,3,0)*VLOOKUP('Données projet'!$B$14,Paramètres!$A$1:$I$89,5,0)</f>
        <v>86.595600000000005</v>
      </c>
      <c r="DQ32" s="14">
        <f t="shared" si="43"/>
        <v>23.742332153806089</v>
      </c>
      <c r="DR32" s="22">
        <f t="shared" si="16"/>
        <v>192.17189850121227</v>
      </c>
      <c r="DS32" s="62">
        <f t="shared" si="17"/>
        <v>484.28300961232344</v>
      </c>
      <c r="DT32" s="62">
        <f ca="1">AVERAGE(OFFSET($DS$3,0,0,'Données projet'!$E$14+1,1))-AVERAGE(OFFSET($H$3,0,0,'Données projet'!$E$14+1,1))</f>
        <v>404.20764079465965</v>
      </c>
      <c r="DU32" s="62">
        <f t="shared" si="44"/>
        <v>243.23852967152732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1.7957204238769753</v>
      </c>
      <c r="ED32" s="24">
        <f t="shared" si="18"/>
        <v>1.7957204238769753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439.06700232017681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0.215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9.1304406496690369</v>
      </c>
      <c r="AB33" s="23">
        <f>EXP(-LN(2)/2)*AB32+(1-EXP(-LN(2)/2))/(LN(2)/2)*V33*Y33*VLOOKUP('Données projet'!$B$9,Paramètres!$A$1:$I$89,3,0)*0.475*44/12</f>
        <v>14.909774644557633</v>
      </c>
      <c r="AC33" s="24">
        <f t="shared" si="3"/>
        <v>24.04021529422667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396.92963589781414</v>
      </c>
      <c r="AO33" s="62">
        <f t="shared" si="36"/>
        <v>294.38852181137639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143.49999999999994</v>
      </c>
      <c r="BE33" s="14">
        <f>BD33*VLOOKUP('Données projet'!$B$11,Paramètres!$A$1:$I$89,3,0)*VLOOKUP('Données projet'!$B$11,Paramètres!$A$1:$I$89,5,0)</f>
        <v>111.92999999999996</v>
      </c>
      <c r="BF33" s="14">
        <f t="shared" si="37"/>
        <v>29.785246291563833</v>
      </c>
      <c r="BG33" s="22">
        <f t="shared" si="7"/>
        <v>246.82072062447358</v>
      </c>
      <c r="BH33" s="62">
        <f t="shared" si="8"/>
        <v>540.15405395780692</v>
      </c>
      <c r="BI33" s="62">
        <f ca="1">AVERAGE(OFFSET($BH$3,0,0,'Données projet'!$E$11+1,1))-AVERAGE(OFFSET($H$3,0,0,'Données projet'!$E$11+1,1))</f>
        <v>288.82868507674738</v>
      </c>
      <c r="BJ33" s="62">
        <f t="shared" si="38"/>
        <v>283.48738729114024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6.9445572501163984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6.9445572501163984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410.56</v>
      </c>
      <c r="BW33" s="13">
        <f>VLOOKUP(A33,'Données projet'!$A$113:$I$133,9,0)</f>
        <v>30.25</v>
      </c>
      <c r="BX33" s="13">
        <f t="array" ref="BX33">INDEX(BW:BW,MIN(IF(ISNUMBER(BW33:BW229),ROW(BW33:BW229),"")))</f>
        <v>30.25</v>
      </c>
      <c r="BY33" s="13">
        <f>IF('Données projet'!$A$114&gt;35,BY32+BX33-CG32,IF(A33&lt;'Données projet'!$A$114,$BV$205^A33,IF(A33='Données projet'!$A$114,'Données projet'!$B$114,BY32+BX33-CG32)))</f>
        <v>410.56</v>
      </c>
      <c r="BZ33" s="14">
        <f>BY33*VLOOKUP('Données projet'!$B$12,Paramètres!$A$1:$I$89,3,0)*VLOOKUP('Données projet'!$B$12,Paramètres!$A$1:$I$89,5,0)</f>
        <v>229.50304</v>
      </c>
      <c r="CA33" s="14">
        <f t="shared" si="39"/>
        <v>56.175213636682351</v>
      </c>
      <c r="CB33" s="22">
        <f t="shared" si="10"/>
        <v>497.55629175055515</v>
      </c>
      <c r="CC33" s="62">
        <f t="shared" si="11"/>
        <v>790.8896250838884</v>
      </c>
      <c r="CD33" s="62">
        <f ca="1">AVERAGE(OFFSET($CC$3,0,0,'Données projet'!$E$12+1,1))-AVERAGE(OFFSET($H$3,0,0,'Données projet'!$E$12+1,1))</f>
        <v>405.09126081846171</v>
      </c>
      <c r="CE33" s="62">
        <f t="shared" si="40"/>
        <v>534.22295841722166</v>
      </c>
      <c r="CF33" s="16">
        <f>IF(ISNA(VLOOKUP(A33,'Données projet'!$A$113:$I$133,3,0)),0,VLOOKUP(A33,'Données projet'!$A$113:$I$133,3,0))</f>
        <v>8</v>
      </c>
      <c r="CG33" s="16">
        <f>IF(ISNA(VLOOKUP(A33,'Données projet'!$A$113:$I$133,4,0)),0,VLOOKUP(A33,'Données projet'!$A$113:$I$133,4,0))</f>
        <v>80.97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2.4060811651473832</v>
      </c>
      <c r="CL33" s="23">
        <f>EXP(-LN(2)/25)*CL32+(1-EXP(-LN(2)/25))/(LN(2)/25)*Calculateur!CG33*Calculateur!CI33*VLOOKUP('Données projet'!$B$12,Paramètres!$A$1:$I$89,3,0)*0.475*44/12</f>
        <v>8.7171153516456101</v>
      </c>
      <c r="CM33" s="23">
        <f>EXP(-LN(2)/2)*CM32+(1-EXP(-LN(2)/2))/(LN(2)/2)*CG33*CJ33*VLOOKUP('Données projet'!$B$12,Paramètres!$A$1:$I$89,3,0)*0.475*44/12</f>
        <v>0.36996026453140607</v>
      </c>
      <c r="CN33" s="24">
        <f t="shared" si="12"/>
        <v>11.4931567813244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117.03120000000003</v>
      </c>
      <c r="CV33" s="14">
        <f t="shared" si="41"/>
        <v>30.981569147428555</v>
      </c>
      <c r="CW33" s="22">
        <f t="shared" si="13"/>
        <v>257.78890626510474</v>
      </c>
      <c r="CX33" s="62">
        <f t="shared" si="14"/>
        <v>551.122239598438</v>
      </c>
      <c r="CY33" s="62">
        <f ca="1">AVERAGE(OFFSET($CX$3,0,0,'Données projet'!$E$13+1,1))-AVERAGE(OFFSET($H$3,0,0,'Données projet'!$E$13+1,1))</f>
        <v>466.4945858005575</v>
      </c>
      <c r="CZ33" s="62">
        <f t="shared" si="42"/>
        <v>294.45557293177131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0.215</v>
      </c>
      <c r="DE33" s="17">
        <f>IF(ISNA(VLOOKUP(A33,'Données projet'!$A$139:$I$159,7,0)),0%,VLOOKUP(A33,'Données projet'!$A$139:$I$159,7,0))</f>
        <v>0.5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9.7601262117151766</v>
      </c>
      <c r="DH33" s="23">
        <f>EXP(-LN(2)/2)*DH32+(1-EXP(-LN(2)/2))/(LN(2)/2)*DB33*DE33*VLOOKUP('Données projet'!$B$13,Paramètres!$A$1:$I$89,3,0)*0.475*44/12</f>
        <v>15.938034964871953</v>
      </c>
      <c r="DI33" s="24">
        <f t="shared" si="15"/>
        <v>25.698161176587128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98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98</v>
      </c>
      <c r="DP33" s="18">
        <f>DO33*VLOOKUP('Données projet'!$B$14,Paramètres!$A$1:$I$89,3,0)*VLOOKUP('Données projet'!$B$14,Paramètres!$A$1:$I$89,5,0)</f>
        <v>93.256799999999998</v>
      </c>
      <c r="DQ33" s="14">
        <f t="shared" si="43"/>
        <v>25.34905435685781</v>
      </c>
      <c r="DR33" s="22">
        <f t="shared" si="16"/>
        <v>206.57186300486069</v>
      </c>
      <c r="DS33" s="62">
        <f t="shared" si="17"/>
        <v>499.905196338194</v>
      </c>
      <c r="DT33" s="62">
        <f ca="1">AVERAGE(OFFSET($DS$3,0,0,'Données projet'!$E$14+1,1))-AVERAGE(OFFSET($H$3,0,0,'Données projet'!$E$14+1,1))</f>
        <v>404.20764079465965</v>
      </c>
      <c r="DU33" s="62">
        <f t="shared" si="44"/>
        <v>243.23852967152732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1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20.124830539546828</v>
      </c>
      <c r="ED33" s="24">
        <f t="shared" si="18"/>
        <v>20.124830539546828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439.06700232017681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8.8807682699548316</v>
      </c>
      <c r="AB34" s="23">
        <f>EXP(-LN(2)/2)*AB33+(1-EXP(-LN(2)/2))/(LN(2)/2)*V34*Y34*VLOOKUP('Données projet'!$B$9,Paramètres!$A$1:$I$89,3,0)*0.475*44/12</f>
        <v>10.54280275712995</v>
      </c>
      <c r="AC34" s="24">
        <f t="shared" si="3"/>
        <v>19.423571027084783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396.92963589781414</v>
      </c>
      <c r="AO34" s="62">
        <f t="shared" si="36"/>
        <v>294.38852181137639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154.99999999999994</v>
      </c>
      <c r="BE34" s="14">
        <f>BD34*VLOOKUP('Données projet'!$B$11,Paramètres!$A$1:$I$89,3,0)*VLOOKUP('Données projet'!$B$11,Paramètres!$A$1:$I$89,5,0)</f>
        <v>120.89999999999996</v>
      </c>
      <c r="BF34" s="14">
        <f t="shared" si="37"/>
        <v>31.884818143351602</v>
      </c>
      <c r="BG34" s="22">
        <f t="shared" si="7"/>
        <v>266.10022493300397</v>
      </c>
      <c r="BH34" s="62">
        <f t="shared" si="8"/>
        <v>559.43355826633729</v>
      </c>
      <c r="BI34" s="62">
        <f ca="1">AVERAGE(OFFSET($BH$3,0,0,'Données projet'!$E$11+1,1))-AVERAGE(OFFSET($H$3,0,0,'Données projet'!$E$11+1,1))</f>
        <v>288.82868507674738</v>
      </c>
      <c r="BJ34" s="62">
        <f t="shared" si="38"/>
        <v>283.48738729114024</v>
      </c>
      <c r="BK34" s="16">
        <f>IF(ISNA(VLOOKUP(A34,'Données projet'!$A$87:$I$107,3,0)),0,VLOOKUP(A34,'Données projet'!$A$87:$I$107,3,0))</f>
        <v>4</v>
      </c>
      <c r="BL34" s="16">
        <f>IF(ISNA(VLOOKUP(A34,'Données projet'!$A$87:$I$107,4,0)),0,VLOOKUP(A34,'Données projet'!$A$87:$I$107,4,0))</f>
        <v>36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6.7546579669135713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6.7546579669135713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27.439999999999998</v>
      </c>
      <c r="BY34" s="13">
        <f>IF('Données projet'!$A$114&gt;35,BY33+BX34-CG33,IF(A34&lt;'Données projet'!$A$114,$BV$205^A34,IF(A34='Données projet'!$A$114,'Données projet'!$B$114,BY33+BX34-CG33)))</f>
        <v>357.03</v>
      </c>
      <c r="BZ34" s="14">
        <f>BY34*VLOOKUP('Données projet'!$B$12,Paramètres!$A$1:$I$89,3,0)*VLOOKUP('Données projet'!$B$12,Paramètres!$A$1:$I$89,5,0)</f>
        <v>199.57977</v>
      </c>
      <c r="CA34" s="14">
        <f t="shared" si="39"/>
        <v>49.651802587972696</v>
      </c>
      <c r="CB34" s="22">
        <f t="shared" si="10"/>
        <v>434.07832225738576</v>
      </c>
      <c r="CC34" s="62">
        <f t="shared" si="11"/>
        <v>727.41165559071908</v>
      </c>
      <c r="CD34" s="62">
        <f ca="1">AVERAGE(OFFSET($CC$3,0,0,'Données projet'!$E$12+1,1))-AVERAGE(OFFSET($H$3,0,0,'Données projet'!$E$12+1,1))</f>
        <v>405.09126081846171</v>
      </c>
      <c r="CE34" s="62">
        <f t="shared" si="40"/>
        <v>534.22295841722166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2.358899381063444</v>
      </c>
      <c r="CL34" s="23">
        <f>EXP(-LN(2)/25)*CL33+(1-EXP(-LN(2)/25))/(LN(2)/25)*Calculateur!CG34*Calculateur!CI34*VLOOKUP('Données projet'!$B$12,Paramètres!$A$1:$I$89,3,0)*0.475*44/12</f>
        <v>8.4787453739416883</v>
      </c>
      <c r="CM34" s="23">
        <f>EXP(-LN(2)/2)*CM33+(1-EXP(-LN(2)/2))/(LN(2)/2)*CG34*CJ34*VLOOKUP('Données projet'!$B$12,Paramètres!$A$1:$I$89,3,0)*0.475*44/12</f>
        <v>0.26160141181972618</v>
      </c>
      <c r="CN34" s="24">
        <f t="shared" si="12"/>
        <v>11.099246166824859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103.80000000000004</v>
      </c>
      <c r="CU34" s="18">
        <f>CT34*VLOOKUP('Données projet'!$B$13,Paramètres!$A$1:$I$89,3,0)*VLOOKUP('Données projet'!$B$13,Paramètres!$A$1:$I$89,5,0)</f>
        <v>100.39536000000004</v>
      </c>
      <c r="CV34" s="14">
        <f t="shared" si="41"/>
        <v>27.056164975430569</v>
      </c>
      <c r="CW34" s="22">
        <f t="shared" si="13"/>
        <v>221.97807266554162</v>
      </c>
      <c r="CX34" s="62">
        <f t="shared" si="14"/>
        <v>515.31140599887499</v>
      </c>
      <c r="CY34" s="62">
        <f ca="1">AVERAGE(OFFSET($CX$3,0,0,'Données projet'!$E$13+1,1))-AVERAGE(OFFSET($H$3,0,0,'Données projet'!$E$13+1,1))</f>
        <v>466.4945858005575</v>
      </c>
      <c r="CZ34" s="62">
        <f t="shared" si="42"/>
        <v>294.45557293177131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9.4932350471930942</v>
      </c>
      <c r="DH34" s="23">
        <f>EXP(-LN(2)/2)*DH33+(1-EXP(-LN(2)/2))/(LN(2)/2)*DB34*DE34*VLOOKUP('Données projet'!$B$13,Paramètres!$A$1:$I$89,3,0)*0.475*44/12</f>
        <v>11.269892602449257</v>
      </c>
      <c r="DI34" s="24">
        <f t="shared" si="15"/>
        <v>20.76312764964235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7.8</v>
      </c>
      <c r="DO34" s="13">
        <f>IF('Données projet'!$A$166&gt;35,DO33+DN34-DW33,IF(A34&lt;'Données projet'!$A$166,$DL$205^A34,IF(A34='Données projet'!$A$166,'Données projet'!$B$166,DO33+DN34-DW33)))</f>
        <v>84.8</v>
      </c>
      <c r="DP34" s="18">
        <f>DO34*VLOOKUP('Données projet'!$B$14,Paramètres!$A$1:$I$89,3,0)*VLOOKUP('Données projet'!$B$14,Paramètres!$A$1:$I$89,5,0)</f>
        <v>80.695679999999996</v>
      </c>
      <c r="DQ34" s="14">
        <f t="shared" si="43"/>
        <v>22.307195695097128</v>
      </c>
      <c r="DR34" s="22">
        <f t="shared" si="16"/>
        <v>179.3966751689608</v>
      </c>
      <c r="DS34" s="62">
        <f t="shared" si="17"/>
        <v>472.73000850229414</v>
      </c>
      <c r="DT34" s="62">
        <f ca="1">AVERAGE(OFFSET($DS$3,0,0,'Données projet'!$E$14+1,1))-AVERAGE(OFFSET($H$3,0,0,'Données projet'!$E$14+1,1))</f>
        <v>404.20764079465965</v>
      </c>
      <c r="DU34" s="62">
        <f t="shared" si="44"/>
        <v>243.23852967152732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14.230404144743689</v>
      </c>
      <c r="ED34" s="24">
        <f t="shared" si="18"/>
        <v>14.230404144743689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439.06700232017681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8.6379231945936112</v>
      </c>
      <c r="AB35" s="23">
        <f>EXP(-LN(2)/2)*AB34+(1-EXP(-LN(2)/2))/(LN(2)/2)*V35*Y35*VLOOKUP('Données projet'!$B$9,Paramètres!$A$1:$I$89,3,0)*0.475*44/12</f>
        <v>7.4548873222788181</v>
      </c>
      <c r="AC35" s="24">
        <f t="shared" si="3"/>
        <v>16.092810516872429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396.92963589781414</v>
      </c>
      <c r="AO35" s="62">
        <f t="shared" si="36"/>
        <v>294.38852181137639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130.49999999999994</v>
      </c>
      <c r="BE35" s="14">
        <f>BD35*VLOOKUP('Données projet'!$B$11,Paramètres!$A$1:$I$89,3,0)*VLOOKUP('Données projet'!$B$11,Paramètres!$A$1:$I$89,5,0)</f>
        <v>101.78999999999996</v>
      </c>
      <c r="BF35" s="14">
        <f t="shared" si="37"/>
        <v>27.38799903683508</v>
      </c>
      <c r="BG35" s="22">
        <f t="shared" si="7"/>
        <v>224.98501498915437</v>
      </c>
      <c r="BH35" s="62">
        <f t="shared" si="8"/>
        <v>518.31834832248774</v>
      </c>
      <c r="BI35" s="62">
        <f ca="1">AVERAGE(OFFSET($BH$3,0,0,'Données projet'!$E$11+1,1))-AVERAGE(OFFSET($H$3,0,0,'Données projet'!$E$11+1,1))</f>
        <v>288.82868507674738</v>
      </c>
      <c r="BJ35" s="62">
        <f t="shared" si="38"/>
        <v>283.48738729114024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6.5699514895962956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6.5699514895962956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>
        <f>VLOOKUP(A35,'Données projet'!$A$113:$I$133,2,0)</f>
        <v>384.47</v>
      </c>
      <c r="BW35" s="13">
        <f>VLOOKUP(A35,'Données projet'!$A$113:$I$133,9,0)</f>
        <v>27.439999999999998</v>
      </c>
      <c r="BX35" s="13">
        <f t="array" ref="BX35">INDEX(BW:BW,MIN(IF(ISNUMBER(BW35:BW231),ROW(BW35:BW231),"")))</f>
        <v>27.439999999999998</v>
      </c>
      <c r="BY35" s="13">
        <f>IF('Données projet'!$A$114&gt;35,BY34+BX35-CG34,IF(A35&lt;'Données projet'!$A$114,$BV$205^A35,IF(A35='Données projet'!$A$114,'Données projet'!$B$114,BY34+BX35-CG34)))</f>
        <v>384.46999999999997</v>
      </c>
      <c r="BZ35" s="14">
        <f>BY35*VLOOKUP('Données projet'!$B$12,Paramètres!$A$1:$I$89,3,0)*VLOOKUP('Données projet'!$B$12,Paramètres!$A$1:$I$89,5,0)</f>
        <v>214.91872999999998</v>
      </c>
      <c r="CA35" s="14">
        <f t="shared" si="39"/>
        <v>53.008999324398879</v>
      </c>
      <c r="CB35" s="22">
        <f t="shared" si="10"/>
        <v>466.6407952399947</v>
      </c>
      <c r="CC35" s="62">
        <f t="shared" si="11"/>
        <v>759.97412857332802</v>
      </c>
      <c r="CD35" s="62">
        <f ca="1">AVERAGE(OFFSET($CC$3,0,0,'Données projet'!$E$12+1,1))-AVERAGE(OFFSET($H$3,0,0,'Données projet'!$E$12+1,1))</f>
        <v>405.09126081846171</v>
      </c>
      <c r="CE35" s="62">
        <f t="shared" si="40"/>
        <v>534.22295841722166</v>
      </c>
      <c r="CF35" s="16">
        <f>IF(ISNA(VLOOKUP(A35,'Données projet'!$A$113:$I$133,3,0)),0,VLOOKUP(A35,'Données projet'!$A$113:$I$133,3,0))</f>
        <v>9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2.312642802987344</v>
      </c>
      <c r="CL35" s="23">
        <f>EXP(-LN(2)/25)*CL34+(1-EXP(-LN(2)/25))/(LN(2)/25)*Calculateur!CG35*Calculateur!CI35*VLOOKUP('Données projet'!$B$12,Paramètres!$A$1:$I$89,3,0)*0.475*44/12</f>
        <v>8.2468936358134126</v>
      </c>
      <c r="CM35" s="23">
        <f>EXP(-LN(2)/2)*CM34+(1-EXP(-LN(2)/2))/(LN(2)/2)*CG35*CJ35*VLOOKUP('Données projet'!$B$12,Paramètres!$A$1:$I$89,3,0)*0.475*44/12</f>
        <v>0.18498013226570303</v>
      </c>
      <c r="CN35" s="24">
        <f t="shared" si="12"/>
        <v>10.744516571066461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114.60000000000004</v>
      </c>
      <c r="CU35" s="18">
        <f>CT35*VLOOKUP('Données projet'!$B$13,Paramètres!$A$1:$I$89,3,0)*VLOOKUP('Données projet'!$B$13,Paramètres!$A$1:$I$89,5,0)</f>
        <v>110.84112000000003</v>
      </c>
      <c r="CV35" s="14">
        <f t="shared" si="41"/>
        <v>29.529071061640771</v>
      </c>
      <c r="CW35" s="22">
        <f t="shared" si="13"/>
        <v>244.47808276569106</v>
      </c>
      <c r="CX35" s="62">
        <f t="shared" si="14"/>
        <v>537.81141609902443</v>
      </c>
      <c r="CY35" s="62">
        <f ca="1">AVERAGE(OFFSET($CX$3,0,0,'Données projet'!$E$13+1,1))-AVERAGE(OFFSET($H$3,0,0,'Données projet'!$E$13+1,1))</f>
        <v>466.4945858005575</v>
      </c>
      <c r="CZ35" s="62">
        <f t="shared" si="42"/>
        <v>294.45557293177131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9.2336420356000648</v>
      </c>
      <c r="DH35" s="23">
        <f>EXP(-LN(2)/2)*DH34+(1-EXP(-LN(2)/2))/(LN(2)/2)*DB35*DE35*VLOOKUP('Données projet'!$B$13,Paramètres!$A$1:$I$89,3,0)*0.475*44/12</f>
        <v>7.9690174824359783</v>
      </c>
      <c r="DI35" s="24">
        <f t="shared" si="15"/>
        <v>17.202659518036043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7.8</v>
      </c>
      <c r="DO35" s="13">
        <f>IF('Données projet'!$A$166&gt;35,DO34+DN35-DW34,IF(A35&lt;'Données projet'!$A$166,$DL$205^A35,IF(A35='Données projet'!$A$166,'Données projet'!$B$166,DO34+DN35-DW34)))</f>
        <v>92.6</v>
      </c>
      <c r="DP35" s="18">
        <f>DO35*VLOOKUP('Données projet'!$B$14,Paramètres!$A$1:$I$89,3,0)*VLOOKUP('Données projet'!$B$14,Paramètres!$A$1:$I$89,5,0)</f>
        <v>88.118160000000003</v>
      </c>
      <c r="DQ35" s="14">
        <f t="shared" si="43"/>
        <v>24.110813848758355</v>
      </c>
      <c r="DR35" s="22">
        <f t="shared" si="16"/>
        <v>195.46546278658749</v>
      </c>
      <c r="DS35" s="62">
        <f t="shared" si="17"/>
        <v>488.79879611992078</v>
      </c>
      <c r="DT35" s="62">
        <f ca="1">AVERAGE(OFFSET($DS$3,0,0,'Données projet'!$E$14+1,1))-AVERAGE(OFFSET($H$3,0,0,'Données projet'!$E$14+1,1))</f>
        <v>404.20764079465965</v>
      </c>
      <c r="DU35" s="62">
        <f t="shared" si="44"/>
        <v>243.23852967152732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10.062415269773416</v>
      </c>
      <c r="ED35" s="24">
        <f t="shared" si="18"/>
        <v>10.062415269773416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439.06700232017681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8.4017187305888097</v>
      </c>
      <c r="AB36" s="23">
        <f>EXP(-LN(2)/2)*AB35+(1-EXP(-LN(2)/2))/(LN(2)/2)*V36*Y36*VLOOKUP('Données projet'!$B$9,Paramètres!$A$1:$I$89,3,0)*0.475*44/12</f>
        <v>5.2714013785649758</v>
      </c>
      <c r="AC36" s="24">
        <f t="shared" si="3"/>
        <v>13.673120109153786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396.92963589781414</v>
      </c>
      <c r="AO36" s="62">
        <f t="shared" si="36"/>
        <v>294.38852181137639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141.99999999999994</v>
      </c>
      <c r="BE36" s="14">
        <f>BD36*VLOOKUP('Données projet'!$B$11,Paramètres!$A$1:$I$89,3,0)*VLOOKUP('Données projet'!$B$11,Paramètres!$A$1:$I$89,5,0)</f>
        <v>110.75999999999996</v>
      </c>
      <c r="BF36" s="14">
        <f t="shared" si="37"/>
        <v>29.509974682362923</v>
      </c>
      <c r="BG36" s="22">
        <f t="shared" si="7"/>
        <v>244.30353923844871</v>
      </c>
      <c r="BH36" s="62">
        <f t="shared" si="8"/>
        <v>537.63687257178208</v>
      </c>
      <c r="BI36" s="62">
        <f ca="1">AVERAGE(OFFSET($BH$3,0,0,'Données projet'!$E$11+1,1))-AVERAGE(OFFSET($H$3,0,0,'Données projet'!$E$11+1,1))</f>
        <v>288.82868507674738</v>
      </c>
      <c r="BJ36" s="62">
        <f t="shared" si="38"/>
        <v>283.48738729114024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6.3902958206145515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6.3902958206145515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28.699999999999989</v>
      </c>
      <c r="BY36" s="13">
        <f>IF('Données projet'!$A$114&gt;35,BY35+BX36-CG35,IF(A36&lt;'Données projet'!$A$114,$BV$205^A36,IF(A36='Données projet'!$A$114,'Données projet'!$B$114,BY35+BX36-CG35)))</f>
        <v>413.16999999999996</v>
      </c>
      <c r="BZ36" s="14">
        <f>BY36*VLOOKUP('Données projet'!$B$12,Paramètres!$A$1:$I$89,3,0)*VLOOKUP('Données projet'!$B$12,Paramètres!$A$1:$I$89,5,0)</f>
        <v>230.96203</v>
      </c>
      <c r="CA36" s="14">
        <f t="shared" si="39"/>
        <v>56.49064435022833</v>
      </c>
      <c r="CB36" s="22">
        <f t="shared" si="10"/>
        <v>500.64674115998105</v>
      </c>
      <c r="CC36" s="62">
        <f t="shared" si="11"/>
        <v>793.98007449331431</v>
      </c>
      <c r="CD36" s="62">
        <f ca="1">AVERAGE(OFFSET($CC$3,0,0,'Données projet'!$E$12+1,1))-AVERAGE(OFFSET($H$3,0,0,'Données projet'!$E$12+1,1))</f>
        <v>405.09126081846171</v>
      </c>
      <c r="CE36" s="62">
        <f t="shared" si="40"/>
        <v>534.22295841722166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2.2672932881935894</v>
      </c>
      <c r="CL36" s="23">
        <f>EXP(-LN(2)/25)*CL35+(1-EXP(-LN(2)/25))/(LN(2)/25)*Calculateur!CG36*Calculateur!CI36*VLOOKUP('Données projet'!$B$12,Paramètres!$A$1:$I$89,3,0)*0.475*44/12</f>
        <v>8.0213818956568073</v>
      </c>
      <c r="CM36" s="23">
        <f>EXP(-LN(2)/2)*CM35+(1-EXP(-LN(2)/2))/(LN(2)/2)*CG36*CJ36*VLOOKUP('Données projet'!$B$12,Paramètres!$A$1:$I$89,3,0)*0.475*44/12</f>
        <v>0.13080070590986309</v>
      </c>
      <c r="CN36" s="24">
        <f t="shared" si="12"/>
        <v>10.41947588976026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125.40000000000003</v>
      </c>
      <c r="CU36" s="18">
        <f>CT36*VLOOKUP('Données projet'!$B$13,Paramètres!$A$1:$I$89,3,0)*VLOOKUP('Données projet'!$B$13,Paramètres!$A$1:$I$89,5,0)</f>
        <v>121.28688000000004</v>
      </c>
      <c r="CV36" s="14">
        <f t="shared" si="41"/>
        <v>31.974956333849104</v>
      </c>
      <c r="CW36" s="22">
        <f t="shared" si="13"/>
        <v>266.93103161478729</v>
      </c>
      <c r="CX36" s="62">
        <f t="shared" si="14"/>
        <v>560.2643649481206</v>
      </c>
      <c r="CY36" s="62">
        <f ca="1">AVERAGE(OFFSET($CX$3,0,0,'Données projet'!$E$13+1,1))-AVERAGE(OFFSET($H$3,0,0,'Données projet'!$E$13+1,1))</f>
        <v>466.4945858005575</v>
      </c>
      <c r="CZ36" s="62">
        <f t="shared" si="42"/>
        <v>294.45557293177131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8.98114760856045</v>
      </c>
      <c r="DH36" s="23">
        <f>EXP(-LN(2)/2)*DH35+(1-EXP(-LN(2)/2))/(LN(2)/2)*DB36*DE36*VLOOKUP('Données projet'!$B$13,Paramètres!$A$1:$I$89,3,0)*0.475*44/12</f>
        <v>5.6349463012246295</v>
      </c>
      <c r="DI36" s="24">
        <f t="shared" si="15"/>
        <v>14.616093909785079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7.8</v>
      </c>
      <c r="DO36" s="13">
        <f>IF('Données projet'!$A$166&gt;35,DO35+DN36-DW35,IF(A36&lt;'Données projet'!$A$166,$DL$205^A36,IF(A36='Données projet'!$A$166,'Données projet'!$B$166,DO35+DN36-DW35)))</f>
        <v>100.39999999999999</v>
      </c>
      <c r="DP36" s="18">
        <f>DO36*VLOOKUP('Données projet'!$B$14,Paramètres!$A$1:$I$89,3,0)*VLOOKUP('Données projet'!$B$14,Paramètres!$A$1:$I$89,5,0)</f>
        <v>95.540639999999996</v>
      </c>
      <c r="DQ36" s="14">
        <f t="shared" si="43"/>
        <v>25.89681240703468</v>
      </c>
      <c r="DR36" s="22">
        <f t="shared" si="16"/>
        <v>211.50356294225205</v>
      </c>
      <c r="DS36" s="62">
        <f t="shared" si="17"/>
        <v>504.83689627558533</v>
      </c>
      <c r="DT36" s="62">
        <f ca="1">AVERAGE(OFFSET($DS$3,0,0,'Données projet'!$E$14+1,1))-AVERAGE(OFFSET($H$3,0,0,'Données projet'!$E$14+1,1))</f>
        <v>404.20764079465965</v>
      </c>
      <c r="DU36" s="62">
        <f t="shared" si="44"/>
        <v>243.23852967152732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7.1152020723718454</v>
      </c>
      <c r="ED36" s="24">
        <f t="shared" si="18"/>
        <v>7.1152020723718454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439.06700232017681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8.171973290073673</v>
      </c>
      <c r="AB37" s="23">
        <f>EXP(-LN(2)/2)*AB36+(1-EXP(-LN(2)/2))/(LN(2)/2)*V37*Y37*VLOOKUP('Données projet'!$B$9,Paramètres!$A$1:$I$89,3,0)*0.475*44/12</f>
        <v>3.7274436611394095</v>
      </c>
      <c r="AC37" s="24">
        <f t="shared" si="3"/>
        <v>11.899416951213082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396.92963589781414</v>
      </c>
      <c r="AO37" s="62">
        <f t="shared" si="36"/>
        <v>294.38852181137639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153.49999999999994</v>
      </c>
      <c r="BE37" s="14">
        <f>BD37*VLOOKUP('Données projet'!$B$11,Paramètres!$A$1:$I$89,3,0)*VLOOKUP('Données projet'!$B$11,Paramètres!$A$1:$I$89,5,0)</f>
        <v>119.72999999999996</v>
      </c>
      <c r="BF37" s="14">
        <f t="shared" si="37"/>
        <v>31.612017974790529</v>
      </c>
      <c r="BG37" s="22">
        <f t="shared" si="7"/>
        <v>263.58734797276003</v>
      </c>
      <c r="BH37" s="62">
        <f t="shared" si="8"/>
        <v>556.92068130609334</v>
      </c>
      <c r="BI37" s="62">
        <f ca="1">AVERAGE(OFFSET($BH$3,0,0,'Données projet'!$E$11+1,1))-AVERAGE(OFFSET($H$3,0,0,'Données projet'!$E$11+1,1))</f>
        <v>288.82868507674738</v>
      </c>
      <c r="BJ37" s="62">
        <f t="shared" si="38"/>
        <v>283.48738729114024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6.2155528453487943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6.2155528453487943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441.87</v>
      </c>
      <c r="BW37" s="13">
        <f>VLOOKUP(A37,'Données projet'!$A$113:$I$133,9,0)</f>
        <v>28.699999999999989</v>
      </c>
      <c r="BX37" s="13">
        <f t="array" ref="BX37">INDEX(BW:BW,MIN(IF(ISNUMBER(BW37:BW233),ROW(BW37:BW233),"")))</f>
        <v>28.699999999999989</v>
      </c>
      <c r="BY37" s="13">
        <f>IF('Données projet'!$A$114&gt;35,BY36+BX37-CG36,IF(A37&lt;'Données projet'!$A$114,$BV$205^A37,IF(A37='Données projet'!$A$114,'Données projet'!$B$114,BY36+BX37-CG36)))</f>
        <v>441.86999999999995</v>
      </c>
      <c r="BZ37" s="14">
        <f>BY37*VLOOKUP('Données projet'!$B$12,Paramètres!$A$1:$I$89,3,0)*VLOOKUP('Données projet'!$B$12,Paramètres!$A$1:$I$89,5,0)</f>
        <v>247.00532999999996</v>
      </c>
      <c r="CA37" s="14">
        <f t="shared" si="39"/>
        <v>59.944228275257743</v>
      </c>
      <c r="CB37" s="22">
        <f t="shared" si="10"/>
        <v>534.60381399607388</v>
      </c>
      <c r="CC37" s="62">
        <f t="shared" si="11"/>
        <v>827.93714732940725</v>
      </c>
      <c r="CD37" s="62">
        <f ca="1">AVERAGE(OFFSET($CC$3,0,0,'Données projet'!$E$12+1,1))-AVERAGE(OFFSET($H$3,0,0,'Données projet'!$E$12+1,1))</f>
        <v>405.09126081846171</v>
      </c>
      <c r="CE37" s="62">
        <f t="shared" si="40"/>
        <v>534.22295841722166</v>
      </c>
      <c r="CF37" s="16">
        <f>IF(ISNA(VLOOKUP(A37,'Données projet'!$A$113:$I$133,3,0)),0,VLOOKUP(A37,'Données projet'!$A$113:$I$133,3,0))</f>
        <v>10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2.2228330497244677</v>
      </c>
      <c r="CL37" s="23">
        <f>EXP(-LN(2)/25)*CL36+(1-EXP(-LN(2)/25))/(LN(2)/25)*Calculateur!CG37*Calculateur!CI37*VLOOKUP('Données projet'!$B$12,Paramètres!$A$1:$I$89,3,0)*0.475*44/12</f>
        <v>7.8020367858939315</v>
      </c>
      <c r="CM37" s="23">
        <f>EXP(-LN(2)/2)*CM36+(1-EXP(-LN(2)/2))/(LN(2)/2)*CG37*CJ37*VLOOKUP('Données projet'!$B$12,Paramètres!$A$1:$I$89,3,0)*0.475*44/12</f>
        <v>9.2490066132851517E-2</v>
      </c>
      <c r="CN37" s="24">
        <f t="shared" si="12"/>
        <v>10.117359901751252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136.20000000000005</v>
      </c>
      <c r="CU37" s="18">
        <f>CT37*VLOOKUP('Données projet'!$B$13,Paramètres!$A$1:$I$89,3,0)*VLOOKUP('Données projet'!$B$13,Paramètres!$A$1:$I$89,5,0)</f>
        <v>131.73264000000006</v>
      </c>
      <c r="CV37" s="14">
        <f t="shared" si="41"/>
        <v>34.396412537492502</v>
      </c>
      <c r="CW37" s="22">
        <f t="shared" si="13"/>
        <v>289.3414331694662</v>
      </c>
      <c r="CX37" s="62">
        <f t="shared" si="14"/>
        <v>582.67476650279946</v>
      </c>
      <c r="CY37" s="62">
        <f ca="1">AVERAGE(OFFSET($CX$3,0,0,'Données projet'!$E$13+1,1))-AVERAGE(OFFSET($H$3,0,0,'Données projet'!$E$13+1,1))</f>
        <v>466.4945858005575</v>
      </c>
      <c r="CZ37" s="62">
        <f t="shared" si="42"/>
        <v>294.45557293177131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8.735557654906339</v>
      </c>
      <c r="DH37" s="23">
        <f>EXP(-LN(2)/2)*DH36+(1-EXP(-LN(2)/2))/(LN(2)/2)*DB37*DE37*VLOOKUP('Données projet'!$B$13,Paramètres!$A$1:$I$89,3,0)*0.475*44/12</f>
        <v>3.9845087412179896</v>
      </c>
      <c r="DI37" s="24">
        <f t="shared" si="15"/>
        <v>12.720066396124329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7.8</v>
      </c>
      <c r="DO37" s="13">
        <f>IF('Données projet'!$A$166&gt;35,DO36+DN37-DW36,IF(A37&lt;'Données projet'!$A$166,$DL$205^A37,IF(A37='Données projet'!$A$166,'Données projet'!$B$166,DO36+DN37-DW36)))</f>
        <v>108.19999999999999</v>
      </c>
      <c r="DP37" s="18">
        <f>DO37*VLOOKUP('Données projet'!$B$14,Paramètres!$A$1:$I$89,3,0)*VLOOKUP('Données projet'!$B$14,Paramètres!$A$1:$I$89,5,0)</f>
        <v>102.96311999999999</v>
      </c>
      <c r="DQ37" s="14">
        <f t="shared" si="43"/>
        <v>27.666715856510024</v>
      </c>
      <c r="DR37" s="22">
        <f t="shared" si="16"/>
        <v>227.51363078342158</v>
      </c>
      <c r="DS37" s="62">
        <f t="shared" si="17"/>
        <v>520.84696411675486</v>
      </c>
      <c r="DT37" s="62">
        <f ca="1">AVERAGE(OFFSET($DS$3,0,0,'Données projet'!$E$14+1,1))-AVERAGE(OFFSET($H$3,0,0,'Données projet'!$E$14+1,1))</f>
        <v>404.20764079465965</v>
      </c>
      <c r="DU37" s="62">
        <f t="shared" si="44"/>
        <v>243.23852967152732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5.0312076348867087</v>
      </c>
      <c r="ED37" s="24">
        <f t="shared" si="18"/>
        <v>5.0312076348867087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439.06700232017681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7.9485102507112106</v>
      </c>
      <c r="AB38" s="23">
        <f>EXP(-LN(2)/2)*AB37+(1-EXP(-LN(2)/2))/(LN(2)/2)*V38*Y38*VLOOKUP('Données projet'!$B$9,Paramètres!$A$1:$I$89,3,0)*0.475*44/12</f>
        <v>2.6357006892824884</v>
      </c>
      <c r="AC38" s="24">
        <f t="shared" si="3"/>
        <v>10.584210939993699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396.92963589781414</v>
      </c>
      <c r="AO38" s="62">
        <f t="shared" si="36"/>
        <v>294.38852181137639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164.99999999999994</v>
      </c>
      <c r="BE38" s="14">
        <f>BD38*VLOOKUP('Données projet'!$B$11,Paramètres!$A$1:$I$89,3,0)*VLOOKUP('Données projet'!$B$11,Paramètres!$A$1:$I$89,5,0)</f>
        <v>128.69999999999996</v>
      </c>
      <c r="BF38" s="14">
        <f t="shared" si="37"/>
        <v>33.695792019186115</v>
      </c>
      <c r="BG38" s="22">
        <f t="shared" si="7"/>
        <v>282.83933776674911</v>
      </c>
      <c r="BH38" s="62">
        <f t="shared" si="8"/>
        <v>576.17267110008243</v>
      </c>
      <c r="BI38" s="62">
        <f ca="1">AVERAGE(OFFSET($BH$3,0,0,'Données projet'!$E$11+1,1))-AVERAGE(OFFSET($H$3,0,0,'Données projet'!$E$11+1,1))</f>
        <v>288.82868507674738</v>
      </c>
      <c r="BJ38" s="62">
        <f t="shared" si="38"/>
        <v>283.48738729114024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6.045588225931013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6.045588225931013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29.77000000000001</v>
      </c>
      <c r="BY38" s="13">
        <f>IF('Données projet'!$A$114&gt;35,BY37+BX38-CG37,IF(A38&lt;'Données projet'!$A$114,$BV$205^A38,IF(A38='Données projet'!$A$114,'Données projet'!$B$114,BY37+BX38-CG37)))</f>
        <v>471.64</v>
      </c>
      <c r="BZ38" s="14">
        <f>BY38*VLOOKUP('Données projet'!$B$12,Paramètres!$A$1:$I$89,3,0)*VLOOKUP('Données projet'!$B$12,Paramètres!$A$1:$I$89,5,0)</f>
        <v>263.64675999999997</v>
      </c>
      <c r="CA38" s="14">
        <f t="shared" si="39"/>
        <v>63.49908855254693</v>
      </c>
      <c r="CB38" s="22">
        <f t="shared" si="10"/>
        <v>569.77901956235246</v>
      </c>
      <c r="CC38" s="62">
        <f t="shared" si="11"/>
        <v>863.11235289568572</v>
      </c>
      <c r="CD38" s="62">
        <f ca="1">AVERAGE(OFFSET($CC$3,0,0,'Données projet'!$E$12+1,1))-AVERAGE(OFFSET($H$3,0,0,'Données projet'!$E$12+1,1))</f>
        <v>405.09126081846171</v>
      </c>
      <c r="CE38" s="62">
        <f t="shared" si="40"/>
        <v>534.22295841722166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2.1792446494136577</v>
      </c>
      <c r="CL38" s="23">
        <f>EXP(-LN(2)/25)*CL37+(1-EXP(-LN(2)/25))/(LN(2)/25)*Calculateur!CG38*Calculateur!CI38*VLOOKUP('Données projet'!$B$12,Paramètres!$A$1:$I$89,3,0)*0.475*44/12</f>
        <v>7.5886896796923793</v>
      </c>
      <c r="CM38" s="23">
        <f>EXP(-LN(2)/2)*CM37+(1-EXP(-LN(2)/2))/(LN(2)/2)*CG38*CJ38*VLOOKUP('Données projet'!$B$12,Paramètres!$A$1:$I$89,3,0)*0.475*44/12</f>
        <v>6.5400352954931545E-2</v>
      </c>
      <c r="CN38" s="24">
        <f t="shared" si="12"/>
        <v>9.8333346820609684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147.00000000000006</v>
      </c>
      <c r="CU38" s="18">
        <f>CT38*VLOOKUP('Données projet'!$B$13,Paramètres!$A$1:$I$89,3,0)*VLOOKUP('Données projet'!$B$13,Paramètres!$A$1:$I$89,5,0)</f>
        <v>142.17840000000004</v>
      </c>
      <c r="CV38" s="14">
        <f t="shared" si="41"/>
        <v>36.795597013009356</v>
      </c>
      <c r="CW38" s="22">
        <f t="shared" si="13"/>
        <v>311.71304479765803</v>
      </c>
      <c r="CX38" s="62">
        <f t="shared" si="14"/>
        <v>605.04637813099134</v>
      </c>
      <c r="CY38" s="62">
        <f ca="1">AVERAGE(OFFSET($CX$3,0,0,'Données projet'!$E$13+1,1))-AVERAGE(OFFSET($H$3,0,0,'Données projet'!$E$13+1,1))</f>
        <v>466.4945858005575</v>
      </c>
      <c r="CZ38" s="62">
        <f t="shared" si="42"/>
        <v>294.45557293177131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8.4966833714499135</v>
      </c>
      <c r="DH38" s="23">
        <f>EXP(-LN(2)/2)*DH37+(1-EXP(-LN(2)/2))/(LN(2)/2)*DB38*DE38*VLOOKUP('Données projet'!$B$13,Paramètres!$A$1:$I$89,3,0)*0.475*44/12</f>
        <v>2.8174731506123152</v>
      </c>
      <c r="DI38" s="24">
        <f t="shared" si="15"/>
        <v>11.314156522062229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7.8</v>
      </c>
      <c r="DN38" s="13">
        <f t="array" ref="DN38">INDEX(DM:DM,MIN(IF(ISNUMBER(DM38:DM234),ROW(DM38:DM234),"")))</f>
        <v>7.8</v>
      </c>
      <c r="DO38" s="13">
        <f>IF('Données projet'!$A$166&gt;35,DO37+DN38-DW37,IF(A38&lt;'Données projet'!$A$166,$DL$205^A38,IF(A38='Données projet'!$A$166,'Données projet'!$B$166,DO37+DN38-DW37)))</f>
        <v>115.99999999999999</v>
      </c>
      <c r="DP38" s="18">
        <f>DO38*VLOOKUP('Données projet'!$B$14,Paramètres!$A$1:$I$89,3,0)*VLOOKUP('Données projet'!$B$14,Paramètres!$A$1:$I$89,5,0)</f>
        <v>110.3856</v>
      </c>
      <c r="DQ38" s="14">
        <f t="shared" si="43"/>
        <v>29.421816429201407</v>
      </c>
      <c r="DR38" s="22">
        <f t="shared" si="16"/>
        <v>243.49791694752571</v>
      </c>
      <c r="DS38" s="62">
        <f t="shared" si="17"/>
        <v>536.83125028085897</v>
      </c>
      <c r="DT38" s="62">
        <f ca="1">AVERAGE(OFFSET($DS$3,0,0,'Données projet'!$E$14+1,1))-AVERAGE(OFFSET($H$3,0,0,'Données projet'!$E$14+1,1))</f>
        <v>404.20764079465965</v>
      </c>
      <c r="DU38" s="62">
        <f t="shared" si="44"/>
        <v>243.23852967152732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21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3.5576010361859236</v>
      </c>
      <c r="ED38" s="24">
        <f t="shared" si="18"/>
        <v>3.5576010361859236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439.06700232017681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7.731157819911525</v>
      </c>
      <c r="AB39" s="23">
        <f>EXP(-LN(2)/2)*AB38+(1-EXP(-LN(2)/2))/(LN(2)/2)*V39*Y39*VLOOKUP('Données projet'!$B$9,Paramètres!$A$1:$I$89,3,0)*0.475*44/12</f>
        <v>1.8637218305697052</v>
      </c>
      <c r="AC39" s="24">
        <f t="shared" si="3"/>
        <v>9.5948796504812304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396.92963589781414</v>
      </c>
      <c r="AO39" s="62">
        <f t="shared" si="36"/>
        <v>294.38852181137639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176.49999999999994</v>
      </c>
      <c r="BE39" s="14">
        <f>BD39*VLOOKUP('Données projet'!$B$11,Paramètres!$A$1:$I$89,3,0)*VLOOKUP('Données projet'!$B$11,Paramètres!$A$1:$I$89,5,0)</f>
        <v>137.66999999999996</v>
      </c>
      <c r="BF39" s="14">
        <f t="shared" si="37"/>
        <v>35.762714965854656</v>
      </c>
      <c r="BG39" s="22">
        <f t="shared" si="7"/>
        <v>302.06197856553007</v>
      </c>
      <c r="BH39" s="62">
        <f t="shared" si="8"/>
        <v>595.39531189886338</v>
      </c>
      <c r="BI39" s="62">
        <f ca="1">AVERAGE(OFFSET($BH$3,0,0,'Données projet'!$E$11+1,1))-AVERAGE(OFFSET($H$3,0,0,'Données projet'!$E$11+1,1))</f>
        <v>288.82868507674738</v>
      </c>
      <c r="BJ39" s="62">
        <f t="shared" si="38"/>
        <v>283.48738729114024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5.8802712979692622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5.8802712979692622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501.41</v>
      </c>
      <c r="BW39" s="13">
        <f>VLOOKUP(A39,'Données projet'!$A$113:$I$133,9,0)</f>
        <v>29.77000000000001</v>
      </c>
      <c r="BX39" s="13">
        <f t="array" ref="BX39">INDEX(BW:BW,MIN(IF(ISNUMBER(BW39:BW235),ROW(BW39:BW235),"")))</f>
        <v>29.77000000000001</v>
      </c>
      <c r="BY39" s="13">
        <f>IF('Données projet'!$A$114&gt;35,BY38+BX39-CG38,IF(A39&lt;'Données projet'!$A$114,$BV$205^A39,IF(A39='Données projet'!$A$114,'Données projet'!$B$114,BY38+BX39-CG38)))</f>
        <v>501.40999999999997</v>
      </c>
      <c r="BZ39" s="14">
        <f>BY39*VLOOKUP('Données projet'!$B$12,Paramètres!$A$1:$I$89,3,0)*VLOOKUP('Données projet'!$B$12,Paramètres!$A$1:$I$89,5,0)</f>
        <v>280.28818999999999</v>
      </c>
      <c r="CA39" s="14">
        <f t="shared" si="39"/>
        <v>67.027908065763796</v>
      </c>
      <c r="CB39" s="22">
        <f t="shared" si="10"/>
        <v>604.90887079787183</v>
      </c>
      <c r="CC39" s="62">
        <f t="shared" si="11"/>
        <v>898.2422041312052</v>
      </c>
      <c r="CD39" s="62">
        <f ca="1">AVERAGE(OFFSET($CC$3,0,0,'Données projet'!$E$12+1,1))-AVERAGE(OFFSET($H$3,0,0,'Données projet'!$E$12+1,1))</f>
        <v>405.09126081846171</v>
      </c>
      <c r="CE39" s="62">
        <f t="shared" si="40"/>
        <v>534.22295841722166</v>
      </c>
      <c r="CF39" s="16">
        <f>IF(ISNA(VLOOKUP(A39,'Données projet'!$A$113:$I$133,3,0)),0,VLOOKUP(A39,'Données projet'!$A$113:$I$133,3,0))</f>
        <v>11</v>
      </c>
      <c r="CG39" s="16">
        <f>IF(ISNA(VLOOKUP(A39,'Données projet'!$A$113:$I$133,4,0)),0,VLOOKUP(A39,'Données projet'!$A$113:$I$133,4,0))</f>
        <v>85.88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2.1365109910466438</v>
      </c>
      <c r="CL39" s="23">
        <f>EXP(-LN(2)/25)*CL38+(1-EXP(-LN(2)/25))/(LN(2)/25)*Calculateur!CG39*Calculateur!CI39*VLOOKUP('Données projet'!$B$12,Paramètres!$A$1:$I$89,3,0)*0.475*44/12</f>
        <v>7.3811765613293447</v>
      </c>
      <c r="CM39" s="23">
        <f>EXP(-LN(2)/2)*CM38+(1-EXP(-LN(2)/2))/(LN(2)/2)*CG39*CJ39*VLOOKUP('Données projet'!$B$12,Paramètres!$A$1:$I$89,3,0)*0.475*44/12</f>
        <v>4.6245033066425759E-2</v>
      </c>
      <c r="CN39" s="24">
        <f t="shared" si="12"/>
        <v>9.563932585442414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130.20000000000005</v>
      </c>
      <c r="CU39" s="18">
        <f>CT39*VLOOKUP('Données projet'!$B$13,Paramètres!$A$1:$I$89,3,0)*VLOOKUP('Données projet'!$B$13,Paramètres!$A$1:$I$89,5,0)</f>
        <v>125.92944000000006</v>
      </c>
      <c r="CV39" s="14">
        <f t="shared" si="41"/>
        <v>33.054038034052077</v>
      </c>
      <c r="CW39" s="22">
        <f t="shared" si="13"/>
        <v>276.89622424264081</v>
      </c>
      <c r="CX39" s="62">
        <f t="shared" si="14"/>
        <v>570.22955757597413</v>
      </c>
      <c r="CY39" s="62">
        <f ca="1">AVERAGE(OFFSET($CX$3,0,0,'Données projet'!$E$13+1,1))-AVERAGE(OFFSET($H$3,0,0,'Données projet'!$E$13+1,1))</f>
        <v>466.4945858005575</v>
      </c>
      <c r="CZ39" s="62">
        <f t="shared" si="42"/>
        <v>294.45557293177131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8.264341117836457</v>
      </c>
      <c r="DH39" s="23">
        <f>EXP(-LN(2)/2)*DH38+(1-EXP(-LN(2)/2))/(LN(2)/2)*DB39*DE39*VLOOKUP('Données projet'!$B$13,Paramètres!$A$1:$I$89,3,0)*0.475*44/12</f>
        <v>1.9922543706089952</v>
      </c>
      <c r="DI39" s="24">
        <f t="shared" si="15"/>
        <v>10.256595488445452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103.39999999999999</v>
      </c>
      <c r="DP39" s="18">
        <f>DO39*VLOOKUP('Données projet'!$B$14,Paramètres!$A$1:$I$89,3,0)*VLOOKUP('Données projet'!$B$14,Paramètres!$A$1:$I$89,5,0)</f>
        <v>98.395439999999994</v>
      </c>
      <c r="DQ39" s="14">
        <f t="shared" si="43"/>
        <v>26.57937412584554</v>
      </c>
      <c r="DR39" s="22">
        <f t="shared" si="16"/>
        <v>217.66446793584763</v>
      </c>
      <c r="DS39" s="62">
        <f t="shared" si="17"/>
        <v>510.99780126918097</v>
      </c>
      <c r="DT39" s="62">
        <f ca="1">AVERAGE(OFFSET($DS$3,0,0,'Données projet'!$E$14+1,1))-AVERAGE(OFFSET($H$3,0,0,'Données projet'!$E$14+1,1))</f>
        <v>404.20764079465965</v>
      </c>
      <c r="DU39" s="62">
        <f t="shared" si="44"/>
        <v>243.23852967152732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2.5156038174433548</v>
      </c>
      <c r="ED39" s="24">
        <f t="shared" si="18"/>
        <v>2.5156038174433548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439.06700232017681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7.5197489027621245</v>
      </c>
      <c r="AB40" s="23">
        <f>EXP(-LN(2)/2)*AB39+(1-EXP(-LN(2)/2))/(LN(2)/2)*V40*Y40*VLOOKUP('Données projet'!$B$9,Paramètres!$A$1:$I$89,3,0)*0.475*44/12</f>
        <v>1.3178503446412444</v>
      </c>
      <c r="AC40" s="24">
        <f t="shared" si="3"/>
        <v>8.837599247403368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396.92963589781414</v>
      </c>
      <c r="AO40" s="62">
        <f t="shared" si="36"/>
        <v>294.38852181137639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188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187.99999999999994</v>
      </c>
      <c r="BE40" s="14">
        <f>BD40*VLOOKUP('Données projet'!$B$11,Paramètres!$A$1:$I$89,3,0)*VLOOKUP('Données projet'!$B$11,Paramètres!$A$1:$I$89,5,0)</f>
        <v>146.63999999999996</v>
      </c>
      <c r="BF40" s="14">
        <f t="shared" si="37"/>
        <v>37.814009712703026</v>
      </c>
      <c r="BG40" s="22">
        <f t="shared" si="7"/>
        <v>321.25740024962437</v>
      </c>
      <c r="BH40" s="62">
        <f t="shared" si="8"/>
        <v>614.59073358295768</v>
      </c>
      <c r="BI40" s="62">
        <f ca="1">AVERAGE(OFFSET($BH$3,0,0,'Données projet'!$E$11+1,1))-AVERAGE(OFFSET($H$3,0,0,'Données projet'!$E$11+1,1))</f>
        <v>288.82868507674738</v>
      </c>
      <c r="BJ40" s="62">
        <f t="shared" si="38"/>
        <v>283.48738729114024</v>
      </c>
      <c r="BK40" s="16">
        <f>IF(ISNA(VLOOKUP(A40,'Données projet'!$A$87:$I$107,3,0)),0,VLOOKUP(A40,'Données projet'!$A$87:$I$107,3,0))</f>
        <v>5</v>
      </c>
      <c r="BL40" s="16">
        <f>IF(ISNA(VLOOKUP(A40,'Données projet'!$A$87:$I$107,4,0)),0,VLOOKUP(A40,'Données projet'!$A$87:$I$107,4,0))</f>
        <v>36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5.7194749700962646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5.7194749700962646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27.234999999999985</v>
      </c>
      <c r="BY40" s="13">
        <f>IF('Données projet'!$A$114&gt;35,BY39+BX40-CG39,IF(A40&lt;'Données projet'!$A$114,$BV$205^A40,IF(A40='Données projet'!$A$114,'Données projet'!$B$114,BY39+BX40-CG39)))</f>
        <v>442.76499999999999</v>
      </c>
      <c r="BZ40" s="14">
        <f>BY40*VLOOKUP('Données projet'!$B$12,Paramètres!$A$1:$I$89,3,0)*VLOOKUP('Données projet'!$B$12,Paramètres!$A$1:$I$89,5,0)</f>
        <v>247.50563500000001</v>
      </c>
      <c r="CA40" s="14">
        <f t="shared" si="39"/>
        <v>60.051498808282631</v>
      </c>
      <c r="CB40" s="22">
        <f t="shared" si="10"/>
        <v>535.66200804942548</v>
      </c>
      <c r="CC40" s="62">
        <f t="shared" si="11"/>
        <v>828.99534138275885</v>
      </c>
      <c r="CD40" s="62">
        <f ca="1">AVERAGE(OFFSET($CC$3,0,0,'Données projet'!$E$12+1,1))-AVERAGE(OFFSET($H$3,0,0,'Données projet'!$E$12+1,1))</f>
        <v>405.09126081846171</v>
      </c>
      <c r="CE40" s="62">
        <f t="shared" si="40"/>
        <v>534.22295841722166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2.094615313655249</v>
      </c>
      <c r="CL40" s="23">
        <f>EXP(-LN(2)/25)*CL39+(1-EXP(-LN(2)/25))/(LN(2)/25)*Calculateur!CG40*Calculateur!CI40*VLOOKUP('Données projet'!$B$12,Paramètres!$A$1:$I$89,3,0)*0.475*44/12</f>
        <v>7.1793379001005881</v>
      </c>
      <c r="CM40" s="23">
        <f>EXP(-LN(2)/2)*CM39+(1-EXP(-LN(2)/2))/(LN(2)/2)*CG40*CJ40*VLOOKUP('Données projet'!$B$12,Paramètres!$A$1:$I$89,3,0)*0.475*44/12</f>
        <v>3.2700176477465773E-2</v>
      </c>
      <c r="CN40" s="24">
        <f t="shared" si="12"/>
        <v>9.3066533902333024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141.40000000000003</v>
      </c>
      <c r="CU40" s="18">
        <f>CT40*VLOOKUP('Données projet'!$B$13,Paramètres!$A$1:$I$89,3,0)*VLOOKUP('Données projet'!$B$13,Paramètres!$A$1:$I$89,5,0)</f>
        <v>136.76208000000003</v>
      </c>
      <c r="CV40" s="14">
        <f t="shared" si="41"/>
        <v>35.554236342883392</v>
      </c>
      <c r="CW40" s="22">
        <f t="shared" si="13"/>
        <v>300.11758429718861</v>
      </c>
      <c r="CX40" s="62">
        <f t="shared" si="14"/>
        <v>593.45091763052187</v>
      </c>
      <c r="CY40" s="62">
        <f ca="1">AVERAGE(OFFSET($CX$3,0,0,'Données projet'!$E$13+1,1))-AVERAGE(OFFSET($H$3,0,0,'Données projet'!$E$13+1,1))</f>
        <v>466.4945858005575</v>
      </c>
      <c r="CZ40" s="62">
        <f t="shared" si="42"/>
        <v>294.45557293177131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8.0383522753664085</v>
      </c>
      <c r="DH40" s="23">
        <f>EXP(-LN(2)/2)*DH39+(1-EXP(-LN(2)/2))/(LN(2)/2)*DB40*DE40*VLOOKUP('Données projet'!$B$13,Paramètres!$A$1:$I$89,3,0)*0.475*44/12</f>
        <v>1.4087365753061578</v>
      </c>
      <c r="DI40" s="24">
        <f t="shared" si="15"/>
        <v>9.4470888506725661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</v>
      </c>
      <c r="DP40" s="18">
        <f>DO40*VLOOKUP('Données projet'!$B$14,Paramètres!$A$1:$I$89,3,0)*VLOOKUP('Données projet'!$B$14,Paramètres!$A$1:$I$89,5,0)</f>
        <v>106.38887999999999</v>
      </c>
      <c r="DQ40" s="14">
        <f t="shared" si="43"/>
        <v>28.478530760975403</v>
      </c>
      <c r="DR40" s="22">
        <f t="shared" si="16"/>
        <v>234.89407374203213</v>
      </c>
      <c r="DS40" s="62">
        <f t="shared" si="17"/>
        <v>528.22740707536548</v>
      </c>
      <c r="DT40" s="62">
        <f ca="1">AVERAGE(OFFSET($DS$3,0,0,'Données projet'!$E$14+1,1))-AVERAGE(OFFSET($H$3,0,0,'Données projet'!$E$14+1,1))</f>
        <v>404.20764079465965</v>
      </c>
      <c r="DU40" s="62">
        <f t="shared" si="44"/>
        <v>243.23852967152732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1.778800518092962</v>
      </c>
      <c r="ED40" s="24">
        <f t="shared" si="18"/>
        <v>1.778800518092962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439.06700232017681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7.3141209735696862</v>
      </c>
      <c r="AB41" s="23">
        <f>EXP(-LN(2)/2)*AB40+(1-EXP(-LN(2)/2))/(LN(2)/2)*V41*Y41*VLOOKUP('Données projet'!$B$9,Paramètres!$A$1:$I$89,3,0)*0.475*44/12</f>
        <v>0.93186091528485271</v>
      </c>
      <c r="AC41" s="24">
        <f t="shared" si="3"/>
        <v>8.2459818888545389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396.92963589781414</v>
      </c>
      <c r="AO41" s="62">
        <f t="shared" si="36"/>
        <v>294.38852181137639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163.14285714285708</v>
      </c>
      <c r="BE41" s="14">
        <f>BD41*VLOOKUP('Données projet'!$B$11,Paramètres!$A$1:$I$89,3,0)*VLOOKUP('Données projet'!$B$11,Paramètres!$A$1:$I$89,5,0)</f>
        <v>127.25142857142853</v>
      </c>
      <c r="BF41" s="14">
        <f t="shared" si="37"/>
        <v>33.360457439554281</v>
      </c>
      <c r="BG41" s="22">
        <f t="shared" si="7"/>
        <v>279.73236813579501</v>
      </c>
      <c r="BH41" s="62">
        <f t="shared" si="8"/>
        <v>573.06570146912827</v>
      </c>
      <c r="BI41" s="62">
        <f ca="1">AVERAGE(OFFSET($BH$3,0,0,'Données projet'!$E$11+1,1))-AVERAGE(OFFSET($H$3,0,0,'Données projet'!$E$11+1,1))</f>
        <v>288.82868507674738</v>
      </c>
      <c r="BJ41" s="62">
        <f t="shared" si="38"/>
        <v>283.48738729114024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5.5630756262648653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5.5630756262648653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>
        <f>VLOOKUP(A41,'Données projet'!$A$113:$I$133,2,0)</f>
        <v>470</v>
      </c>
      <c r="BW41" s="13">
        <f>VLOOKUP(A41,'Données projet'!$A$113:$I$133,9,0)</f>
        <v>27.234999999999985</v>
      </c>
      <c r="BX41" s="13">
        <f t="array" ref="BX41">INDEX(BW:BW,MIN(IF(ISNUMBER(BW41:BW237),ROW(BW41:BW237),"")))</f>
        <v>27.234999999999985</v>
      </c>
      <c r="BY41" s="13">
        <f>IF('Données projet'!$A$114&gt;35,BY40+BX41-CG40,IF(A41&lt;'Données projet'!$A$114,$BV$205^A41,IF(A41='Données projet'!$A$114,'Données projet'!$B$114,BY40+BX41-CG40)))</f>
        <v>470</v>
      </c>
      <c r="BZ41" s="14">
        <f>BY41*VLOOKUP('Données projet'!$B$12,Paramètres!$A$1:$I$89,3,0)*VLOOKUP('Données projet'!$B$12,Paramètres!$A$1:$I$89,5,0)</f>
        <v>262.73</v>
      </c>
      <c r="CA41" s="14">
        <f t="shared" si="39"/>
        <v>63.303949401442225</v>
      </c>
      <c r="CB41" s="22">
        <f t="shared" si="10"/>
        <v>567.84246187417853</v>
      </c>
      <c r="CC41" s="62">
        <f t="shared" si="11"/>
        <v>861.17579520751178</v>
      </c>
      <c r="CD41" s="62">
        <f ca="1">AVERAGE(OFFSET($CC$3,0,0,'Données projet'!$E$12+1,1))-AVERAGE(OFFSET($H$3,0,0,'Données projet'!$E$12+1,1))</f>
        <v>405.09126081846171</v>
      </c>
      <c r="CE41" s="62">
        <f t="shared" si="40"/>
        <v>534.22295841722166</v>
      </c>
      <c r="CF41" s="16">
        <f>IF(ISNA(VLOOKUP(A41,'Données projet'!$A$113:$I$133,3,0)),0,VLOOKUP(A41,'Données projet'!$A$113:$I$133,3,0))</f>
        <v>12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2.0535411849436596</v>
      </c>
      <c r="CL41" s="23">
        <f>EXP(-LN(2)/25)*CL40+(1-EXP(-LN(2)/25))/(LN(2)/25)*Calculateur!CG41*Calculateur!CI41*VLOOKUP('Données projet'!$B$12,Paramètres!$A$1:$I$89,3,0)*0.475*44/12</f>
        <v>6.9830185276773662</v>
      </c>
      <c r="CM41" s="23">
        <f>EXP(-LN(2)/2)*CM40+(1-EXP(-LN(2)/2))/(LN(2)/2)*CG41*CJ41*VLOOKUP('Données projet'!$B$12,Paramètres!$A$1:$I$89,3,0)*0.475*44/12</f>
        <v>2.3122516533212879E-2</v>
      </c>
      <c r="CN41" s="24">
        <f t="shared" si="12"/>
        <v>9.0596822291542392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152.60000000000002</v>
      </c>
      <c r="CU41" s="18">
        <f>CT41*VLOOKUP('Données projet'!$B$13,Paramètres!$A$1:$I$89,3,0)*VLOOKUP('Données projet'!$B$13,Paramètres!$A$1:$I$89,5,0)</f>
        <v>147.59472000000002</v>
      </c>
      <c r="CV41" s="14">
        <f t="shared" si="41"/>
        <v>38.031463918082679</v>
      </c>
      <c r="CW41" s="22">
        <f t="shared" si="13"/>
        <v>323.29893699066071</v>
      </c>
      <c r="CX41" s="62">
        <f t="shared" si="14"/>
        <v>616.63227032399402</v>
      </c>
      <c r="CY41" s="62">
        <f ca="1">AVERAGE(OFFSET($CX$3,0,0,'Données projet'!$E$13+1,1))-AVERAGE(OFFSET($H$3,0,0,'Données projet'!$E$13+1,1))</f>
        <v>466.4945858005575</v>
      </c>
      <c r="CZ41" s="62">
        <f t="shared" si="42"/>
        <v>294.45557293177131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7.8185431096779396</v>
      </c>
      <c r="DH41" s="23">
        <f>EXP(-LN(2)/2)*DH40+(1-EXP(-LN(2)/2))/(LN(2)/2)*DB41*DE41*VLOOKUP('Données projet'!$B$13,Paramètres!$A$1:$I$89,3,0)*0.475*44/12</f>
        <v>0.99612718530449773</v>
      </c>
      <c r="DI41" s="24">
        <f t="shared" si="15"/>
        <v>8.814670294982438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</v>
      </c>
      <c r="DP41" s="18">
        <f>DO41*VLOOKUP('Données projet'!$B$14,Paramètres!$A$1:$I$89,3,0)*VLOOKUP('Données projet'!$B$14,Paramètres!$A$1:$I$89,5,0)</f>
        <v>114.38232000000001</v>
      </c>
      <c r="DQ41" s="14">
        <f t="shared" si="43"/>
        <v>30.361134085955022</v>
      </c>
      <c r="DR41" s="22">
        <f t="shared" si="16"/>
        <v>252.09484919970498</v>
      </c>
      <c r="DS41" s="62">
        <f t="shared" si="17"/>
        <v>545.42818253303835</v>
      </c>
      <c r="DT41" s="62">
        <f ca="1">AVERAGE(OFFSET($DS$3,0,0,'Données projet'!$E$14+1,1))-AVERAGE(OFFSET($H$3,0,0,'Données projet'!$E$14+1,1))</f>
        <v>404.20764079465965</v>
      </c>
      <c r="DU41" s="62">
        <f t="shared" si="44"/>
        <v>243.23852967152732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1.2578019087216776</v>
      </c>
      <c r="ED41" s="24">
        <f t="shared" si="18"/>
        <v>1.2578019087216776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439.06700232017681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7.1141159509145178</v>
      </c>
      <c r="AB42" s="23">
        <f>EXP(-LN(2)/2)*AB41+(1-EXP(-LN(2)/2))/(LN(2)/2)*V42*Y42*VLOOKUP('Données projet'!$B$9,Paramètres!$A$1:$I$89,3,0)*0.475*44/12</f>
        <v>0.65892517232062231</v>
      </c>
      <c r="AC42" s="24">
        <f t="shared" si="3"/>
        <v>7.7730411232351404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396.92963589781414</v>
      </c>
      <c r="AO42" s="62">
        <f t="shared" si="36"/>
        <v>294.38852181137639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174.28571428571422</v>
      </c>
      <c r="BE42" s="14">
        <f>BD42*VLOOKUP('Données projet'!$B$11,Paramètres!$A$1:$I$89,3,0)*VLOOKUP('Données projet'!$B$11,Paramètres!$A$1:$I$89,5,0)</f>
        <v>135.94285714285709</v>
      </c>
      <c r="BF42" s="14">
        <f t="shared" si="37"/>
        <v>35.365986273808367</v>
      </c>
      <c r="BG42" s="22">
        <f t="shared" si="7"/>
        <v>298.36290228402567</v>
      </c>
      <c r="BH42" s="62">
        <f t="shared" si="8"/>
        <v>591.69623561735898</v>
      </c>
      <c r="BI42" s="62">
        <f ca="1">AVERAGE(OFFSET($BH$3,0,0,'Données projet'!$E$11+1,1))-AVERAGE(OFFSET($H$3,0,0,'Données projet'!$E$11+1,1))</f>
        <v>288.82868507674738</v>
      </c>
      <c r="BJ42" s="62">
        <f t="shared" si="38"/>
        <v>283.48738729114024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5.4109530307152198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5.4109530307152198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28.095000000000027</v>
      </c>
      <c r="BY42" s="13">
        <f>IF('Données projet'!$A$114&gt;35,BY41+BX42-CG41,IF(A42&lt;'Données projet'!$A$114,$BV$205^A42,IF(A42='Données projet'!$A$114,'Données projet'!$B$114,BY41+BX42-CG41)))</f>
        <v>498.09500000000003</v>
      </c>
      <c r="BZ42" s="14">
        <f>BY42*VLOOKUP('Données projet'!$B$12,Paramètres!$A$1:$I$89,3,0)*VLOOKUP('Données projet'!$B$12,Paramètres!$A$1:$I$89,5,0)</f>
        <v>278.43510500000002</v>
      </c>
      <c r="CA42" s="14">
        <f t="shared" si="39"/>
        <v>66.636193787123958</v>
      </c>
      <c r="CB42" s="22">
        <f t="shared" si="10"/>
        <v>600.99917872090748</v>
      </c>
      <c r="CC42" s="62">
        <f t="shared" si="11"/>
        <v>894.33251205424085</v>
      </c>
      <c r="CD42" s="62">
        <f ca="1">AVERAGE(OFFSET($CC$3,0,0,'Données projet'!$E$12+1,1))-AVERAGE(OFFSET($H$3,0,0,'Données projet'!$E$12+1,1))</f>
        <v>405.09126081846171</v>
      </c>
      <c r="CE42" s="62">
        <f t="shared" si="40"/>
        <v>534.22295841722166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2.0132724948433594</v>
      </c>
      <c r="CL42" s="23">
        <f>EXP(-LN(2)/25)*CL41+(1-EXP(-LN(2)/25))/(LN(2)/25)*Calculateur!CG42*Calculateur!CI42*VLOOKUP('Données projet'!$B$12,Paramètres!$A$1:$I$89,3,0)*0.475*44/12</f>
        <v>6.7920675188170438</v>
      </c>
      <c r="CM42" s="23">
        <f>EXP(-LN(2)/2)*CM41+(1-EXP(-LN(2)/2))/(LN(2)/2)*CG42*CJ42*VLOOKUP('Données projet'!$B$12,Paramètres!$A$1:$I$89,3,0)*0.475*44/12</f>
        <v>1.6350088238732886E-2</v>
      </c>
      <c r="CN42" s="24">
        <f t="shared" si="12"/>
        <v>8.8216901018991365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163.80000000000001</v>
      </c>
      <c r="CU42" s="18">
        <f>CT42*VLOOKUP('Données projet'!$B$13,Paramètres!$A$1:$I$89,3,0)*VLOOKUP('Données projet'!$B$13,Paramètres!$A$1:$I$89,5,0)</f>
        <v>158.42736000000002</v>
      </c>
      <c r="CV42" s="14">
        <f t="shared" si="41"/>
        <v>40.487598405868248</v>
      </c>
      <c r="CW42" s="22">
        <f t="shared" si="13"/>
        <v>346.4435525568872</v>
      </c>
      <c r="CX42" s="62">
        <f t="shared" si="14"/>
        <v>639.77688589022046</v>
      </c>
      <c r="CY42" s="62">
        <f ca="1">AVERAGE(OFFSET($CX$3,0,0,'Données projet'!$E$13+1,1))-AVERAGE(OFFSET($H$3,0,0,'Données projet'!$E$13+1,1))</f>
        <v>466.4945858005575</v>
      </c>
      <c r="CZ42" s="62">
        <f t="shared" si="42"/>
        <v>294.45557293177131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7.604744637184484</v>
      </c>
      <c r="DH42" s="23">
        <f>EXP(-LN(2)/2)*DH41+(1-EXP(-LN(2)/2))/(LN(2)/2)*DB42*DE42*VLOOKUP('Données projet'!$B$13,Paramètres!$A$1:$I$89,3,0)*0.475*44/12</f>
        <v>0.70436828765307902</v>
      </c>
      <c r="DI42" s="24">
        <f t="shared" si="15"/>
        <v>8.3091129248375637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</v>
      </c>
      <c r="DP42" s="18">
        <f>DO42*VLOOKUP('Données projet'!$B$14,Paramètres!$A$1:$I$89,3,0)*VLOOKUP('Données projet'!$B$14,Paramètres!$A$1:$I$89,5,0)</f>
        <v>122.37576</v>
      </c>
      <c r="DQ42" s="14">
        <f t="shared" si="43"/>
        <v>32.228472488687231</v>
      </c>
      <c r="DR42" s="22">
        <f t="shared" si="16"/>
        <v>269.26903825113021</v>
      </c>
      <c r="DS42" s="62">
        <f t="shared" si="17"/>
        <v>562.60237158446353</v>
      </c>
      <c r="DT42" s="62">
        <f ca="1">AVERAGE(OFFSET($DS$3,0,0,'Données projet'!$E$14+1,1))-AVERAGE(OFFSET($H$3,0,0,'Données projet'!$E$14+1,1))</f>
        <v>404.20764079465965</v>
      </c>
      <c r="DU42" s="62">
        <f t="shared" si="44"/>
        <v>243.23852967152732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0.88940025904648123</v>
      </c>
      <c r="ED42" s="24">
        <f t="shared" si="18"/>
        <v>0.88940025904648123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439.06700232017681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6.9195800761216617</v>
      </c>
      <c r="AB43" s="23">
        <f>EXP(-LN(2)/2)*AB42+(1-EXP(-LN(2)/2))/(LN(2)/2)*V43*Y43*VLOOKUP('Données projet'!$B$9,Paramètres!$A$1:$I$89,3,0)*0.475*44/12</f>
        <v>0.46593045764242641</v>
      </c>
      <c r="AC43" s="24">
        <f t="shared" si="3"/>
        <v>7.3855105337640881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396.92963589781414</v>
      </c>
      <c r="AO43" s="62">
        <f t="shared" si="36"/>
        <v>294.38852181137639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185.42857142857136</v>
      </c>
      <c r="BE43" s="14">
        <f>BD43*VLOOKUP('Données projet'!$B$11,Paramètres!$A$1:$I$89,3,0)*VLOOKUP('Données projet'!$B$11,Paramètres!$A$1:$I$89,5,0)</f>
        <v>144.63428571428565</v>
      </c>
      <c r="BF43" s="14">
        <f t="shared" si="37"/>
        <v>37.356634728420524</v>
      </c>
      <c r="BG43" s="22">
        <f t="shared" si="7"/>
        <v>316.96751977104657</v>
      </c>
      <c r="BH43" s="62">
        <f t="shared" si="8"/>
        <v>610.30085310437994</v>
      </c>
      <c r="BI43" s="62">
        <f ca="1">AVERAGE(OFFSET($BH$3,0,0,'Données projet'!$E$11+1,1))-AVERAGE(OFFSET($H$3,0,0,'Données projet'!$E$11+1,1))</f>
        <v>288.82868507674738</v>
      </c>
      <c r="BJ43" s="62">
        <f t="shared" si="38"/>
        <v>283.48738729114024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5.2629902355406593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5.2629902355406593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526.19000000000005</v>
      </c>
      <c r="BW43" s="13">
        <f>VLOOKUP(A43,'Données projet'!$A$113:$I$133,9,0)</f>
        <v>28.095000000000027</v>
      </c>
      <c r="BX43" s="13">
        <f t="array" ref="BX43">INDEX(BW:BW,MIN(IF(ISNUMBER(BW43:BW239),ROW(BW43:BW239),"")))</f>
        <v>28.095000000000027</v>
      </c>
      <c r="BY43" s="13">
        <f>IF('Données projet'!$A$114&gt;35,BY42+BX43-CG42,IF(A43&lt;'Données projet'!$A$114,$BV$205^A43,IF(A43='Données projet'!$A$114,'Données projet'!$B$114,BY42+BX43-CG42)))</f>
        <v>526.19000000000005</v>
      </c>
      <c r="BZ43" s="14">
        <f>BY43*VLOOKUP('Données projet'!$B$12,Paramètres!$A$1:$I$89,3,0)*VLOOKUP('Données projet'!$B$12,Paramètres!$A$1:$I$89,5,0)</f>
        <v>294.14021000000002</v>
      </c>
      <c r="CA43" s="14">
        <f t="shared" si="39"/>
        <v>69.946619671428806</v>
      </c>
      <c r="CB43" s="22">
        <f t="shared" si="10"/>
        <v>634.11789501107194</v>
      </c>
      <c r="CC43" s="62">
        <f t="shared" si="11"/>
        <v>927.45122834440531</v>
      </c>
      <c r="CD43" s="62">
        <f ca="1">AVERAGE(OFFSET($CC$3,0,0,'Données projet'!$E$12+1,1))-AVERAGE(OFFSET($H$3,0,0,'Données projet'!$E$12+1,1))</f>
        <v>405.09126081846171</v>
      </c>
      <c r="CE43" s="62">
        <f t="shared" si="40"/>
        <v>534.22295841722166</v>
      </c>
      <c r="CF43" s="16">
        <f>IF(ISNA(VLOOKUP(A43,'Données projet'!$A$113:$I$133,3,0)),0,VLOOKUP(A43,'Données projet'!$A$113:$I$133,3,0))</f>
        <v>13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1.9737934491944504</v>
      </c>
      <c r="CL43" s="23">
        <f>EXP(-LN(2)/25)*CL42+(1-EXP(-LN(2)/25))/(LN(2)/25)*Calculateur!CG43*Calculateur!CI43*VLOOKUP('Données projet'!$B$12,Paramètres!$A$1:$I$89,3,0)*0.475*44/12</f>
        <v>6.6063380753356844</v>
      </c>
      <c r="CM43" s="23">
        <f>EXP(-LN(2)/2)*CM42+(1-EXP(-LN(2)/2))/(LN(2)/2)*CG43*CJ43*VLOOKUP('Données projet'!$B$12,Paramètres!$A$1:$I$89,3,0)*0.475*44/12</f>
        <v>1.156125826660644E-2</v>
      </c>
      <c r="CN43" s="24">
        <f t="shared" si="12"/>
        <v>8.5916927827967413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</v>
      </c>
      <c r="CU43" s="18">
        <f>CT43*VLOOKUP('Données projet'!$B$13,Paramètres!$A$1:$I$89,3,0)*VLOOKUP('Données projet'!$B$13,Paramètres!$A$1:$I$89,5,0)</f>
        <v>169.26000000000002</v>
      </c>
      <c r="CV43" s="14">
        <f t="shared" si="41"/>
        <v>42.924246146122272</v>
      </c>
      <c r="CW43" s="22">
        <f t="shared" si="13"/>
        <v>369.55422870449632</v>
      </c>
      <c r="CX43" s="62">
        <f t="shared" si="14"/>
        <v>662.88756203782964</v>
      </c>
      <c r="CY43" s="62">
        <f ca="1">AVERAGE(OFFSET($CX$3,0,0,'Données projet'!$E$13+1,1))-AVERAGE(OFFSET($H$3,0,0,'Données projet'!$E$13+1,1))</f>
        <v>466.4945858005575</v>
      </c>
      <c r="CZ43" s="62">
        <f t="shared" si="42"/>
        <v>294.45557293177131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7.3967924951645347</v>
      </c>
      <c r="DH43" s="23">
        <f>EXP(-LN(2)/2)*DH42+(1-EXP(-LN(2)/2))/(LN(2)/2)*DB43*DE43*VLOOKUP('Données projet'!$B$13,Paramètres!$A$1:$I$89,3,0)*0.475*44/12</f>
        <v>0.49806359265224892</v>
      </c>
      <c r="DI43" s="24">
        <f t="shared" si="15"/>
        <v>7.8948560878167839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</v>
      </c>
      <c r="DP43" s="18">
        <f>DO43*VLOOKUP('Données projet'!$B$14,Paramètres!$A$1:$I$89,3,0)*VLOOKUP('Données projet'!$B$14,Paramètres!$A$1:$I$89,5,0)</f>
        <v>130.36920000000001</v>
      </c>
      <c r="DQ43" s="14">
        <f t="shared" si="43"/>
        <v>34.081656526320486</v>
      </c>
      <c r="DR43" s="22">
        <f t="shared" si="16"/>
        <v>286.41857511667479</v>
      </c>
      <c r="DS43" s="62">
        <f t="shared" si="17"/>
        <v>579.75190845000816</v>
      </c>
      <c r="DT43" s="62">
        <f ca="1">AVERAGE(OFFSET($DS$3,0,0,'Données projet'!$E$14+1,1))-AVERAGE(OFFSET($H$3,0,0,'Données projet'!$E$14+1,1))</f>
        <v>404.20764079465965</v>
      </c>
      <c r="DU43" s="62">
        <f t="shared" si="44"/>
        <v>243.23852967152732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21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0.62890095436083893</v>
      </c>
      <c r="ED43" s="24">
        <f t="shared" si="18"/>
        <v>0.62890095436083893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439.06700232017681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6.7303637950552133</v>
      </c>
      <c r="AB44" s="23">
        <f>EXP(-LN(2)/2)*AB43+(1-EXP(-LN(2)/2))/(LN(2)/2)*V44*Y44*VLOOKUP('Données projet'!$B$9,Paramètres!$A$1:$I$89,3,0)*0.475*44/12</f>
        <v>0.32946258616031121</v>
      </c>
      <c r="AC44" s="24">
        <f t="shared" si="3"/>
        <v>7.0598263812155242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396.92963589781414</v>
      </c>
      <c r="AO44" s="62">
        <f t="shared" si="36"/>
        <v>294.38852181137639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</v>
      </c>
      <c r="BE44" s="14">
        <f>BD44*VLOOKUP('Données projet'!$B$11,Paramètres!$A$1:$I$89,3,0)*VLOOKUP('Données projet'!$B$11,Paramètres!$A$1:$I$89,5,0)</f>
        <v>153.32571428571424</v>
      </c>
      <c r="BF44" s="14">
        <f t="shared" si="37"/>
        <v>39.333398837614155</v>
      </c>
      <c r="BG44" s="22">
        <f t="shared" si="7"/>
        <v>335.5479553564636</v>
      </c>
      <c r="BH44" s="62">
        <f t="shared" si="8"/>
        <v>628.88128868979697</v>
      </c>
      <c r="BI44" s="62">
        <f ca="1">AVERAGE(OFFSET($BH$3,0,0,'Données projet'!$E$11+1,1))-AVERAGE(OFFSET($H$3,0,0,'Données projet'!$E$11+1,1))</f>
        <v>288.82868507674738</v>
      </c>
      <c r="BJ44" s="62">
        <f t="shared" si="38"/>
        <v>283.48738729114024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5.1190734907811724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5.1190734907811724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28.849999999999966</v>
      </c>
      <c r="BY44" s="13">
        <f>IF('Données projet'!$A$114&gt;35,BY43+BX44-CG43,IF(A44&lt;'Données projet'!$A$114,$BV$205^A44,IF(A44='Données projet'!$A$114,'Données projet'!$B$114,BY43+BX44-CG43)))</f>
        <v>555.04</v>
      </c>
      <c r="BZ44" s="14">
        <f>BY44*VLOOKUP('Données projet'!$B$12,Paramètres!$A$1:$I$89,3,0)*VLOOKUP('Données projet'!$B$12,Paramètres!$A$1:$I$89,5,0)</f>
        <v>310.26736</v>
      </c>
      <c r="CA44" s="14">
        <f t="shared" si="39"/>
        <v>73.324662779260194</v>
      </c>
      <c r="CB44" s="22">
        <f t="shared" si="10"/>
        <v>668.08943967387813</v>
      </c>
      <c r="CC44" s="62">
        <f t="shared" si="11"/>
        <v>961.42277300721139</v>
      </c>
      <c r="CD44" s="62">
        <f ca="1">AVERAGE(OFFSET($CC$3,0,0,'Données projet'!$E$12+1,1))-AVERAGE(OFFSET($H$3,0,0,'Données projet'!$E$12+1,1))</f>
        <v>405.09126081846171</v>
      </c>
      <c r="CE44" s="62">
        <f t="shared" si="40"/>
        <v>534.22295841722166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1.9350885635508766</v>
      </c>
      <c r="CL44" s="23">
        <f>EXP(-LN(2)/25)*CL43+(1-EXP(-LN(2)/25))/(LN(2)/25)*Calculateur!CG44*Calculateur!CI44*VLOOKUP('Données projet'!$B$12,Paramètres!$A$1:$I$89,3,0)*0.475*44/12</f>
        <v>6.4256874132534101</v>
      </c>
      <c r="CM44" s="23">
        <f>EXP(-LN(2)/2)*CM43+(1-EXP(-LN(2)/2))/(LN(2)/2)*CG44*CJ44*VLOOKUP('Données projet'!$B$12,Paramètres!$A$1:$I$89,3,0)*0.475*44/12</f>
        <v>8.1750441193664432E-3</v>
      </c>
      <c r="CN44" s="24">
        <f t="shared" si="12"/>
        <v>8.3689510209236548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158.4</v>
      </c>
      <c r="CU44" s="18">
        <f>CT44*VLOOKUP('Données projet'!$B$13,Paramètres!$A$1:$I$89,3,0)*VLOOKUP('Données projet'!$B$13,Paramètres!$A$1:$I$89,5,0)</f>
        <v>153.20447999999999</v>
      </c>
      <c r="CV44" s="14">
        <f t="shared" si="41"/>
        <v>39.305916881892401</v>
      </c>
      <c r="CW44" s="22">
        <f t="shared" si="13"/>
        <v>335.28894123596257</v>
      </c>
      <c r="CX44" s="62">
        <f t="shared" si="14"/>
        <v>628.62227456929588</v>
      </c>
      <c r="CY44" s="62">
        <f ca="1">AVERAGE(OFFSET($CX$3,0,0,'Données projet'!$E$13+1,1))-AVERAGE(OFFSET($H$3,0,0,'Données projet'!$E$13+1,1))</f>
        <v>466.4945858005575</v>
      </c>
      <c r="CZ44" s="62">
        <f t="shared" si="42"/>
        <v>294.45557293177131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7.1945268154038491</v>
      </c>
      <c r="DH44" s="23">
        <f>EXP(-LN(2)/2)*DH43+(1-EXP(-LN(2)/2))/(LN(2)/2)*DB44*DE44*VLOOKUP('Données projet'!$B$13,Paramètres!$A$1:$I$89,3,0)*0.475*44/12</f>
        <v>0.35218414382653956</v>
      </c>
      <c r="DI44" s="24">
        <f t="shared" si="15"/>
        <v>7.5467109592303885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</v>
      </c>
      <c r="DP44" s="18">
        <f>DO44*VLOOKUP('Données projet'!$B$14,Paramètres!$A$1:$I$89,3,0)*VLOOKUP('Données projet'!$B$14,Paramètres!$A$1:$I$89,5,0)</f>
        <v>118.37904</v>
      </c>
      <c r="DQ44" s="14">
        <f t="shared" si="43"/>
        <v>31.296638268907181</v>
      </c>
      <c r="DR44" s="22">
        <f t="shared" si="16"/>
        <v>260.68513965168</v>
      </c>
      <c r="DS44" s="62">
        <f t="shared" si="17"/>
        <v>554.01847298501332</v>
      </c>
      <c r="DT44" s="62">
        <f ca="1">AVERAGE(OFFSET($DS$3,0,0,'Données projet'!$E$14+1,1))-AVERAGE(OFFSET($H$3,0,0,'Données projet'!$E$14+1,1))</f>
        <v>404.20764079465965</v>
      </c>
      <c r="DU44" s="62">
        <f t="shared" si="44"/>
        <v>243.23852967152732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0.44470012952324067</v>
      </c>
      <c r="ED44" s="24">
        <f t="shared" si="18"/>
        <v>0.44470012952324067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439.06700232017681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6.5463216431449789</v>
      </c>
      <c r="AB45" s="23">
        <f>EXP(-LN(2)/2)*AB44+(1-EXP(-LN(2)/2))/(LN(2)/2)*V45*Y45*VLOOKUP('Données projet'!$B$9,Paramètres!$A$1:$I$89,3,0)*0.475*44/12</f>
        <v>0.23296522882121326</v>
      </c>
      <c r="AC45" s="24">
        <f t="shared" si="3"/>
        <v>6.7792868719661925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396.92963589781414</v>
      </c>
      <c r="AO45" s="62">
        <f t="shared" si="36"/>
        <v>294.38852181137639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207.71428571428564</v>
      </c>
      <c r="BE45" s="14">
        <f>BD45*VLOOKUP('Données projet'!$B$11,Paramètres!$A$1:$I$89,3,0)*VLOOKUP('Données projet'!$B$11,Paramètres!$A$1:$I$89,5,0)</f>
        <v>162.0171428571428</v>
      </c>
      <c r="BF45" s="14">
        <f t="shared" si="37"/>
        <v>41.29715533509664</v>
      </c>
      <c r="BG45" s="22">
        <f t="shared" si="7"/>
        <v>354.10573601815037</v>
      </c>
      <c r="BH45" s="62">
        <f t="shared" si="8"/>
        <v>647.43906935148368</v>
      </c>
      <c r="BI45" s="62">
        <f ca="1">AVERAGE(OFFSET($BH$3,0,0,'Données projet'!$E$11+1,1))-AVERAGE(OFFSET($H$3,0,0,'Données projet'!$E$11+1,1))</f>
        <v>288.82868507674738</v>
      </c>
      <c r="BJ45" s="62">
        <f t="shared" si="38"/>
        <v>283.48738729114024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4.9790921569753861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4.9790921569753861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583.89</v>
      </c>
      <c r="BW45" s="13">
        <f>VLOOKUP(A45,'Données projet'!$A$113:$I$133,9,0)</f>
        <v>28.849999999999966</v>
      </c>
      <c r="BX45" s="13">
        <f t="array" ref="BX45">INDEX(BW:BW,MIN(IF(ISNUMBER(BW45:BW241),ROW(BW45:BW241),"")))</f>
        <v>28.849999999999966</v>
      </c>
      <c r="BY45" s="13">
        <f>IF('Données projet'!$A$114&gt;35,BY44+BX45-CG44,IF(A45&lt;'Données projet'!$A$114,$BV$205^A45,IF(A45='Données projet'!$A$114,'Données projet'!$B$114,BY44+BX45-CG44)))</f>
        <v>583.88999999999987</v>
      </c>
      <c r="BZ45" s="14">
        <f>BY45*VLOOKUP('Données projet'!$B$12,Paramètres!$A$1:$I$89,3,0)*VLOOKUP('Données projet'!$B$12,Paramètres!$A$1:$I$89,5,0)</f>
        <v>326.39450999999991</v>
      </c>
      <c r="CA45" s="14">
        <f t="shared" si="39"/>
        <v>76.68231983802859</v>
      </c>
      <c r="CB45" s="22">
        <f t="shared" si="10"/>
        <v>702.0254786345663</v>
      </c>
      <c r="CC45" s="62">
        <f t="shared" si="11"/>
        <v>995.35881196789956</v>
      </c>
      <c r="CD45" s="62">
        <f ca="1">AVERAGE(OFFSET($CC$3,0,0,'Données projet'!$E$12+1,1))-AVERAGE(OFFSET($H$3,0,0,'Données projet'!$E$12+1,1))</f>
        <v>405.09126081846171</v>
      </c>
      <c r="CE45" s="62">
        <f t="shared" si="40"/>
        <v>534.22295841722166</v>
      </c>
      <c r="CF45" s="16">
        <f>IF(ISNA(VLOOKUP(A45,'Données projet'!$A$113:$I$133,3,0)),0,VLOOKUP(A45,'Données projet'!$A$113:$I$133,3,0))</f>
        <v>14</v>
      </c>
      <c r="CG45" s="16">
        <f>IF(ISNA(VLOOKUP(A45,'Données projet'!$A$113:$I$133,4,0)),0,VLOOKUP(A45,'Données projet'!$A$113:$I$133,4,0))</f>
        <v>91.25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1.8971426571071239</v>
      </c>
      <c r="CL45" s="23">
        <f>EXP(-LN(2)/25)*CL44+(1-EXP(-LN(2)/25))/(LN(2)/25)*Calculateur!CG45*Calculateur!CI45*VLOOKUP('Données projet'!$B$12,Paramètres!$A$1:$I$89,3,0)*0.475*44/12</f>
        <v>6.2499766530257803</v>
      </c>
      <c r="CM45" s="23">
        <f>EXP(-LN(2)/2)*CM44+(1-EXP(-LN(2)/2))/(LN(2)/2)*CG45*CJ45*VLOOKUP('Données projet'!$B$12,Paramètres!$A$1:$I$89,3,0)*0.475*44/12</f>
        <v>5.7806291333032198E-3</v>
      </c>
      <c r="CN45" s="24">
        <f t="shared" si="12"/>
        <v>8.1528999392662076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169.8</v>
      </c>
      <c r="CU45" s="18">
        <f>CT45*VLOOKUP('Données projet'!$B$13,Paramètres!$A$1:$I$89,3,0)*VLOOKUP('Données projet'!$B$13,Paramètres!$A$1:$I$89,5,0)</f>
        <v>164.23056000000003</v>
      </c>
      <c r="CV45" s="14">
        <f t="shared" si="41"/>
        <v>41.795275864636551</v>
      </c>
      <c r="CW45" s="22">
        <f t="shared" si="13"/>
        <v>358.82833079757535</v>
      </c>
      <c r="CX45" s="62">
        <f t="shared" si="14"/>
        <v>652.16166413090866</v>
      </c>
      <c r="CY45" s="62">
        <f ca="1">AVERAGE(OFFSET($CX$3,0,0,'Données projet'!$E$13+1,1))-AVERAGE(OFFSET($H$3,0,0,'Données projet'!$E$13+1,1))</f>
        <v>466.4945858005575</v>
      </c>
      <c r="CZ45" s="62">
        <f t="shared" si="42"/>
        <v>294.45557293177131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6.9977921012929087</v>
      </c>
      <c r="DH45" s="23">
        <f>EXP(-LN(2)/2)*DH44+(1-EXP(-LN(2)/2))/(LN(2)/2)*DB45*DE45*VLOOKUP('Données projet'!$B$13,Paramètres!$A$1:$I$89,3,0)*0.475*44/12</f>
        <v>0.24903179632612452</v>
      </c>
      <c r="DI45" s="24">
        <f t="shared" si="15"/>
        <v>7.2468238976190333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132.80000000000001</v>
      </c>
      <c r="DP45" s="18">
        <f>DO45*VLOOKUP('Données projet'!$B$14,Paramètres!$A$1:$I$89,3,0)*VLOOKUP('Données projet'!$B$14,Paramètres!$A$1:$I$89,5,0)</f>
        <v>126.37248000000002</v>
      </c>
      <c r="DQ45" s="14">
        <f t="shared" si="43"/>
        <v>33.156770349896092</v>
      </c>
      <c r="DR45" s="22">
        <f t="shared" si="16"/>
        <v>277.84677769273577</v>
      </c>
      <c r="DS45" s="62">
        <f t="shared" si="17"/>
        <v>571.18011102606908</v>
      </c>
      <c r="DT45" s="62">
        <f ca="1">AVERAGE(OFFSET($DS$3,0,0,'Données projet'!$E$14+1,1))-AVERAGE(OFFSET($H$3,0,0,'Données projet'!$E$14+1,1))</f>
        <v>404.20764079465965</v>
      </c>
      <c r="DU45" s="62">
        <f t="shared" si="44"/>
        <v>243.23852967152732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0.31445047718041952</v>
      </c>
      <c r="ED45" s="24">
        <f t="shared" si="18"/>
        <v>0.31445047718041952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439.06700232017681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6.3673121335570864</v>
      </c>
      <c r="AB46" s="23">
        <f>EXP(-LN(2)/2)*AB45+(1-EXP(-LN(2)/2))/(LN(2)/2)*V46*Y46*VLOOKUP('Données projet'!$B$9,Paramètres!$A$1:$I$89,3,0)*0.475*44/12</f>
        <v>0.16473129308015563</v>
      </c>
      <c r="AC46" s="24">
        <f t="shared" si="3"/>
        <v>6.5320434266372418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396.92963589781414</v>
      </c>
      <c r="AO46" s="62">
        <f t="shared" si="36"/>
        <v>294.38852181137639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218.85714285714278</v>
      </c>
      <c r="BE46" s="14">
        <f>BD46*VLOOKUP('Données projet'!$B$11,Paramètres!$A$1:$I$89,3,0)*VLOOKUP('Données projet'!$B$11,Paramètres!$A$1:$I$89,5,0)</f>
        <v>170.70857142857136</v>
      </c>
      <c r="BF46" s="14">
        <f t="shared" si="37"/>
        <v>43.248681576985376</v>
      </c>
      <c r="BG46" s="22">
        <f t="shared" si="7"/>
        <v>372.64221565134466</v>
      </c>
      <c r="BH46" s="62">
        <f t="shared" si="8"/>
        <v>665.97554898467797</v>
      </c>
      <c r="BI46" s="62">
        <f ca="1">AVERAGE(OFFSET($BH$3,0,0,'Données projet'!$E$11+1,1))-AVERAGE(OFFSET($H$3,0,0,'Données projet'!$E$11+1,1))</f>
        <v>288.82868507674738</v>
      </c>
      <c r="BJ46" s="62">
        <f t="shared" si="38"/>
        <v>283.48738729114024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4.8429386201038174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4.8429386201038174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26.495000000000005</v>
      </c>
      <c r="BY46" s="13">
        <f>IF('Données projet'!$A$114&gt;35,BY45+BX46-CG45,IF(A46&lt;'Données projet'!$A$114,$BV$205^A46,IF(A46='Données projet'!$A$114,'Données projet'!$B$114,BY45+BX46-CG45)))</f>
        <v>519.13499999999988</v>
      </c>
      <c r="BZ46" s="14">
        <f>BY46*VLOOKUP('Données projet'!$B$12,Paramètres!$A$1:$I$89,3,0)*VLOOKUP('Données projet'!$B$12,Paramètres!$A$1:$I$89,5,0)</f>
        <v>290.19646499999993</v>
      </c>
      <c r="CA46" s="14">
        <f t="shared" si="39"/>
        <v>69.11730885855718</v>
      </c>
      <c r="CB46" s="22">
        <f t="shared" si="10"/>
        <v>625.80482280365356</v>
      </c>
      <c r="CC46" s="62">
        <f t="shared" si="11"/>
        <v>919.13815613698694</v>
      </c>
      <c r="CD46" s="62">
        <f ca="1">AVERAGE(OFFSET($CC$3,0,0,'Données projet'!$E$12+1,1))-AVERAGE(OFFSET($H$3,0,0,'Données projet'!$E$12+1,1))</f>
        <v>405.09126081846171</v>
      </c>
      <c r="CE46" s="62">
        <f t="shared" si="40"/>
        <v>534.22295841722166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1.8599408467440157</v>
      </c>
      <c r="CL46" s="23">
        <f>EXP(-LN(2)/25)*CL45+(1-EXP(-LN(2)/25))/(LN(2)/25)*Calculateur!CG46*Calculateur!CI46*VLOOKUP('Données projet'!$B$12,Paramètres!$A$1:$I$89,3,0)*0.475*44/12</f>
        <v>6.0790707127768027</v>
      </c>
      <c r="CM46" s="23">
        <f>EXP(-LN(2)/2)*CM45+(1-EXP(-LN(2)/2))/(LN(2)/2)*CG46*CJ46*VLOOKUP('Données projet'!$B$12,Paramètres!$A$1:$I$89,3,0)*0.475*44/12</f>
        <v>4.0875220596832216E-3</v>
      </c>
      <c r="CN46" s="24">
        <f t="shared" si="12"/>
        <v>7.9430990815805016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181.20000000000002</v>
      </c>
      <c r="CU46" s="18">
        <f>CT46*VLOOKUP('Données projet'!$B$13,Paramètres!$A$1:$I$89,3,0)*VLOOKUP('Données projet'!$B$13,Paramètres!$A$1:$I$89,5,0)</f>
        <v>175.25664000000003</v>
      </c>
      <c r="CV46" s="14">
        <f t="shared" si="41"/>
        <v>44.265241345972555</v>
      </c>
      <c r="CW46" s="22">
        <f t="shared" si="13"/>
        <v>382.33394334423559</v>
      </c>
      <c r="CX46" s="62">
        <f t="shared" si="14"/>
        <v>675.66727667756891</v>
      </c>
      <c r="CY46" s="62">
        <f ca="1">AVERAGE(OFFSET($CX$3,0,0,'Données projet'!$E$13+1,1))-AVERAGE(OFFSET($H$3,0,0,'Données projet'!$E$13+1,1))</f>
        <v>466.4945858005575</v>
      </c>
      <c r="CZ46" s="62">
        <f t="shared" si="42"/>
        <v>294.45557293177131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6.8064371082851611</v>
      </c>
      <c r="DH46" s="23">
        <f>EXP(-LN(2)/2)*DH45+(1-EXP(-LN(2)/2))/(LN(2)/2)*DB46*DE46*VLOOKUP('Données projet'!$B$13,Paramètres!$A$1:$I$89,3,0)*0.475*44/12</f>
        <v>0.17609207191326981</v>
      </c>
      <c r="DI46" s="24">
        <f t="shared" si="15"/>
        <v>6.9825291801984308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141.20000000000002</v>
      </c>
      <c r="DP46" s="18">
        <f>DO46*VLOOKUP('Données projet'!$B$14,Paramètres!$A$1:$I$89,3,0)*VLOOKUP('Données projet'!$B$14,Paramètres!$A$1:$I$89,5,0)</f>
        <v>134.36592000000002</v>
      </c>
      <c r="DQ46" s="14">
        <f t="shared" si="43"/>
        <v>35.003247613199107</v>
      </c>
      <c r="DR46" s="22">
        <f t="shared" si="16"/>
        <v>294.98463359298847</v>
      </c>
      <c r="DS46" s="62">
        <f t="shared" si="17"/>
        <v>588.31796692632179</v>
      </c>
      <c r="DT46" s="62">
        <f ca="1">AVERAGE(OFFSET($DS$3,0,0,'Données projet'!$E$14+1,1))-AVERAGE(OFFSET($H$3,0,0,'Données projet'!$E$14+1,1))</f>
        <v>404.20764079465965</v>
      </c>
      <c r="DU46" s="62">
        <f t="shared" si="44"/>
        <v>243.23852967152732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0.22235006476162036</v>
      </c>
      <c r="ED46" s="24">
        <f t="shared" si="18"/>
        <v>0.22235006476162036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439.06700232017681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6.1931976484225757</v>
      </c>
      <c r="AB47" s="23">
        <f>EXP(-LN(2)/2)*AB46+(1-EXP(-LN(2)/2))/(LN(2)/2)*V47*Y47*VLOOKUP('Données projet'!$B$9,Paramètres!$A$1:$I$89,3,0)*0.475*44/12</f>
        <v>0.11648261441060664</v>
      </c>
      <c r="AC47" s="24">
        <f t="shared" si="3"/>
        <v>6.3096802628331821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396.92963589781414</v>
      </c>
      <c r="AO47" s="62">
        <f t="shared" si="36"/>
        <v>294.38852181137639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229.99999999999991</v>
      </c>
      <c r="BE47" s="14">
        <f>BD47*VLOOKUP('Données projet'!$B$11,Paramètres!$A$1:$I$89,3,0)*VLOOKUP('Données projet'!$B$11,Paramètres!$A$1:$I$89,5,0)</f>
        <v>179.39999999999995</v>
      </c>
      <c r="BF47" s="14">
        <f t="shared" si="37"/>
        <v>45.188671291872232</v>
      </c>
      <c r="BG47" s="22">
        <f t="shared" si="7"/>
        <v>391.15860250001066</v>
      </c>
      <c r="BH47" s="62">
        <f t="shared" si="8"/>
        <v>684.49193583334397</v>
      </c>
      <c r="BI47" s="62">
        <f ca="1">AVERAGE(OFFSET($BH$3,0,0,'Données projet'!$E$11+1,1))-AVERAGE(OFFSET($H$3,0,0,'Données projet'!$E$11+1,1))</f>
        <v>288.82868507674738</v>
      </c>
      <c r="BJ47" s="62">
        <f t="shared" si="38"/>
        <v>283.48738729114024</v>
      </c>
      <c r="BK47" s="16">
        <f>IF(ISNA(VLOOKUP(A47,'Données projet'!$A$87:$I$107,3,0)),0,VLOOKUP(A47,'Données projet'!$A$87:$I$107,3,0))</f>
        <v>6</v>
      </c>
      <c r="BL47" s="16">
        <f>IF(ISNA(VLOOKUP(A47,'Données projet'!$A$87:$I$107,4,0)),0,VLOOKUP(A47,'Données projet'!$A$87:$I$107,4,0))</f>
        <v>43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4.7105082088580055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4.7105082088580055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545.63</v>
      </c>
      <c r="BW47" s="13">
        <f>VLOOKUP(A47,'Données projet'!$A$113:$I$133,9,0)</f>
        <v>26.495000000000005</v>
      </c>
      <c r="BX47" s="13">
        <f t="array" ref="BX47">INDEX(BW:BW,MIN(IF(ISNUMBER(BW47:BW243),ROW(BW47:BW243),"")))</f>
        <v>26.495000000000005</v>
      </c>
      <c r="BY47" s="13">
        <f>IF('Données projet'!$A$114&gt;35,BY46+BX47-CG46,IF(A47&lt;'Données projet'!$A$114,$BV$205^A47,IF(A47='Données projet'!$A$114,'Données projet'!$B$114,BY46+BX47-CG46)))</f>
        <v>545.62999999999988</v>
      </c>
      <c r="BZ47" s="14">
        <f>BY47*VLOOKUP('Données projet'!$B$12,Paramètres!$A$1:$I$89,3,0)*VLOOKUP('Données projet'!$B$12,Paramètres!$A$1:$I$89,5,0)</f>
        <v>305.00716999999992</v>
      </c>
      <c r="CA47" s="14">
        <f t="shared" si="39"/>
        <v>72.225145248700485</v>
      </c>
      <c r="CB47" s="22">
        <f t="shared" si="10"/>
        <v>657.01294905815314</v>
      </c>
      <c r="CC47" s="62">
        <f t="shared" si="11"/>
        <v>950.34628239148651</v>
      </c>
      <c r="CD47" s="62">
        <f ca="1">AVERAGE(OFFSET($CC$3,0,0,'Données projet'!$E$12+1,1))-AVERAGE(OFFSET($H$3,0,0,'Données projet'!$E$12+1,1))</f>
        <v>405.09126081846171</v>
      </c>
      <c r="CE47" s="62">
        <f t="shared" si="40"/>
        <v>534.22295841722166</v>
      </c>
      <c r="CF47" s="16">
        <f>IF(ISNA(VLOOKUP(A47,'Données projet'!$A$113:$I$133,3,0)),0,VLOOKUP(A47,'Données projet'!$A$113:$I$133,3,0))</f>
        <v>15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1.8234685411912643</v>
      </c>
      <c r="CL47" s="23">
        <f>EXP(-LN(2)/25)*CL46+(1-EXP(-LN(2)/25))/(LN(2)/25)*Calculateur!CG47*Calculateur!CI47*VLOOKUP('Données projet'!$B$12,Paramètres!$A$1:$I$89,3,0)*0.475*44/12</f>
        <v>5.9128382044514858</v>
      </c>
      <c r="CM47" s="23">
        <f>EXP(-LN(2)/2)*CM46+(1-EXP(-LN(2)/2))/(LN(2)/2)*CG47*CJ47*VLOOKUP('Données projet'!$B$12,Paramètres!$A$1:$I$89,3,0)*0.475*44/12</f>
        <v>2.8903145666516099E-3</v>
      </c>
      <c r="CN47" s="24">
        <f t="shared" si="12"/>
        <v>7.7391970602094018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192.60000000000002</v>
      </c>
      <c r="CU47" s="18">
        <f>CT47*VLOOKUP('Données projet'!$B$13,Paramètres!$A$1:$I$89,3,0)*VLOOKUP('Données projet'!$B$13,Paramètres!$A$1:$I$89,5,0)</f>
        <v>186.28272000000001</v>
      </c>
      <c r="CV47" s="14">
        <f t="shared" si="41"/>
        <v>46.717172342223918</v>
      </c>
      <c r="CW47" s="22">
        <f t="shared" si="13"/>
        <v>405.80814582937325</v>
      </c>
      <c r="CX47" s="62">
        <f t="shared" si="14"/>
        <v>699.14147916270656</v>
      </c>
      <c r="CY47" s="62">
        <f ca="1">AVERAGE(OFFSET($CX$3,0,0,'Données projet'!$E$13+1,1))-AVERAGE(OFFSET($H$3,0,0,'Données projet'!$E$13+1,1))</f>
        <v>466.4945858005575</v>
      </c>
      <c r="CZ47" s="62">
        <f t="shared" si="42"/>
        <v>294.45557293177131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6.6203147276241321</v>
      </c>
      <c r="DH47" s="23">
        <f>EXP(-LN(2)/2)*DH46+(1-EXP(-LN(2)/2))/(LN(2)/2)*DB47*DE47*VLOOKUP('Données projet'!$B$13,Paramètres!$A$1:$I$89,3,0)*0.475*44/12</f>
        <v>0.12451589816306227</v>
      </c>
      <c r="DI47" s="24">
        <f t="shared" si="15"/>
        <v>6.7448306257871939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149.60000000000002</v>
      </c>
      <c r="DP47" s="18">
        <f>DO47*VLOOKUP('Données projet'!$B$14,Paramètres!$A$1:$I$89,3,0)*VLOOKUP('Données projet'!$B$14,Paramètres!$A$1:$I$89,5,0)</f>
        <v>142.35936000000004</v>
      </c>
      <c r="DQ47" s="14">
        <f t="shared" si="43"/>
        <v>36.836974905762489</v>
      </c>
      <c r="DR47" s="22">
        <f t="shared" si="16"/>
        <v>312.10028329420305</v>
      </c>
      <c r="DS47" s="62">
        <f t="shared" si="17"/>
        <v>605.43361662753637</v>
      </c>
      <c r="DT47" s="62">
        <f ca="1">AVERAGE(OFFSET($DS$3,0,0,'Données projet'!$E$14+1,1))-AVERAGE(OFFSET($H$3,0,0,'Données projet'!$E$14+1,1))</f>
        <v>404.20764079465965</v>
      </c>
      <c r="DU47" s="62">
        <f t="shared" si="44"/>
        <v>243.23852967152732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0.15722523859020976</v>
      </c>
      <c r="ED47" s="24">
        <f t="shared" si="18"/>
        <v>0.15722523859020976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439.06700232017681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6.0238443330403504</v>
      </c>
      <c r="AB48" s="23">
        <f>EXP(-LN(2)/2)*AB47+(1-EXP(-LN(2)/2))/(LN(2)/2)*V48*Y48*VLOOKUP('Données projet'!$B$9,Paramètres!$A$1:$I$89,3,0)*0.475*44/12</f>
        <v>8.236564654007783E-2</v>
      </c>
      <c r="AC48" s="24">
        <f t="shared" si="3"/>
        <v>6.1062099795804281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396.92963589781414</v>
      </c>
      <c r="AO48" s="62">
        <f t="shared" si="36"/>
        <v>294.38852181137639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197.37499999999991</v>
      </c>
      <c r="BE48" s="14">
        <f>BD48*VLOOKUP('Données projet'!$B$11,Paramètres!$A$1:$I$89,3,0)*VLOOKUP('Données projet'!$B$11,Paramètres!$A$1:$I$89,5,0)</f>
        <v>153.95249999999993</v>
      </c>
      <c r="BF48" s="14">
        <f t="shared" si="37"/>
        <v>39.475441267837361</v>
      </c>
      <c r="BG48" s="22">
        <f t="shared" si="7"/>
        <v>336.88699770814992</v>
      </c>
      <c r="BH48" s="62">
        <f t="shared" si="8"/>
        <v>630.22033104148318</v>
      </c>
      <c r="BI48" s="62">
        <f ca="1">AVERAGE(OFFSET($BH$3,0,0,'Données projet'!$E$11+1,1))-AVERAGE(OFFSET($H$3,0,0,'Données projet'!$E$11+1,1))</f>
        <v>288.82868507674738</v>
      </c>
      <c r="BJ48" s="62">
        <f t="shared" si="38"/>
        <v>283.48738729114024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4.581699114171923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4.581699114171923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27.08499999999998</v>
      </c>
      <c r="BY48" s="13">
        <f>IF('Données projet'!$A$114&gt;35,BY47+BX48-CG47,IF(A48&lt;'Données projet'!$A$114,$BV$205^A48,IF(A48='Données projet'!$A$114,'Données projet'!$B$114,BY47+BX48-CG47)))</f>
        <v>572.71499999999992</v>
      </c>
      <c r="BZ48" s="14">
        <f>BY48*VLOOKUP('Données projet'!$B$12,Paramètres!$A$1:$I$89,3,0)*VLOOKUP('Données projet'!$B$12,Paramètres!$A$1:$I$89,5,0)</f>
        <v>320.14768499999997</v>
      </c>
      <c r="CA48" s="14">
        <f t="shared" si="39"/>
        <v>75.384081573989107</v>
      </c>
      <c r="CB48" s="22">
        <f t="shared" si="10"/>
        <v>688.88449344969774</v>
      </c>
      <c r="CC48" s="62">
        <f t="shared" si="11"/>
        <v>982.21782678303111</v>
      </c>
      <c r="CD48" s="62">
        <f ca="1">AVERAGE(OFFSET($CC$3,0,0,'Données projet'!$E$12+1,1))-AVERAGE(OFFSET($H$3,0,0,'Données projet'!$E$12+1,1))</f>
        <v>405.09126081846171</v>
      </c>
      <c r="CE48" s="62">
        <f t="shared" si="40"/>
        <v>534.22295841722166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1.7877114353044925</v>
      </c>
      <c r="CL48" s="23">
        <f>EXP(-LN(2)/25)*CL47+(1-EXP(-LN(2)/25))/(LN(2)/25)*Calculateur!CG48*Calculateur!CI48*VLOOKUP('Données projet'!$B$12,Paramètres!$A$1:$I$89,3,0)*0.475*44/12</f>
        <v>5.7511513328081127</v>
      </c>
      <c r="CM48" s="23">
        <f>EXP(-LN(2)/2)*CM47+(1-EXP(-LN(2)/2))/(LN(2)/2)*CG48*CJ48*VLOOKUP('Données projet'!$B$12,Paramètres!$A$1:$I$89,3,0)*0.475*44/12</f>
        <v>2.0437610298416108E-3</v>
      </c>
      <c r="CN48" s="24">
        <f t="shared" si="12"/>
        <v>7.5409065291424469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204.00000000000003</v>
      </c>
      <c r="CU48" s="18">
        <f>CT48*VLOOKUP('Données projet'!$B$13,Paramètres!$A$1:$I$89,3,0)*VLOOKUP('Données projet'!$B$13,Paramètres!$A$1:$I$89,5,0)</f>
        <v>197.30880000000005</v>
      </c>
      <c r="CV48" s="14">
        <f t="shared" si="41"/>
        <v>49.152257900676076</v>
      </c>
      <c r="CW48" s="22">
        <f t="shared" si="13"/>
        <v>429.25300917701088</v>
      </c>
      <c r="CX48" s="62">
        <f t="shared" si="14"/>
        <v>722.58634251034414</v>
      </c>
      <c r="CY48" s="62">
        <f ca="1">AVERAGE(OFFSET($CX$3,0,0,'Données projet'!$E$13+1,1))-AVERAGE(OFFSET($H$3,0,0,'Données projet'!$E$13+1,1))</f>
        <v>466.4945858005575</v>
      </c>
      <c r="CZ48" s="62">
        <f t="shared" si="42"/>
        <v>294.45557293177131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6.4392818732500299</v>
      </c>
      <c r="DH48" s="23">
        <f>EXP(-LN(2)/2)*DH47+(1-EXP(-LN(2)/2))/(LN(2)/2)*DB48*DE48*VLOOKUP('Données projet'!$B$13,Paramètres!$A$1:$I$89,3,0)*0.475*44/12</f>
        <v>8.8046035956634919E-2</v>
      </c>
      <c r="DI48" s="24">
        <f t="shared" si="15"/>
        <v>6.5273279092066652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158.00000000000003</v>
      </c>
      <c r="DP48" s="18">
        <f>DO48*VLOOKUP('Données projet'!$B$14,Paramètres!$A$1:$I$89,3,0)*VLOOKUP('Données projet'!$B$14,Paramètres!$A$1:$I$89,5,0)</f>
        <v>150.35280000000003</v>
      </c>
      <c r="DQ48" s="14">
        <f t="shared" si="43"/>
        <v>38.658749721546236</v>
      </c>
      <c r="DR48" s="22">
        <f t="shared" si="16"/>
        <v>329.1951157650264</v>
      </c>
      <c r="DS48" s="62">
        <f t="shared" si="17"/>
        <v>622.52844909835972</v>
      </c>
      <c r="DT48" s="62">
        <f ca="1">AVERAGE(OFFSET($DS$3,0,0,'Données projet'!$E$14+1,1))-AVERAGE(OFFSET($H$3,0,0,'Données projet'!$E$14+1,1))</f>
        <v>404.20764079465965</v>
      </c>
      <c r="DU48" s="62">
        <f t="shared" si="44"/>
        <v>243.23852967152732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0.11117503238081018</v>
      </c>
      <c r="ED48" s="24">
        <f t="shared" si="18"/>
        <v>0.11117503238081018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439.06700232017681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5.8591219929731562</v>
      </c>
      <c r="AB49" s="23">
        <f>EXP(-LN(2)/2)*AB48+(1-EXP(-LN(2)/2))/(LN(2)/2)*V49*Y49*VLOOKUP('Données projet'!$B$9,Paramètres!$A$1:$I$89,3,0)*0.475*44/12</f>
        <v>5.8241307205303336E-2</v>
      </c>
      <c r="AC49" s="24">
        <f t="shared" si="3"/>
        <v>5.9173633001784598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396.92963589781414</v>
      </c>
      <c r="AO49" s="62">
        <f t="shared" si="36"/>
        <v>294.38852181137639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207.74999999999991</v>
      </c>
      <c r="BE49" s="14">
        <f>BD49*VLOOKUP('Données projet'!$B$11,Paramètres!$A$1:$I$89,3,0)*VLOOKUP('Données projet'!$B$11,Paramètres!$A$1:$I$89,5,0)</f>
        <v>162.04499999999993</v>
      </c>
      <c r="BF49" s="14">
        <f t="shared" si="37"/>
        <v>41.303429372463391</v>
      </c>
      <c r="BG49" s="22">
        <f t="shared" si="7"/>
        <v>354.16518115704025</v>
      </c>
      <c r="BH49" s="62">
        <f t="shared" si="8"/>
        <v>647.49851449037351</v>
      </c>
      <c r="BI49" s="62">
        <f ca="1">AVERAGE(OFFSET($BH$3,0,0,'Données projet'!$E$11+1,1))-AVERAGE(OFFSET($H$3,0,0,'Données projet'!$E$11+1,1))</f>
        <v>288.82868507674738</v>
      </c>
      <c r="BJ49" s="62">
        <f t="shared" si="38"/>
        <v>283.48738729114024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4.456412310953807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4.456412310953807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599.79999999999995</v>
      </c>
      <c r="BW49" s="13">
        <f>VLOOKUP(A49,'Données projet'!$A$113:$I$133,9,0)</f>
        <v>27.08499999999998</v>
      </c>
      <c r="BX49" s="13">
        <f t="array" ref="BX49">INDEX(BW:BW,MIN(IF(ISNUMBER(BW49:BW245),ROW(BW49:BW245),"")))</f>
        <v>27.08499999999998</v>
      </c>
      <c r="BY49" s="13">
        <f>IF('Données projet'!$A$114&gt;35,BY48+BX49-CG48,IF(A49&lt;'Données projet'!$A$114,$BV$205^A49,IF(A49='Données projet'!$A$114,'Données projet'!$B$114,BY48+BX49-CG48)))</f>
        <v>599.79999999999995</v>
      </c>
      <c r="BZ49" s="14">
        <f>BY49*VLOOKUP('Données projet'!$B$12,Paramètres!$A$1:$I$89,3,0)*VLOOKUP('Données projet'!$B$12,Paramètres!$A$1:$I$89,5,0)</f>
        <v>335.28820000000002</v>
      </c>
      <c r="CA49" s="14">
        <f t="shared" si="39"/>
        <v>78.525669464786546</v>
      </c>
      <c r="CB49" s="22">
        <f t="shared" si="10"/>
        <v>720.72582265116989</v>
      </c>
      <c r="CC49" s="62">
        <f t="shared" si="11"/>
        <v>1014.0591559845031</v>
      </c>
      <c r="CD49" s="62">
        <f ca="1">AVERAGE(OFFSET($CC$3,0,0,'Données projet'!$E$12+1,1))-AVERAGE(OFFSET($H$3,0,0,'Données projet'!$E$12+1,1))</f>
        <v>405.09126081846171</v>
      </c>
      <c r="CE49" s="62">
        <f t="shared" si="40"/>
        <v>534.22295841722166</v>
      </c>
      <c r="CF49" s="16">
        <f>IF(ISNA(VLOOKUP(A49,'Données projet'!$A$113:$I$133,3,0)),0,VLOOKUP(A49,'Données projet'!$A$113:$I$133,3,0))</f>
        <v>16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1.7526555044544792</v>
      </c>
      <c r="CL49" s="23">
        <f>EXP(-LN(2)/25)*CL48+(1-EXP(-LN(2)/25))/(LN(2)/25)*Calculateur!CG49*Calculateur!CI49*VLOOKUP('Données projet'!$B$12,Paramètres!$A$1:$I$89,3,0)*0.475*44/12</f>
        <v>5.5938857971725708</v>
      </c>
      <c r="CM49" s="23">
        <f>EXP(-LN(2)/2)*CM48+(1-EXP(-LN(2)/2))/(LN(2)/2)*CG49*CJ49*VLOOKUP('Données projet'!$B$12,Paramètres!$A$1:$I$89,3,0)*0.475*44/12</f>
        <v>1.445157283325805E-3</v>
      </c>
      <c r="CN49" s="24">
        <f t="shared" si="12"/>
        <v>7.3479864589103752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187.00000000000003</v>
      </c>
      <c r="CU49" s="18">
        <f>CT49*VLOOKUP('Données projet'!$B$13,Paramètres!$A$1:$I$89,3,0)*VLOOKUP('Données projet'!$B$13,Paramètres!$A$1:$I$89,5,0)</f>
        <v>180.86640000000003</v>
      </c>
      <c r="CV49" s="14">
        <f t="shared" si="41"/>
        <v>45.514890302102152</v>
      </c>
      <c r="CW49" s="22">
        <f t="shared" si="13"/>
        <v>394.28074727616126</v>
      </c>
      <c r="CX49" s="62">
        <f t="shared" si="14"/>
        <v>687.61408060949452</v>
      </c>
      <c r="CY49" s="62">
        <f ca="1">AVERAGE(OFFSET($CX$3,0,0,'Données projet'!$E$13+1,1))-AVERAGE(OFFSET($H$3,0,0,'Données projet'!$E$13+1,1))</f>
        <v>466.4945858005575</v>
      </c>
      <c r="CZ49" s="62">
        <f t="shared" si="42"/>
        <v>294.45557293177131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6.2631993717988914</v>
      </c>
      <c r="DH49" s="23">
        <f>EXP(-LN(2)/2)*DH48+(1-EXP(-LN(2)/2))/(LN(2)/2)*DB49*DE49*VLOOKUP('Données projet'!$B$13,Paramètres!$A$1:$I$89,3,0)*0.475*44/12</f>
        <v>6.225794908153115E-2</v>
      </c>
      <c r="DI49" s="24">
        <f t="shared" si="15"/>
        <v>6.3254573208804228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145.40000000000003</v>
      </c>
      <c r="DP49" s="18">
        <f>DO49*VLOOKUP('Données projet'!$B$14,Paramètres!$A$1:$I$89,3,0)*VLOOKUP('Données projet'!$B$14,Paramètres!$A$1:$I$89,5,0)</f>
        <v>138.36264000000003</v>
      </c>
      <c r="DQ49" s="14">
        <f t="shared" si="43"/>
        <v>35.921652875237001</v>
      </c>
      <c r="DR49" s="22">
        <f t="shared" si="16"/>
        <v>303.54514342437113</v>
      </c>
      <c r="DS49" s="62">
        <f t="shared" si="17"/>
        <v>596.87847675770445</v>
      </c>
      <c r="DT49" s="62">
        <f ca="1">AVERAGE(OFFSET($DS$3,0,0,'Données projet'!$E$14+1,1))-AVERAGE(OFFSET($H$3,0,0,'Données projet'!$E$14+1,1))</f>
        <v>404.20764079465965</v>
      </c>
      <c r="DU49" s="62">
        <f t="shared" si="44"/>
        <v>243.23852967152732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7.861261929510488E-2</v>
      </c>
      <c r="ED49" s="24">
        <f t="shared" si="18"/>
        <v>7.861261929510488E-2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439.06700232017681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5.6989039939574706</v>
      </c>
      <c r="AB50" s="23">
        <f>EXP(-LN(2)/2)*AB49+(1-EXP(-LN(2)/2))/(LN(2)/2)*V50*Y50*VLOOKUP('Données projet'!$B$9,Paramètres!$A$1:$I$89,3,0)*0.475*44/12</f>
        <v>4.1182823270038922E-2</v>
      </c>
      <c r="AC50" s="24">
        <f t="shared" si="3"/>
        <v>5.7400868172275095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396.92963589781414</v>
      </c>
      <c r="AO50" s="62">
        <f t="shared" si="36"/>
        <v>294.38852181137639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218.12499999999991</v>
      </c>
      <c r="BE50" s="14">
        <f>BD50*VLOOKUP('Données projet'!$B$11,Paramètres!$A$1:$I$89,3,0)*VLOOKUP('Données projet'!$B$11,Paramètres!$A$1:$I$89,5,0)</f>
        <v>170.13749999999993</v>
      </c>
      <c r="BF50" s="14">
        <f t="shared" si="37"/>
        <v>43.120817562072375</v>
      </c>
      <c r="BG50" s="22">
        <f t="shared" si="7"/>
        <v>371.42490308727588</v>
      </c>
      <c r="BH50" s="62">
        <f t="shared" si="8"/>
        <v>664.75823642060914</v>
      </c>
      <c r="BI50" s="62">
        <f ca="1">AVERAGE(OFFSET($BH$3,0,0,'Données projet'!$E$11+1,1))-AVERAGE(OFFSET($H$3,0,0,'Données projet'!$E$11+1,1))</f>
        <v>288.82868507674738</v>
      </c>
      <c r="BJ50" s="62">
        <f t="shared" si="38"/>
        <v>283.48738729114024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4.3345514819582371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4.3345514819582371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27.625</v>
      </c>
      <c r="BY50" s="13">
        <f>IF('Données projet'!$A$114&gt;35,BY49+BX50-CG49,IF(A50&lt;'Données projet'!$A$114,$BV$205^A50,IF(A50='Données projet'!$A$114,'Données projet'!$B$114,BY49+BX50-CG49)))</f>
        <v>627.42499999999995</v>
      </c>
      <c r="BZ50" s="14">
        <f>BY50*VLOOKUP('Données projet'!$B$12,Paramètres!$A$1:$I$89,3,0)*VLOOKUP('Données projet'!$B$12,Paramètres!$A$1:$I$89,5,0)</f>
        <v>350.73057499999993</v>
      </c>
      <c r="CA50" s="14">
        <f t="shared" si="39"/>
        <v>81.712925956903931</v>
      </c>
      <c r="CB50" s="22">
        <f t="shared" si="10"/>
        <v>753.17243083327423</v>
      </c>
      <c r="CC50" s="62">
        <f t="shared" si="11"/>
        <v>1046.5057641666076</v>
      </c>
      <c r="CD50" s="62">
        <f ca="1">AVERAGE(OFFSET($CC$3,0,0,'Données projet'!$E$12+1,1))-AVERAGE(OFFSET($H$3,0,0,'Données projet'!$E$12+1,1))</f>
        <v>405.09126081846171</v>
      </c>
      <c r="CE50" s="62">
        <f t="shared" si="40"/>
        <v>534.22295841722166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1.7182869990264282</v>
      </c>
      <c r="CL50" s="23">
        <f>EXP(-LN(2)/25)*CL49+(1-EXP(-LN(2)/25))/(LN(2)/25)*Calculateur!CG50*Calculateur!CI50*VLOOKUP('Données projet'!$B$12,Paramètres!$A$1:$I$89,3,0)*0.475*44/12</f>
        <v>5.4409206958792176</v>
      </c>
      <c r="CM50" s="23">
        <f>EXP(-LN(2)/2)*CM49+(1-EXP(-LN(2)/2))/(LN(2)/2)*CG50*CJ50*VLOOKUP('Données projet'!$B$12,Paramètres!$A$1:$I$89,3,0)*0.475*44/12</f>
        <v>1.0218805149208054E-3</v>
      </c>
      <c r="CN50" s="24">
        <f t="shared" si="12"/>
        <v>7.1602295754205674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198.00000000000003</v>
      </c>
      <c r="CU50" s="18">
        <f>CT50*VLOOKUP('Données projet'!$B$13,Paramètres!$A$1:$I$89,3,0)*VLOOKUP('Données projet'!$B$13,Paramètres!$A$1:$I$89,5,0)</f>
        <v>191.50560000000004</v>
      </c>
      <c r="CV50" s="14">
        <f t="shared" si="41"/>
        <v>47.872666570685276</v>
      </c>
      <c r="CW50" s="22">
        <f t="shared" si="13"/>
        <v>416.91714761061024</v>
      </c>
      <c r="CX50" s="62">
        <f t="shared" si="14"/>
        <v>710.25048094394356</v>
      </c>
      <c r="CY50" s="62">
        <f ca="1">AVERAGE(OFFSET($CX$3,0,0,'Données projet'!$E$13+1,1))-AVERAGE(OFFSET($H$3,0,0,'Données projet'!$E$13+1,1))</f>
        <v>466.4945858005575</v>
      </c>
      <c r="CZ50" s="62">
        <f t="shared" si="42"/>
        <v>294.45557293177131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6.0919318556097108</v>
      </c>
      <c r="DH50" s="23">
        <f>EXP(-LN(2)/2)*DH49+(1-EXP(-LN(2)/2))/(LN(2)/2)*DB50*DE50*VLOOKUP('Données projet'!$B$13,Paramètres!$A$1:$I$89,3,0)*0.475*44/12</f>
        <v>4.4023017978317466E-2</v>
      </c>
      <c r="DI50" s="24">
        <f t="shared" si="15"/>
        <v>6.1359548735880285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153.80000000000004</v>
      </c>
      <c r="DP50" s="18">
        <f>DO50*VLOOKUP('Données projet'!$B$14,Paramètres!$A$1:$I$89,3,0)*VLOOKUP('Données projet'!$B$14,Paramètres!$A$1:$I$89,5,0)</f>
        <v>146.35608000000005</v>
      </c>
      <c r="DQ50" s="14">
        <f t="shared" si="43"/>
        <v>37.749310209780433</v>
      </c>
      <c r="DR50" s="22">
        <f t="shared" si="16"/>
        <v>320.65022128203435</v>
      </c>
      <c r="DS50" s="62">
        <f t="shared" si="17"/>
        <v>613.98355461536767</v>
      </c>
      <c r="DT50" s="62">
        <f ca="1">AVERAGE(OFFSET($DS$3,0,0,'Données projet'!$E$14+1,1))-AVERAGE(OFFSET($H$3,0,0,'Données projet'!$E$14+1,1))</f>
        <v>404.20764079465965</v>
      </c>
      <c r="DU50" s="62">
        <f t="shared" si="44"/>
        <v>243.23852967152732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5.5587516190405091E-2</v>
      </c>
      <c r="ED50" s="24">
        <f t="shared" si="18"/>
        <v>5.5587516190405091E-2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439.06700232017681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5.5430671645503677</v>
      </c>
      <c r="AB51" s="23">
        <f>EXP(-LN(2)/2)*AB50+(1-EXP(-LN(2)/2))/(LN(2)/2)*V51*Y51*VLOOKUP('Données projet'!$B$9,Paramètres!$A$1:$I$89,3,0)*0.475*44/12</f>
        <v>2.9120653602651671E-2</v>
      </c>
      <c r="AC51" s="24">
        <f t="shared" si="3"/>
        <v>5.5721878181530196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396.92963589781414</v>
      </c>
      <c r="AO51" s="62">
        <f t="shared" si="36"/>
        <v>294.38852181137639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228.49999999999991</v>
      </c>
      <c r="BE51" s="14">
        <f>BD51*VLOOKUP('Données projet'!$B$11,Paramètres!$A$1:$I$89,3,0)*VLOOKUP('Données projet'!$B$11,Paramètres!$A$1:$I$89,5,0)</f>
        <v>178.22999999999993</v>
      </c>
      <c r="BF51" s="14">
        <f t="shared" si="37"/>
        <v>44.928167580487852</v>
      </c>
      <c r="BG51" s="22">
        <f t="shared" si="7"/>
        <v>388.66714186934951</v>
      </c>
      <c r="BH51" s="62">
        <f t="shared" si="8"/>
        <v>682.00047520268276</v>
      </c>
      <c r="BI51" s="62">
        <f ca="1">AVERAGE(OFFSET($BH$3,0,0,'Données projet'!$E$11+1,1))-AVERAGE(OFFSET($H$3,0,0,'Données projet'!$E$11+1,1))</f>
        <v>288.82868507674738</v>
      </c>
      <c r="BJ51" s="62">
        <f t="shared" si="38"/>
        <v>283.48738729114024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4.216022943739933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4.216022943739933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655.04999999999995</v>
      </c>
      <c r="BW51" s="13">
        <f>VLOOKUP(A51,'Données projet'!$A$113:$I$133,9,0)</f>
        <v>27.625</v>
      </c>
      <c r="BX51" s="13">
        <f t="array" ref="BX51">INDEX(BW:BW,MIN(IF(ISNUMBER(BW51:BW247),ROW(BW51:BW247),"")))</f>
        <v>27.625</v>
      </c>
      <c r="BY51" s="13">
        <f>IF('Données projet'!$A$114&gt;35,BY50+BX51-CG50,IF(A51&lt;'Données projet'!$A$114,$BV$205^A51,IF(A51='Données projet'!$A$114,'Données projet'!$B$114,BY50+BX51-CG50)))</f>
        <v>655.04999999999995</v>
      </c>
      <c r="BZ51" s="14">
        <f>BY51*VLOOKUP('Données projet'!$B$12,Paramètres!$A$1:$I$89,3,0)*VLOOKUP('Données projet'!$B$12,Paramètres!$A$1:$I$89,5,0)</f>
        <v>366.17295000000001</v>
      </c>
      <c r="CA51" s="14">
        <f t="shared" si="39"/>
        <v>84.883884000754321</v>
      </c>
      <c r="CB51" s="22">
        <f t="shared" si="10"/>
        <v>785.59065255131372</v>
      </c>
      <c r="CC51" s="62">
        <f t="shared" si="11"/>
        <v>1078.923985884647</v>
      </c>
      <c r="CD51" s="62">
        <f ca="1">AVERAGE(OFFSET($CC$3,0,0,'Données projet'!$E$12+1,1))-AVERAGE(OFFSET($H$3,0,0,'Données projet'!$E$12+1,1))</f>
        <v>405.09126081846171</v>
      </c>
      <c r="CE51" s="62">
        <f t="shared" si="40"/>
        <v>534.22295841722166</v>
      </c>
      <c r="CF51" s="16">
        <f>IF(ISNA(VLOOKUP(A51,'Données projet'!$A$113:$I$133,3,0)),0,VLOOKUP(A51,'Données projet'!$A$113:$I$133,3,0))</f>
        <v>17</v>
      </c>
      <c r="CG51" s="16">
        <f>IF(ISNA(VLOOKUP(A51,'Données projet'!$A$113:$I$133,4,0)),0,VLOOKUP(A51,'Données projet'!$A$113:$I$133,4,0))</f>
        <v>101.34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1.684592439027103</v>
      </c>
      <c r="CL51" s="23">
        <f>EXP(-LN(2)/25)*CL50+(1-EXP(-LN(2)/25))/(LN(2)/25)*Calculateur!CG51*Calculateur!CI51*VLOOKUP('Données projet'!$B$12,Paramètres!$A$1:$I$89,3,0)*0.475*44/12</f>
        <v>5.2921384333248165</v>
      </c>
      <c r="CM51" s="23">
        <f>EXP(-LN(2)/2)*CM50+(1-EXP(-LN(2)/2))/(LN(2)/2)*CG51*CJ51*VLOOKUP('Données projet'!$B$12,Paramètres!$A$1:$I$89,3,0)*0.475*44/12</f>
        <v>7.2257864166290248E-4</v>
      </c>
      <c r="CN51" s="24">
        <f t="shared" si="12"/>
        <v>6.9774534509935826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209.00000000000003</v>
      </c>
      <c r="CU51" s="18">
        <f>CT51*VLOOKUP('Données projet'!$B$13,Paramètres!$A$1:$I$89,3,0)*VLOOKUP('Données projet'!$B$13,Paramètres!$A$1:$I$89,5,0)</f>
        <v>202.14480000000003</v>
      </c>
      <c r="CV51" s="14">
        <f t="shared" si="41"/>
        <v>50.215236821738628</v>
      </c>
      <c r="CW51" s="22">
        <f t="shared" si="13"/>
        <v>439.52706413119489</v>
      </c>
      <c r="CX51" s="62">
        <f t="shared" si="14"/>
        <v>732.86039746452821</v>
      </c>
      <c r="CY51" s="62">
        <f ca="1">AVERAGE(OFFSET($CX$3,0,0,'Données projet'!$E$13+1,1))-AVERAGE(OFFSET($H$3,0,0,'Données projet'!$E$13+1,1))</f>
        <v>466.4945858005575</v>
      </c>
      <c r="CZ51" s="62">
        <f t="shared" si="42"/>
        <v>294.45557293177131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5.92534765865729</v>
      </c>
      <c r="DH51" s="23">
        <f>EXP(-LN(2)/2)*DH50+(1-EXP(-LN(2)/2))/(LN(2)/2)*DB51*DE51*VLOOKUP('Données projet'!$B$13,Paramètres!$A$1:$I$89,3,0)*0.475*44/12</f>
        <v>3.1128974540765578E-2</v>
      </c>
      <c r="DI51" s="24">
        <f t="shared" si="15"/>
        <v>5.9564766331980552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162.20000000000005</v>
      </c>
      <c r="DP51" s="18">
        <f>DO51*VLOOKUP('Données projet'!$B$14,Paramètres!$A$1:$I$89,3,0)*VLOOKUP('Données projet'!$B$14,Paramètres!$A$1:$I$89,5,0)</f>
        <v>154.34952000000004</v>
      </c>
      <c r="DQ51" s="14">
        <f t="shared" si="43"/>
        <v>39.565379265558612</v>
      </c>
      <c r="DR51" s="22">
        <f t="shared" si="16"/>
        <v>337.73511622084794</v>
      </c>
      <c r="DS51" s="62">
        <f t="shared" si="17"/>
        <v>631.06844955418126</v>
      </c>
      <c r="DT51" s="62">
        <f ca="1">AVERAGE(OFFSET($DS$3,0,0,'Données projet'!$E$14+1,1))-AVERAGE(OFFSET($H$3,0,0,'Données projet'!$E$14+1,1))</f>
        <v>404.20764079465965</v>
      </c>
      <c r="DU51" s="62">
        <f t="shared" si="44"/>
        <v>243.23852967152732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3.930630964755244E-2</v>
      </c>
      <c r="ED51" s="24">
        <f t="shared" si="18"/>
        <v>3.930630964755244E-2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439.06700232017681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5.3914917014385049</v>
      </c>
      <c r="AB52" s="23">
        <f>EXP(-LN(2)/2)*AB51+(1-EXP(-LN(2)/2))/(LN(2)/2)*V52*Y52*VLOOKUP('Données projet'!$B$9,Paramètres!$A$1:$I$89,3,0)*0.475*44/12</f>
        <v>2.0591411635019465E-2</v>
      </c>
      <c r="AC52" s="24">
        <f t="shared" si="3"/>
        <v>5.4120831130735247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396.92963589781414</v>
      </c>
      <c r="AO52" s="62">
        <f t="shared" si="36"/>
        <v>294.38852181137639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238.87499999999991</v>
      </c>
      <c r="BE52" s="14">
        <f>BD52*VLOOKUP('Données projet'!$B$11,Paramètres!$A$1:$I$89,3,0)*VLOOKUP('Données projet'!$B$11,Paramètres!$A$1:$I$89,5,0)</f>
        <v>186.32249999999993</v>
      </c>
      <c r="BF52" s="14">
        <f t="shared" si="37"/>
        <v>46.725987276254116</v>
      </c>
      <c r="BG52" s="22">
        <f t="shared" si="7"/>
        <v>405.8927820061424</v>
      </c>
      <c r="BH52" s="62">
        <f t="shared" si="8"/>
        <v>699.22611533947565</v>
      </c>
      <c r="BI52" s="62">
        <f ca="1">AVERAGE(OFFSET($BH$3,0,0,'Données projet'!$E$11+1,1))-AVERAGE(OFFSET($H$3,0,0,'Données projet'!$E$11+1,1))</f>
        <v>288.82868507674738</v>
      </c>
      <c r="BJ52" s="62">
        <f t="shared" si="38"/>
        <v>283.48738729114024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4.1007355746323535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4.1007355746323535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25.205000000000041</v>
      </c>
      <c r="BY52" s="13">
        <f>IF('Données projet'!$A$114&gt;35,BY51+BX52-CG51,IF(A52&lt;'Données projet'!$A$114,$BV$205^A52,IF(A52='Données projet'!$A$114,'Données projet'!$B$114,BY51+BX52-CG51)))</f>
        <v>578.91499999999996</v>
      </c>
      <c r="BZ52" s="14">
        <f>BY52*VLOOKUP('Données projet'!$B$12,Paramètres!$A$1:$I$89,3,0)*VLOOKUP('Données projet'!$B$12,Paramètres!$A$1:$I$89,5,0)</f>
        <v>323.61348500000003</v>
      </c>
      <c r="CA52" s="14">
        <f t="shared" si="39"/>
        <v>76.10471743389418</v>
      </c>
      <c r="CB52" s="22">
        <f t="shared" si="10"/>
        <v>696.17586923903229</v>
      </c>
      <c r="CC52" s="62">
        <f t="shared" si="11"/>
        <v>989.50920257236567</v>
      </c>
      <c r="CD52" s="62">
        <f ca="1">AVERAGE(OFFSET($CC$3,0,0,'Données projet'!$E$12+1,1))-AVERAGE(OFFSET($H$3,0,0,'Données projet'!$E$12+1,1))</f>
        <v>405.09126081846171</v>
      </c>
      <c r="CE52" s="62">
        <f t="shared" si="40"/>
        <v>534.22295841722166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1.6515586087977121</v>
      </c>
      <c r="CL52" s="23">
        <f>EXP(-LN(2)/25)*CL51+(1-EXP(-LN(2)/25))/(LN(2)/25)*Calculateur!CG52*Calculateur!CI52*VLOOKUP('Données projet'!$B$12,Paramètres!$A$1:$I$89,3,0)*0.475*44/12</f>
        <v>5.1474246295640844</v>
      </c>
      <c r="CM52" s="23">
        <f>EXP(-LN(2)/2)*CM51+(1-EXP(-LN(2)/2))/(LN(2)/2)*CG52*CJ52*VLOOKUP('Données projet'!$B$12,Paramètres!$A$1:$I$89,3,0)*0.475*44/12</f>
        <v>5.109402574604027E-4</v>
      </c>
      <c r="CN52" s="24">
        <f t="shared" si="12"/>
        <v>6.7994941786192573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220.00000000000003</v>
      </c>
      <c r="CU52" s="18">
        <f>CT52*VLOOKUP('Données projet'!$B$13,Paramètres!$A$1:$I$89,3,0)*VLOOKUP('Données projet'!$B$13,Paramètres!$A$1:$I$89,5,0)</f>
        <v>212.78400000000002</v>
      </c>
      <c r="CV52" s="14">
        <f t="shared" si="41"/>
        <v>52.543492641808065</v>
      </c>
      <c r="CW52" s="22">
        <f t="shared" si="13"/>
        <v>462.11204968448237</v>
      </c>
      <c r="CX52" s="62">
        <f t="shared" si="14"/>
        <v>755.44538301781563</v>
      </c>
      <c r="CY52" s="62">
        <f ca="1">AVERAGE(OFFSET($CX$3,0,0,'Données projet'!$E$13+1,1))-AVERAGE(OFFSET($H$3,0,0,'Données projet'!$E$13+1,1))</f>
        <v>466.4945858005575</v>
      </c>
      <c r="CZ52" s="62">
        <f t="shared" si="42"/>
        <v>294.45557293177131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5.7633187153308159</v>
      </c>
      <c r="DH52" s="23">
        <f>EXP(-LN(2)/2)*DH51+(1-EXP(-LN(2)/2))/(LN(2)/2)*DB52*DE52*VLOOKUP('Données projet'!$B$13,Paramètres!$A$1:$I$89,3,0)*0.475*44/12</f>
        <v>2.2011508989158737E-2</v>
      </c>
      <c r="DI52" s="24">
        <f t="shared" si="15"/>
        <v>5.7853302243199742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170.60000000000005</v>
      </c>
      <c r="DP52" s="18">
        <f>DO52*VLOOKUP('Données projet'!$B$14,Paramètres!$A$1:$I$89,3,0)*VLOOKUP('Données projet'!$B$14,Paramètres!$A$1:$I$89,5,0)</f>
        <v>162.34296000000006</v>
      </c>
      <c r="DQ52" s="14">
        <f t="shared" si="43"/>
        <v>41.370528628187849</v>
      </c>
      <c r="DR52" s="22">
        <f t="shared" si="16"/>
        <v>354.80099269409396</v>
      </c>
      <c r="DS52" s="62">
        <f t="shared" si="17"/>
        <v>648.13432602742728</v>
      </c>
      <c r="DT52" s="62">
        <f ca="1">AVERAGE(OFFSET($DS$3,0,0,'Données projet'!$E$14+1,1))-AVERAGE(OFFSET($H$3,0,0,'Données projet'!$E$14+1,1))</f>
        <v>404.20764079465965</v>
      </c>
      <c r="DU52" s="62">
        <f t="shared" si="44"/>
        <v>243.23852967152732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2.7793758095202546E-2</v>
      </c>
      <c r="ED52" s="24">
        <f t="shared" si="18"/>
        <v>2.7793758095202546E-2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439.06700232017681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5.2440610773364424</v>
      </c>
      <c r="AB53" s="23">
        <f>EXP(-LN(2)/2)*AB52+(1-EXP(-LN(2)/2))/(LN(2)/2)*V53*Y53*VLOOKUP('Données projet'!$B$9,Paramètres!$A$1:$I$89,3,0)*0.475*44/12</f>
        <v>1.4560326801325837E-2</v>
      </c>
      <c r="AC53" s="24">
        <f t="shared" si="3"/>
        <v>5.2586214041377684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396.92963589781414</v>
      </c>
      <c r="AO53" s="62">
        <f t="shared" si="36"/>
        <v>294.38852181137639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249.24999999999991</v>
      </c>
      <c r="BE53" s="14">
        <f>BD53*VLOOKUP('Données projet'!$B$11,Paramètres!$A$1:$I$89,3,0)*VLOOKUP('Données projet'!$B$11,Paramètres!$A$1:$I$89,5,0)</f>
        <v>194.41499999999994</v>
      </c>
      <c r="BF53" s="14">
        <f t="shared" si="37"/>
        <v>48.514737888684927</v>
      </c>
      <c r="BG53" s="22">
        <f t="shared" si="7"/>
        <v>423.10262682279273</v>
      </c>
      <c r="BH53" s="62">
        <f t="shared" si="8"/>
        <v>716.43596015612604</v>
      </c>
      <c r="BI53" s="62">
        <f ca="1">AVERAGE(OFFSET($BH$3,0,0,'Données projet'!$E$11+1,1))-AVERAGE(OFFSET($H$3,0,0,'Données projet'!$E$11+1,1))</f>
        <v>288.82868507674738</v>
      </c>
      <c r="BJ53" s="62">
        <f t="shared" si="38"/>
        <v>283.48738729114024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3.9886007446957201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3.9886007446957201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604.12</v>
      </c>
      <c r="BW53" s="13">
        <f>VLOOKUP(A53,'Données projet'!$A$113:$I$133,9,0)</f>
        <v>25.205000000000041</v>
      </c>
      <c r="BX53" s="13">
        <f t="array" ref="BX53">INDEX(BW:BW,MIN(IF(ISNUMBER(BW53:BW249),ROW(BW53:BW249),"")))</f>
        <v>25.205000000000041</v>
      </c>
      <c r="BY53" s="13">
        <f>IF('Données projet'!$A$114&gt;35,BY52+BX53-CG52,IF(A53&lt;'Données projet'!$A$114,$BV$205^A53,IF(A53='Données projet'!$A$114,'Données projet'!$B$114,BY52+BX53-CG52)))</f>
        <v>604.12</v>
      </c>
      <c r="BZ53" s="14">
        <f>BY53*VLOOKUP('Données projet'!$B$12,Paramètres!$A$1:$I$89,3,0)*VLOOKUP('Données projet'!$B$12,Paramètres!$A$1:$I$89,5,0)</f>
        <v>337.70308</v>
      </c>
      <c r="CA53" s="14">
        <f t="shared" si="39"/>
        <v>79.025201150271741</v>
      </c>
      <c r="CB53" s="22">
        <f t="shared" si="10"/>
        <v>725.80175633672332</v>
      </c>
      <c r="CC53" s="62">
        <f t="shared" si="11"/>
        <v>1019.1350896700567</v>
      </c>
      <c r="CD53" s="62">
        <f ca="1">AVERAGE(OFFSET($CC$3,0,0,'Données projet'!$E$12+1,1))-AVERAGE(OFFSET($H$3,0,0,'Données projet'!$E$12+1,1))</f>
        <v>405.09126081846171</v>
      </c>
      <c r="CE53" s="62">
        <f t="shared" si="40"/>
        <v>534.22295841722166</v>
      </c>
      <c r="CF53" s="16">
        <f>IF(ISNA(VLOOKUP(A53,'Données projet'!$A$113:$I$133,3,0)),0,VLOOKUP(A53,'Données projet'!$A$113:$I$133,3,0))</f>
        <v>18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1.6191725518304727</v>
      </c>
      <c r="CL53" s="23">
        <f>EXP(-LN(2)/25)*CL52+(1-EXP(-LN(2)/25))/(LN(2)/25)*Calculateur!CG53*Calculateur!CI53*VLOOKUP('Données projet'!$B$12,Paramètres!$A$1:$I$89,3,0)*0.475*44/12</f>
        <v>5.006668032377358</v>
      </c>
      <c r="CM53" s="23">
        <f>EXP(-LN(2)/2)*CM52+(1-EXP(-LN(2)/2))/(LN(2)/2)*CG53*CJ53*VLOOKUP('Données projet'!$B$12,Paramètres!$A$1:$I$89,3,0)*0.475*44/12</f>
        <v>3.6128932083145124E-4</v>
      </c>
      <c r="CN53" s="24">
        <f t="shared" si="12"/>
        <v>6.6262018735286619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231.00000000000003</v>
      </c>
      <c r="CU53" s="18">
        <f>CT53*VLOOKUP('Données projet'!$B$13,Paramètres!$A$1:$I$89,3,0)*VLOOKUP('Données projet'!$B$13,Paramètres!$A$1:$I$89,5,0)</f>
        <v>223.42320000000004</v>
      </c>
      <c r="CV53" s="14">
        <f t="shared" si="41"/>
        <v>54.858231422257631</v>
      </c>
      <c r="CW53" s="22">
        <f t="shared" si="13"/>
        <v>484.67349306043207</v>
      </c>
      <c r="CX53" s="62">
        <f t="shared" si="14"/>
        <v>778.00682639376532</v>
      </c>
      <c r="CY53" s="62">
        <f ca="1">AVERAGE(OFFSET($CX$3,0,0,'Données projet'!$E$13+1,1))-AVERAGE(OFFSET($H$3,0,0,'Données projet'!$E$13+1,1))</f>
        <v>466.4945858005575</v>
      </c>
      <c r="CZ53" s="62">
        <f t="shared" si="42"/>
        <v>294.45557293177131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28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5.6057204619803356</v>
      </c>
      <c r="DH53" s="23">
        <f>EXP(-LN(2)/2)*DH52+(1-EXP(-LN(2)/2))/(LN(2)/2)*DB53*DE53*VLOOKUP('Données projet'!$B$13,Paramètres!$A$1:$I$89,3,0)*0.475*44/12</f>
        <v>1.5564487270382791E-2</v>
      </c>
      <c r="DI53" s="24">
        <f t="shared" si="15"/>
        <v>5.6212849492507182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179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179.00000000000006</v>
      </c>
      <c r="DP53" s="18">
        <f>DO53*VLOOKUP('Données projet'!$B$14,Paramètres!$A$1:$I$89,3,0)*VLOOKUP('Données projet'!$B$14,Paramètres!$A$1:$I$89,5,0)</f>
        <v>170.33640000000005</v>
      </c>
      <c r="DQ53" s="14">
        <f t="shared" si="43"/>
        <v>43.165357324132231</v>
      </c>
      <c r="DR53" s="22">
        <f t="shared" si="16"/>
        <v>371.84889400619704</v>
      </c>
      <c r="DS53" s="62">
        <f t="shared" si="17"/>
        <v>665.1822273395303</v>
      </c>
      <c r="DT53" s="62">
        <f ca="1">AVERAGE(OFFSET($DS$3,0,0,'Données projet'!$E$14+1,1))-AVERAGE(OFFSET($H$3,0,0,'Données projet'!$E$14+1,1))</f>
        <v>404.20764079465965</v>
      </c>
      <c r="DU53" s="62">
        <f t="shared" si="44"/>
        <v>243.23852967152732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1.965315482377622E-2</v>
      </c>
      <c r="ED53" s="24">
        <f t="shared" si="18"/>
        <v>1.965315482377622E-2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439.06700232017681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5.1006619514034908</v>
      </c>
      <c r="AB54" s="23">
        <f>EXP(-LN(2)/2)*AB53+(1-EXP(-LN(2)/2))/(LN(2)/2)*V54*Y54*VLOOKUP('Données projet'!$B$9,Paramètres!$A$1:$I$89,3,0)*0.475*44/12</f>
        <v>1.0295705817509732E-2</v>
      </c>
      <c r="AC54" s="24">
        <f t="shared" si="3"/>
        <v>5.1109576572210003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396.92963589781414</v>
      </c>
      <c r="AO54" s="62">
        <f t="shared" si="36"/>
        <v>294.38852181137639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259.62499999999989</v>
      </c>
      <c r="BE54" s="14">
        <f>BD54*VLOOKUP('Données projet'!$B$11,Paramètres!$A$1:$I$89,3,0)*VLOOKUP('Données projet'!$B$11,Paramètres!$A$1:$I$89,5,0)</f>
        <v>202.50749999999991</v>
      </c>
      <c r="BF54" s="14">
        <f t="shared" si="37"/>
        <v>50.294840086606349</v>
      </c>
      <c r="BG54" s="22">
        <f t="shared" si="7"/>
        <v>440.29740898417253</v>
      </c>
      <c r="BH54" s="62">
        <f t="shared" si="8"/>
        <v>733.63074231750579</v>
      </c>
      <c r="BI54" s="62">
        <f ca="1">AVERAGE(OFFSET($BH$3,0,0,'Données projet'!$E$11+1,1))-AVERAGE(OFFSET($H$3,0,0,'Données projet'!$E$11+1,1))</f>
        <v>288.82868507674738</v>
      </c>
      <c r="BJ54" s="62">
        <f t="shared" si="38"/>
        <v>283.48738729114024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3.8795322475806184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3.8795322475806184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25.71999999999997</v>
      </c>
      <c r="BY54" s="13">
        <f>IF('Données projet'!$A$114&gt;35,BY53+BX54-CG53,IF(A54&lt;'Données projet'!$A$114,$BV$205^A54,IF(A54='Données projet'!$A$114,'Données projet'!$B$114,BY53+BX54-CG53)))</f>
        <v>629.83999999999992</v>
      </c>
      <c r="BZ54" s="14">
        <f>BY54*VLOOKUP('Données projet'!$B$12,Paramètres!$A$1:$I$89,3,0)*VLOOKUP('Données projet'!$B$12,Paramètres!$A$1:$I$89,5,0)</f>
        <v>352.08055999999999</v>
      </c>
      <c r="CA54" s="14">
        <f t="shared" si="39"/>
        <v>81.99077226106516</v>
      </c>
      <c r="CB54" s="22">
        <f t="shared" si="10"/>
        <v>756.00757035468848</v>
      </c>
      <c r="CC54" s="62">
        <f t="shared" si="11"/>
        <v>1049.3409036880219</v>
      </c>
      <c r="CD54" s="62">
        <f ca="1">AVERAGE(OFFSET($CC$3,0,0,'Données projet'!$E$12+1,1))-AVERAGE(OFFSET($H$3,0,0,'Données projet'!$E$12+1,1))</f>
        <v>405.09126081846171</v>
      </c>
      <c r="CE54" s="62">
        <f t="shared" si="40"/>
        <v>534.22295841722166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1.5874215656868165</v>
      </c>
      <c r="CL54" s="23">
        <f>EXP(-LN(2)/25)*CL53+(1-EXP(-LN(2)/25))/(LN(2)/25)*Calculateur!CG54*Calculateur!CI54*VLOOKUP('Données projet'!$B$12,Paramètres!$A$1:$I$89,3,0)*0.475*44/12</f>
        <v>4.8697604317427698</v>
      </c>
      <c r="CM54" s="23">
        <f>EXP(-LN(2)/2)*CM53+(1-EXP(-LN(2)/2))/(LN(2)/2)*CG54*CJ54*VLOOKUP('Données projet'!$B$12,Paramètres!$A$1:$I$89,3,0)*0.475*44/12</f>
        <v>2.5547012873020135E-4</v>
      </c>
      <c r="CN54" s="24">
        <f t="shared" si="12"/>
        <v>6.4574374675583162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213.20000000000002</v>
      </c>
      <c r="CU54" s="18">
        <f>CT54*VLOOKUP('Données projet'!$B$13,Paramètres!$A$1:$I$89,3,0)*VLOOKUP('Données projet'!$B$13,Paramètres!$A$1:$I$89,5,0)</f>
        <v>206.20704000000001</v>
      </c>
      <c r="CV54" s="14">
        <f t="shared" si="41"/>
        <v>51.105851308113081</v>
      </c>
      <c r="CW54" s="22">
        <f t="shared" si="13"/>
        <v>448.15328569496359</v>
      </c>
      <c r="CX54" s="62">
        <f t="shared" si="14"/>
        <v>741.4866190282969</v>
      </c>
      <c r="CY54" s="62">
        <f ca="1">AVERAGE(OFFSET($CX$3,0,0,'Données projet'!$E$13+1,1))-AVERAGE(OFFSET($H$3,0,0,'Données projet'!$E$13+1,1))</f>
        <v>466.4945858005575</v>
      </c>
      <c r="CZ54" s="62">
        <f t="shared" si="42"/>
        <v>294.45557293177131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5.4524317411554559</v>
      </c>
      <c r="DH54" s="23">
        <f>EXP(-LN(2)/2)*DH53+(1-EXP(-LN(2)/2))/(LN(2)/2)*DB54*DE54*VLOOKUP('Données projet'!$B$13,Paramètres!$A$1:$I$89,3,0)*0.475*44/12</f>
        <v>1.100575449457937E-2</v>
      </c>
      <c r="DI54" s="24">
        <f t="shared" si="15"/>
        <v>5.4634374956500356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166.00000000000006</v>
      </c>
      <c r="DP54" s="18">
        <f>DO54*VLOOKUP('Données projet'!$B$14,Paramètres!$A$1:$I$89,3,0)*VLOOKUP('Données projet'!$B$14,Paramètres!$A$1:$I$89,5,0)</f>
        <v>157.96560000000005</v>
      </c>
      <c r="DQ54" s="14">
        <f t="shared" si="43"/>
        <v>40.38330962462819</v>
      </c>
      <c r="DR54" s="22">
        <f t="shared" si="16"/>
        <v>345.45768426289419</v>
      </c>
      <c r="DS54" s="62">
        <f t="shared" si="17"/>
        <v>638.79101759622745</v>
      </c>
      <c r="DT54" s="62">
        <f ca="1">AVERAGE(OFFSET($DS$3,0,0,'Données projet'!$E$14+1,1))-AVERAGE(OFFSET($H$3,0,0,'Données projet'!$E$14+1,1))</f>
        <v>404.20764079465965</v>
      </c>
      <c r="DU54" s="62">
        <f t="shared" si="44"/>
        <v>243.23852967152732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1.3896879047601273E-2</v>
      </c>
      <c r="ED54" s="24">
        <f t="shared" si="18"/>
        <v>1.3896879047601273E-2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439.06700232017681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4.9611840821102078</v>
      </c>
      <c r="AB55" s="23">
        <f>EXP(-LN(2)/2)*AB54+(1-EXP(-LN(2)/2))/(LN(2)/2)*V55*Y55*VLOOKUP('Données projet'!$B$9,Paramètres!$A$1:$I$89,3,0)*0.475*44/12</f>
        <v>7.2801634006629187E-3</v>
      </c>
      <c r="AC55" s="24">
        <f t="shared" si="3"/>
        <v>4.9684642455108703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396.92963589781414</v>
      </c>
      <c r="AO55" s="62">
        <f t="shared" si="36"/>
        <v>294.38852181137639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270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269.99999999999989</v>
      </c>
      <c r="BE55" s="14">
        <f>BD55*VLOOKUP('Données projet'!$B$11,Paramètres!$A$1:$I$89,3,0)*VLOOKUP('Données projet'!$B$11,Paramètres!$A$1:$I$89,5,0)</f>
        <v>210.59999999999991</v>
      </c>
      <c r="BF55" s="14">
        <f t="shared" si="37"/>
        <v>52.066679014659961</v>
      </c>
      <c r="BG55" s="22">
        <f t="shared" si="7"/>
        <v>457.47779928386586</v>
      </c>
      <c r="BH55" s="62">
        <f t="shared" si="8"/>
        <v>750.81113261719918</v>
      </c>
      <c r="BI55" s="62">
        <f ca="1">AVERAGE(OFFSET($BH$3,0,0,'Données projet'!$E$11+1,1))-AVERAGE(OFFSET($H$3,0,0,'Données projet'!$E$11+1,1))</f>
        <v>288.82868507674738</v>
      </c>
      <c r="BJ55" s="62">
        <f t="shared" si="38"/>
        <v>283.48738729114024</v>
      </c>
      <c r="BK55" s="16">
        <f>IF(ISNA(VLOOKUP(A55,'Données projet'!$A$87:$I$107,3,0)),0,VLOOKUP(A55,'Données projet'!$A$87:$I$107,3,0))</f>
        <v>7</v>
      </c>
      <c r="BL55" s="16">
        <f>IF(ISNA(VLOOKUP(A55,'Données projet'!$A$87:$I$107,4,0)),0,VLOOKUP(A55,'Données projet'!$A$87:$I$107,4,0))</f>
        <v>48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3.7734462342547923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3.7734462342547923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655.56</v>
      </c>
      <c r="BW55" s="13">
        <f>VLOOKUP(A55,'Données projet'!$A$113:$I$133,9,0)</f>
        <v>25.71999999999997</v>
      </c>
      <c r="BX55" s="13">
        <f t="array" ref="BX55">INDEX(BW:BW,MIN(IF(ISNUMBER(BW55:BW251),ROW(BW55:BW251),"")))</f>
        <v>25.71999999999997</v>
      </c>
      <c r="BY55" s="13">
        <f>IF('Données projet'!$A$114&gt;35,BY54+BX55-CG54,IF(A55&lt;'Données projet'!$A$114,$BV$205^A55,IF(A55='Données projet'!$A$114,'Données projet'!$B$114,BY54+BX55-CG54)))</f>
        <v>655.56</v>
      </c>
      <c r="BZ55" s="14">
        <f>BY55*VLOOKUP('Données projet'!$B$12,Paramètres!$A$1:$I$89,3,0)*VLOOKUP('Données projet'!$B$12,Paramètres!$A$1:$I$89,5,0)</f>
        <v>366.45803999999998</v>
      </c>
      <c r="CA55" s="14">
        <f t="shared" si="39"/>
        <v>84.942276491660508</v>
      </c>
      <c r="CB55" s="22">
        <f t="shared" si="10"/>
        <v>786.18888455630861</v>
      </c>
      <c r="CC55" s="62">
        <f t="shared" si="11"/>
        <v>1079.522217889642</v>
      </c>
      <c r="CD55" s="62">
        <f ca="1">AVERAGE(OFFSET($CC$3,0,0,'Données projet'!$E$12+1,1))-AVERAGE(OFFSET($H$3,0,0,'Données projet'!$E$12+1,1))</f>
        <v>405.09126081846171</v>
      </c>
      <c r="CE55" s="62">
        <f t="shared" si="40"/>
        <v>534.22295841722166</v>
      </c>
      <c r="CF55" s="16">
        <f>IF(ISNA(VLOOKUP(A55,'Données projet'!$A$113:$I$133,3,0)),0,VLOOKUP(A55,'Données projet'!$A$113:$I$133,3,0))</f>
        <v>19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1.556293197015248</v>
      </c>
      <c r="CL55" s="23">
        <f>EXP(-LN(2)/25)*CL54+(1-EXP(-LN(2)/25))/(LN(2)/25)*Calculateur!CG55*Calculateur!CI55*VLOOKUP('Données projet'!$B$12,Paramètres!$A$1:$I$89,3,0)*0.475*44/12</f>
        <v>4.7365965766471927</v>
      </c>
      <c r="CM55" s="23">
        <f>EXP(-LN(2)/2)*CM54+(1-EXP(-LN(2)/2))/(LN(2)/2)*CG55*CJ55*VLOOKUP('Données projet'!$B$12,Paramètres!$A$1:$I$89,3,0)*0.475*44/12</f>
        <v>1.8064466041572562E-4</v>
      </c>
      <c r="CN55" s="24">
        <f t="shared" si="12"/>
        <v>6.2930704183228565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223.4</v>
      </c>
      <c r="CU55" s="18">
        <f>CT55*VLOOKUP('Données projet'!$B$13,Paramètres!$A$1:$I$89,3,0)*VLOOKUP('Données projet'!$B$13,Paramètres!$A$1:$I$89,5,0)</f>
        <v>216.07248000000001</v>
      </c>
      <c r="CV55" s="14">
        <f t="shared" si="41"/>
        <v>53.260365780197098</v>
      </c>
      <c r="CW55" s="22">
        <f t="shared" si="13"/>
        <v>469.08803973384329</v>
      </c>
      <c r="CX55" s="62">
        <f t="shared" si="14"/>
        <v>762.42137306717655</v>
      </c>
      <c r="CY55" s="62">
        <f ca="1">AVERAGE(OFFSET($CX$3,0,0,'Données projet'!$E$13+1,1))-AVERAGE(OFFSET($H$3,0,0,'Données projet'!$E$13+1,1))</f>
        <v>466.4945858005575</v>
      </c>
      <c r="CZ55" s="62">
        <f t="shared" si="42"/>
        <v>294.45557293177131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5.3033347084626365</v>
      </c>
      <c r="DH55" s="23">
        <f>EXP(-LN(2)/2)*DH54+(1-EXP(-LN(2)/2))/(LN(2)/2)*DB55*DE55*VLOOKUP('Données projet'!$B$13,Paramètres!$A$1:$I$89,3,0)*0.475*44/12</f>
        <v>7.7822436351913972E-3</v>
      </c>
      <c r="DI55" s="24">
        <f t="shared" si="15"/>
        <v>5.3111169520978283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174.00000000000006</v>
      </c>
      <c r="DP55" s="18">
        <f>DO55*VLOOKUP('Données projet'!$B$14,Paramètres!$A$1:$I$89,3,0)*VLOOKUP('Données projet'!$B$14,Paramètres!$A$1:$I$89,5,0)</f>
        <v>165.57840000000004</v>
      </c>
      <c r="DQ55" s="14">
        <f t="shared" si="43"/>
        <v>42.098218509199697</v>
      </c>
      <c r="DR55" s="22">
        <f t="shared" si="16"/>
        <v>361.70344390352284</v>
      </c>
      <c r="DS55" s="62">
        <f t="shared" si="17"/>
        <v>655.0367772368561</v>
      </c>
      <c r="DT55" s="62">
        <f ca="1">AVERAGE(OFFSET($DS$3,0,0,'Données projet'!$E$14+1,1))-AVERAGE(OFFSET($H$3,0,0,'Données projet'!$E$14+1,1))</f>
        <v>404.20764079465965</v>
      </c>
      <c r="DU55" s="62">
        <f t="shared" si="44"/>
        <v>243.23852967152732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9.82657741188811E-3</v>
      </c>
      <c r="ED55" s="24">
        <f t="shared" si="18"/>
        <v>9.82657741188811E-3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439.06700232017681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4.8255202424875723</v>
      </c>
      <c r="AB56" s="23">
        <f>EXP(-LN(2)/2)*AB55+(1-EXP(-LN(2)/2))/(LN(2)/2)*V56*Y56*VLOOKUP('Données projet'!$B$9,Paramètres!$A$1:$I$89,3,0)*0.475*44/12</f>
        <v>5.1478529087548661E-3</v>
      </c>
      <c r="AC56" s="24">
        <f t="shared" si="3"/>
        <v>4.8306680953963275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396.92963589781414</v>
      </c>
      <c r="AO56" s="62">
        <f t="shared" si="36"/>
        <v>294.38852181137639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231.37499999999989</v>
      </c>
      <c r="BE56" s="14">
        <f>BD56*VLOOKUP('Données projet'!$B$11,Paramètres!$A$1:$I$89,3,0)*VLOOKUP('Données projet'!$B$11,Paramètres!$A$1:$I$89,5,0)</f>
        <v>180.47249999999991</v>
      </c>
      <c r="BF56" s="14">
        <f t="shared" si="37"/>
        <v>45.427292666837829</v>
      </c>
      <c r="BG56" s="22">
        <f t="shared" si="7"/>
        <v>393.44213889474241</v>
      </c>
      <c r="BH56" s="62">
        <f t="shared" si="8"/>
        <v>686.77547222807573</v>
      </c>
      <c r="BI56" s="62">
        <f ca="1">AVERAGE(OFFSET($BH$3,0,0,'Données projet'!$E$11+1,1))-AVERAGE(OFFSET($H$3,0,0,'Données projet'!$E$11+1,1))</f>
        <v>288.82868507674738</v>
      </c>
      <c r="BJ56" s="62">
        <f t="shared" si="38"/>
        <v>283.48738729114024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3.6702611485421817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3.6702611485421817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26.095000000000027</v>
      </c>
      <c r="BY56" s="13">
        <f>IF('Données projet'!$A$114&gt;35,BY55+BX56-CG55,IF(A56&lt;'Données projet'!$A$114,$BV$205^A56,IF(A56='Données projet'!$A$114,'Données projet'!$B$114,BY55+BX56-CG55)))</f>
        <v>681.65499999999997</v>
      </c>
      <c r="BZ56" s="14">
        <f>BY56*VLOOKUP('Données projet'!$B$12,Paramètres!$A$1:$I$89,3,0)*VLOOKUP('Données projet'!$B$12,Paramètres!$A$1:$I$89,5,0)</f>
        <v>381.04514499999999</v>
      </c>
      <c r="CA56" s="14">
        <f t="shared" si="39"/>
        <v>87.92306934491728</v>
      </c>
      <c r="CB56" s="22">
        <f t="shared" si="10"/>
        <v>816.78630665073081</v>
      </c>
      <c r="CC56" s="62">
        <f t="shared" si="11"/>
        <v>1110.1196399840642</v>
      </c>
      <c r="CD56" s="62">
        <f ca="1">AVERAGE(OFFSET($CC$3,0,0,'Données projet'!$E$12+1,1))-AVERAGE(OFFSET($H$3,0,0,'Données projet'!$E$12+1,1))</f>
        <v>405.09126081846171</v>
      </c>
      <c r="CE56" s="62">
        <f t="shared" si="40"/>
        <v>534.22295841722166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1.5257752366668991</v>
      </c>
      <c r="CL56" s="23">
        <f>EXP(-LN(2)/25)*CL55+(1-EXP(-LN(2)/25))/(LN(2)/25)*Calculateur!CG56*Calculateur!CI56*VLOOKUP('Données projet'!$B$12,Paramètres!$A$1:$I$89,3,0)*0.475*44/12</f>
        <v>4.6070740941719865</v>
      </c>
      <c r="CM56" s="23">
        <f>EXP(-LN(2)/2)*CM55+(1-EXP(-LN(2)/2))/(LN(2)/2)*CG56*CJ56*VLOOKUP('Données projet'!$B$12,Paramètres!$A$1:$I$89,3,0)*0.475*44/12</f>
        <v>1.2773506436510067E-4</v>
      </c>
      <c r="CN56" s="24">
        <f t="shared" si="12"/>
        <v>6.1329770659032503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233.6</v>
      </c>
      <c r="CU56" s="18">
        <f>CT56*VLOOKUP('Données projet'!$B$13,Paramètres!$A$1:$I$89,3,0)*VLOOKUP('Données projet'!$B$13,Paramètres!$A$1:$I$89,5,0)</f>
        <v>225.93791999999999</v>
      </c>
      <c r="CV56" s="14">
        <f t="shared" si="41"/>
        <v>55.403456067447962</v>
      </c>
      <c r="CW56" s="22">
        <f t="shared" si="13"/>
        <v>490.00289665080521</v>
      </c>
      <c r="CX56" s="62">
        <f t="shared" si="14"/>
        <v>783.33622998413853</v>
      </c>
      <c r="CY56" s="62">
        <f ca="1">AVERAGE(OFFSET($CX$3,0,0,'Données projet'!$E$13+1,1))-AVERAGE(OFFSET($H$3,0,0,'Données projet'!$E$13+1,1))</f>
        <v>466.4945858005575</v>
      </c>
      <c r="CZ56" s="62">
        <f t="shared" si="42"/>
        <v>294.45557293177131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5.1583147419694741</v>
      </c>
      <c r="DH56" s="23">
        <f>EXP(-LN(2)/2)*DH55+(1-EXP(-LN(2)/2))/(LN(2)/2)*DB56*DE56*VLOOKUP('Données projet'!$B$13,Paramètres!$A$1:$I$89,3,0)*0.475*44/12</f>
        <v>5.5028772472896859E-3</v>
      </c>
      <c r="DI56" s="24">
        <f t="shared" si="15"/>
        <v>5.163817619216764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182.00000000000006</v>
      </c>
      <c r="DP56" s="18">
        <f>DO56*VLOOKUP('Données projet'!$B$14,Paramètres!$A$1:$I$89,3,0)*VLOOKUP('Données projet'!$B$14,Paramètres!$A$1:$I$89,5,0)</f>
        <v>173.19120000000007</v>
      </c>
      <c r="DQ56" s="14">
        <f t="shared" si="43"/>
        <v>43.803970782681198</v>
      </c>
      <c r="DR56" s="22">
        <f t="shared" si="16"/>
        <v>377.93325577983654</v>
      </c>
      <c r="DS56" s="62">
        <f t="shared" si="17"/>
        <v>671.26658911316986</v>
      </c>
      <c r="DT56" s="62">
        <f ca="1">AVERAGE(OFFSET($DS$3,0,0,'Données projet'!$E$14+1,1))-AVERAGE(OFFSET($H$3,0,0,'Données projet'!$E$14+1,1))</f>
        <v>404.20764079465965</v>
      </c>
      <c r="DU56" s="62">
        <f t="shared" si="44"/>
        <v>243.23852967152732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6.9484395238006364E-3</v>
      </c>
      <c r="ED56" s="24">
        <f t="shared" si="18"/>
        <v>6.9484395238006364E-3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439.06700232017681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4.6935661376936686</v>
      </c>
      <c r="AB57" s="23">
        <f>EXP(-LN(2)/2)*AB56+(1-EXP(-LN(2)/2))/(LN(2)/2)*V57*Y57*VLOOKUP('Données projet'!$B$9,Paramètres!$A$1:$I$89,3,0)*0.475*44/12</f>
        <v>3.6400817003314594E-3</v>
      </c>
      <c r="AC57" s="24">
        <f t="shared" si="3"/>
        <v>4.6972062193940003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396.92963589781414</v>
      </c>
      <c r="AO57" s="62">
        <f t="shared" si="36"/>
        <v>294.38852181137639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240.74999999999989</v>
      </c>
      <c r="BE57" s="14">
        <f>BD57*VLOOKUP('Données projet'!$B$11,Paramètres!$A$1:$I$89,3,0)*VLOOKUP('Données projet'!$B$11,Paramètres!$A$1:$I$89,5,0)</f>
        <v>187.78499999999991</v>
      </c>
      <c r="BF57" s="14">
        <f t="shared" si="37"/>
        <v>47.049914090154054</v>
      </c>
      <c r="BG57" s="22">
        <f t="shared" si="7"/>
        <v>409.0041420403515</v>
      </c>
      <c r="BH57" s="62">
        <f t="shared" si="8"/>
        <v>702.33747537368481</v>
      </c>
      <c r="BI57" s="62">
        <f ca="1">AVERAGE(OFFSET($BH$3,0,0,'Données projet'!$E$11+1,1))-AVERAGE(OFFSET($H$3,0,0,'Données projet'!$E$11+1,1))</f>
        <v>288.82868507674738</v>
      </c>
      <c r="BJ57" s="62">
        <f t="shared" si="38"/>
        <v>283.48738729114024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3.5698976644246505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3.5698976644246505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707.75</v>
      </c>
      <c r="BW57" s="13">
        <f>VLOOKUP(A57,'Données projet'!$A$113:$I$133,9,0)</f>
        <v>26.095000000000027</v>
      </c>
      <c r="BX57" s="13">
        <f t="array" ref="BX57">INDEX(BW:BW,MIN(IF(ISNUMBER(BW57:BW253),ROW(BW57:BW253),"")))</f>
        <v>26.095000000000027</v>
      </c>
      <c r="BY57" s="13">
        <f>IF('Données projet'!$A$114&gt;35,BY56+BX57-CG56,IF(A57&lt;'Données projet'!$A$114,$BV$205^A57,IF(A57='Données projet'!$A$114,'Données projet'!$B$114,BY56+BX57-CG56)))</f>
        <v>707.75</v>
      </c>
      <c r="BZ57" s="14">
        <f>BY57*VLOOKUP('Données projet'!$B$12,Paramètres!$A$1:$I$89,3,0)*VLOOKUP('Données projet'!$B$12,Paramètres!$A$1:$I$89,5,0)</f>
        <v>395.63225</v>
      </c>
      <c r="CA57" s="14">
        <f t="shared" si="39"/>
        <v>90.890605900198707</v>
      </c>
      <c r="CB57" s="22">
        <f t="shared" si="10"/>
        <v>847.360640692846</v>
      </c>
      <c r="CC57" s="62">
        <f t="shared" si="11"/>
        <v>1140.6939740261794</v>
      </c>
      <c r="CD57" s="62">
        <f ca="1">AVERAGE(OFFSET($CC$3,0,0,'Données projet'!$E$12+1,1))-AVERAGE(OFFSET($H$3,0,0,'Données projet'!$E$12+1,1))</f>
        <v>405.09126081846171</v>
      </c>
      <c r="CE57" s="62">
        <f t="shared" si="40"/>
        <v>534.22295841722166</v>
      </c>
      <c r="CF57" s="16">
        <f>IF(ISNA(VLOOKUP(A57,'Données projet'!$A$113:$I$133,3,0)),0,VLOOKUP(A57,'Données projet'!$A$113:$I$133,3,0))</f>
        <v>20</v>
      </c>
      <c r="CG57" s="16">
        <f>IF(ISNA(VLOOKUP(A57,'Données projet'!$A$113:$I$133,4,0)),0,VLOOKUP(A57,'Données projet'!$A$113:$I$133,4,0))</f>
        <v>707.75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1.4958557149068634</v>
      </c>
      <c r="CL57" s="23">
        <f>EXP(-LN(2)/25)*CL56+(1-EXP(-LN(2)/25))/(LN(2)/25)*Calculateur!CG57*Calculateur!CI57*VLOOKUP('Données projet'!$B$12,Paramètres!$A$1:$I$89,3,0)*0.475*44/12</f>
        <v>4.4810934107913569</v>
      </c>
      <c r="CM57" s="23">
        <f>EXP(-LN(2)/2)*CM56+(1-EXP(-LN(2)/2))/(LN(2)/2)*CG57*CJ57*VLOOKUP('Données projet'!$B$12,Paramètres!$A$1:$I$89,3,0)*0.475*44/12</f>
        <v>9.032233020786281E-5</v>
      </c>
      <c r="CN57" s="24">
        <f t="shared" si="12"/>
        <v>5.9770394480284281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243.79999999999998</v>
      </c>
      <c r="CU57" s="18">
        <f>CT57*VLOOKUP('Données projet'!$B$13,Paramètres!$A$1:$I$89,3,0)*VLOOKUP('Données projet'!$B$13,Paramètres!$A$1:$I$89,5,0)</f>
        <v>235.80335999999997</v>
      </c>
      <c r="CV57" s="14">
        <f t="shared" si="41"/>
        <v>57.53567801144218</v>
      </c>
      <c r="CW57" s="22">
        <f t="shared" si="13"/>
        <v>510.89882453659499</v>
      </c>
      <c r="CX57" s="62">
        <f t="shared" si="14"/>
        <v>804.2321578699283</v>
      </c>
      <c r="CY57" s="62">
        <f ca="1">AVERAGE(OFFSET($CX$3,0,0,'Données projet'!$E$13+1,1))-AVERAGE(OFFSET($H$3,0,0,'Données projet'!$E$13+1,1))</f>
        <v>466.4945858005575</v>
      </c>
      <c r="CZ57" s="62">
        <f t="shared" si="42"/>
        <v>294.45557293177131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5.0172603540863365</v>
      </c>
      <c r="DH57" s="23">
        <f>EXP(-LN(2)/2)*DH56+(1-EXP(-LN(2)/2))/(LN(2)/2)*DB57*DE57*VLOOKUP('Données projet'!$B$13,Paramètres!$A$1:$I$89,3,0)*0.475*44/12</f>
        <v>3.891121817595699E-3</v>
      </c>
      <c r="DI57" s="24">
        <f t="shared" si="15"/>
        <v>5.021151475903932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190.00000000000006</v>
      </c>
      <c r="DP57" s="18">
        <f>DO57*VLOOKUP('Données projet'!$B$14,Paramètres!$A$1:$I$89,3,0)*VLOOKUP('Données projet'!$B$14,Paramètres!$A$1:$I$89,5,0)</f>
        <v>180.80400000000006</v>
      </c>
      <c r="DQ57" s="14">
        <f t="shared" si="43"/>
        <v>45.501014930459895</v>
      </c>
      <c r="DR57" s="22">
        <f t="shared" si="16"/>
        <v>394.14790100388433</v>
      </c>
      <c r="DS57" s="62">
        <f t="shared" si="17"/>
        <v>687.48123433721764</v>
      </c>
      <c r="DT57" s="62">
        <f ca="1">AVERAGE(OFFSET($DS$3,0,0,'Données projet'!$E$14+1,1))-AVERAGE(OFFSET($H$3,0,0,'Données projet'!$E$14+1,1))</f>
        <v>404.20764079465965</v>
      </c>
      <c r="DU57" s="62">
        <f t="shared" si="44"/>
        <v>243.23852967152732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4.913288705944055E-3</v>
      </c>
      <c r="ED57" s="24">
        <f t="shared" si="18"/>
        <v>4.913288705944055E-3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439.06700232017681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4.5652203248345193</v>
      </c>
      <c r="AB58" s="23">
        <f>EXP(-LN(2)/2)*AB57+(1-EXP(-LN(2)/2))/(LN(2)/2)*V58*Y58*VLOOKUP('Données projet'!$B$9,Paramètres!$A$1:$I$89,3,0)*0.475*44/12</f>
        <v>2.5739264543774331E-3</v>
      </c>
      <c r="AC58" s="24">
        <f t="shared" si="3"/>
        <v>4.5677942512888965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396.92963589781414</v>
      </c>
      <c r="AO58" s="62">
        <f t="shared" si="36"/>
        <v>294.38852181137639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250.12499999999989</v>
      </c>
      <c r="BE58" s="14">
        <f>BD58*VLOOKUP('Données projet'!$B$11,Paramètres!$A$1:$I$89,3,0)*VLOOKUP('Données projet'!$B$11,Paramètres!$A$1:$I$89,5,0)</f>
        <v>195.09749999999991</v>
      </c>
      <c r="BF58" s="14">
        <f t="shared" si="37"/>
        <v>48.66519532492579</v>
      </c>
      <c r="BG58" s="22">
        <f t="shared" si="7"/>
        <v>424.55336102424553</v>
      </c>
      <c r="BH58" s="62">
        <f t="shared" si="8"/>
        <v>717.88669435757879</v>
      </c>
      <c r="BI58" s="62">
        <f ca="1">AVERAGE(OFFSET($BH$3,0,0,'Données projet'!$E$11+1,1))-AVERAGE(OFFSET($H$3,0,0,'Données projet'!$E$11+1,1))</f>
        <v>288.82868507674738</v>
      </c>
      <c r="BJ58" s="62">
        <f t="shared" si="38"/>
        <v>283.48738729114024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3.4722786250581992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3.4722786250581992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405.09126081846171</v>
      </c>
      <c r="CE58" s="62">
        <f t="shared" si="40"/>
        <v>534.22295841722166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1.4665228967194357</v>
      </c>
      <c r="CL58" s="23">
        <f>EXP(-LN(2)/25)*CL57+(1-EXP(-LN(2)/25))/(LN(2)/25)*Calculateur!CG58*Calculateur!CI58*VLOOKUP('Données projet'!$B$12,Paramètres!$A$1:$I$89,3,0)*0.475*44/12</f>
        <v>4.3585576758228068</v>
      </c>
      <c r="CM58" s="23">
        <f>EXP(-LN(2)/2)*CM57+(1-EXP(-LN(2)/2))/(LN(2)/2)*CG58*CJ58*VLOOKUP('Données projet'!$B$12,Paramètres!$A$1:$I$89,3,0)*0.475*44/12</f>
        <v>6.3867532182550337E-5</v>
      </c>
      <c r="CN58" s="24">
        <f t="shared" si="12"/>
        <v>5.8251444400744257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254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253.99999999999997</v>
      </c>
      <c r="CU58" s="18">
        <f>CT58*VLOOKUP('Données projet'!$B$13,Paramètres!$A$1:$I$89,3,0)*VLOOKUP('Données projet'!$B$13,Paramètres!$A$1:$I$89,5,0)</f>
        <v>245.6688</v>
      </c>
      <c r="CV58" s="14">
        <f t="shared" si="41"/>
        <v>59.657538312400263</v>
      </c>
      <c r="CW58" s="22">
        <f t="shared" si="13"/>
        <v>531.77670589409706</v>
      </c>
      <c r="CX58" s="62">
        <f t="shared" si="14"/>
        <v>825.11003922743043</v>
      </c>
      <c r="CY58" s="62">
        <f ca="1">AVERAGE(OFFSET($CX$3,0,0,'Données projet'!$E$13+1,1))-AVERAGE(OFFSET($H$3,0,0,'Données projet'!$E$13+1,1))</f>
        <v>466.4945858005575</v>
      </c>
      <c r="CZ58" s="62">
        <f t="shared" si="42"/>
        <v>294.45557293177131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4.880063105857591</v>
      </c>
      <c r="DH58" s="23">
        <f>EXP(-LN(2)/2)*DH57+(1-EXP(-LN(2)/2))/(LN(2)/2)*DB58*DE58*VLOOKUP('Données projet'!$B$13,Paramètres!$A$1:$I$89,3,0)*0.475*44/12</f>
        <v>2.7514386236448434E-3</v>
      </c>
      <c r="DI58" s="24">
        <f t="shared" si="15"/>
        <v>4.8828145444812359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198.00000000000006</v>
      </c>
      <c r="DP58" s="18">
        <f>DO58*VLOOKUP('Données projet'!$B$14,Paramètres!$A$1:$I$89,3,0)*VLOOKUP('Données projet'!$B$14,Paramètres!$A$1:$I$89,5,0)</f>
        <v>188.41680000000005</v>
      </c>
      <c r="DQ58" s="14">
        <f t="shared" si="43"/>
        <v>47.189759534268674</v>
      </c>
      <c r="DR58" s="22">
        <f t="shared" si="16"/>
        <v>410.34809118885141</v>
      </c>
      <c r="DS58" s="62">
        <f t="shared" si="17"/>
        <v>703.68142452218467</v>
      </c>
      <c r="DT58" s="62">
        <f ca="1">AVERAGE(OFFSET($DS$3,0,0,'Données projet'!$E$14+1,1))-AVERAGE(OFFSET($H$3,0,0,'Données projet'!$E$14+1,1))</f>
        <v>404.20764079465965</v>
      </c>
      <c r="DU58" s="62">
        <f t="shared" si="44"/>
        <v>243.23852967152732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21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3.4742197619003182E-3</v>
      </c>
      <c r="ED58" s="24">
        <f t="shared" si="18"/>
        <v>3.4742197619003182E-3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439.06700232017681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4.4403841349774167</v>
      </c>
      <c r="AB59" s="23">
        <f>EXP(-LN(2)/2)*AB58+(1-EXP(-LN(2)/2))/(LN(2)/2)*V59*Y59*VLOOKUP('Données projet'!$B$9,Paramètres!$A$1:$I$89,3,0)*0.475*44/12</f>
        <v>1.8200408501657297E-3</v>
      </c>
      <c r="AC59" s="24">
        <f t="shared" si="3"/>
        <v>4.4422041758275821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396.92963589781414</v>
      </c>
      <c r="AO59" s="62">
        <f t="shared" si="36"/>
        <v>294.38852181137639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259.49999999999989</v>
      </c>
      <c r="BE59" s="14">
        <f>BD59*VLOOKUP('Données projet'!$B$11,Paramètres!$A$1:$I$89,3,0)*VLOOKUP('Données projet'!$B$11,Paramètres!$A$1:$I$89,5,0)</f>
        <v>202.40999999999991</v>
      </c>
      <c r="BF59" s="14">
        <f t="shared" si="37"/>
        <v>50.273442991661817</v>
      </c>
      <c r="BG59" s="22">
        <f t="shared" si="7"/>
        <v>440.09032987714414</v>
      </c>
      <c r="BH59" s="62">
        <f t="shared" si="8"/>
        <v>733.42366321047746</v>
      </c>
      <c r="BI59" s="62">
        <f ca="1">AVERAGE(OFFSET($BH$3,0,0,'Données projet'!$E$11+1,1))-AVERAGE(OFFSET($H$3,0,0,'Données projet'!$E$11+1,1))</f>
        <v>288.82868507674738</v>
      </c>
      <c r="BJ59" s="62">
        <f t="shared" si="38"/>
        <v>283.48738729114024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3.3773289834567857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3.3773289834567857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405.09126081846171</v>
      </c>
      <c r="CE59" s="62">
        <f t="shared" si="40"/>
        <v>534.22295841722166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1.437765277205411</v>
      </c>
      <c r="CL59" s="23">
        <f>EXP(-LN(2)/25)*CL58+(1-EXP(-LN(2)/25))/(LN(2)/25)*Calculateur!CG59*Calculateur!CI59*VLOOKUP('Données projet'!$B$12,Paramètres!$A$1:$I$89,3,0)*0.475*44/12</f>
        <v>4.2393726869708459</v>
      </c>
      <c r="CM59" s="23">
        <f>EXP(-LN(2)/2)*CM58+(1-EXP(-LN(2)/2))/(LN(2)/2)*CG59*CJ59*VLOOKUP('Données projet'!$B$12,Paramètres!$A$1:$I$89,3,0)*0.475*44/12</f>
        <v>4.5161165103931405E-5</v>
      </c>
      <c r="CN59" s="24">
        <f t="shared" si="12"/>
        <v>5.6771831253413607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227.67887999999996</v>
      </c>
      <c r="CV59" s="14">
        <f t="shared" si="41"/>
        <v>55.780505229774469</v>
      </c>
      <c r="CW59" s="22">
        <f t="shared" si="13"/>
        <v>493.69176260852379</v>
      </c>
      <c r="CX59" s="62">
        <f t="shared" si="14"/>
        <v>787.0250959418571</v>
      </c>
      <c r="CY59" s="62">
        <f ca="1">AVERAGE(OFFSET($CX$3,0,0,'Données projet'!$E$13+1,1))-AVERAGE(OFFSET($H$3,0,0,'Données projet'!$E$13+1,1))</f>
        <v>466.4945858005575</v>
      </c>
      <c r="CZ59" s="62">
        <f t="shared" si="42"/>
        <v>294.45557293177131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4.7466175235965498</v>
      </c>
      <c r="DH59" s="23">
        <f>EXP(-LN(2)/2)*DH58+(1-EXP(-LN(2)/2))/(LN(2)/2)*DB59*DE59*VLOOKUP('Données projet'!$B$13,Paramètres!$A$1:$I$89,3,0)*0.475*44/12</f>
        <v>1.9455609087978499E-3</v>
      </c>
      <c r="DI59" s="24">
        <f t="shared" si="15"/>
        <v>4.7485630845053475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184.60000000000005</v>
      </c>
      <c r="DP59" s="18">
        <f>DO59*VLOOKUP('Données projet'!$B$14,Paramètres!$A$1:$I$89,3,0)*VLOOKUP('Données projet'!$B$14,Paramètres!$A$1:$I$89,5,0)</f>
        <v>175.66536000000005</v>
      </c>
      <c r="DQ59" s="14">
        <f t="shared" si="43"/>
        <v>44.356444750972884</v>
      </c>
      <c r="DR59" s="22">
        <f t="shared" si="16"/>
        <v>383.20464327461121</v>
      </c>
      <c r="DS59" s="62">
        <f t="shared" si="17"/>
        <v>676.53797660794453</v>
      </c>
      <c r="DT59" s="62">
        <f ca="1">AVERAGE(OFFSET($DS$3,0,0,'Données projet'!$E$14+1,1))-AVERAGE(OFFSET($H$3,0,0,'Données projet'!$E$14+1,1))</f>
        <v>404.20764079465965</v>
      </c>
      <c r="DU59" s="62">
        <f t="shared" si="44"/>
        <v>243.23852967152732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2.4566443529720275E-3</v>
      </c>
      <c r="ED59" s="24">
        <f t="shared" si="18"/>
        <v>2.4566443529720275E-3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439.06700232017681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4.3189615972968065</v>
      </c>
      <c r="AB60" s="23">
        <f>EXP(-LN(2)/2)*AB59+(1-EXP(-LN(2)/2))/(LN(2)/2)*V60*Y60*VLOOKUP('Données projet'!$B$9,Paramètres!$A$1:$I$89,3,0)*0.475*44/12</f>
        <v>1.2869632271887165E-3</v>
      </c>
      <c r="AC60" s="24">
        <f t="shared" si="3"/>
        <v>4.3202485605239955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396.92963589781414</v>
      </c>
      <c r="AO60" s="62">
        <f t="shared" si="36"/>
        <v>294.38852181137639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268.87499999999989</v>
      </c>
      <c r="BE60" s="14">
        <f>BD60*VLOOKUP('Données projet'!$B$11,Paramètres!$A$1:$I$89,3,0)*VLOOKUP('Données projet'!$B$11,Paramètres!$A$1:$I$89,5,0)</f>
        <v>209.72249999999991</v>
      </c>
      <c r="BF60" s="14">
        <f t="shared" si="37"/>
        <v>51.874940300502246</v>
      </c>
      <c r="BG60" s="22">
        <f t="shared" si="7"/>
        <v>455.61554185670792</v>
      </c>
      <c r="BH60" s="62">
        <f t="shared" si="8"/>
        <v>748.94887519004124</v>
      </c>
      <c r="BI60" s="62">
        <f ca="1">AVERAGE(OFFSET($BH$3,0,0,'Données projet'!$E$11+1,1))-AVERAGE(OFFSET($H$3,0,0,'Données projet'!$E$11+1,1))</f>
        <v>288.82868507674738</v>
      </c>
      <c r="BJ60" s="62">
        <f t="shared" si="38"/>
        <v>283.48738729114024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3.2849757447981478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3.2849757447981478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405.09126081846171</v>
      </c>
      <c r="CE60" s="62">
        <f t="shared" si="40"/>
        <v>534.22295841722166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1.4095715770696404</v>
      </c>
      <c r="CL60" s="23">
        <f>EXP(-LN(2)/25)*CL59+(1-EXP(-LN(2)/25))/(LN(2)/25)*Calculateur!CG60*Calculateur!CI60*VLOOKUP('Données projet'!$B$12,Paramètres!$A$1:$I$89,3,0)*0.475*44/12</f>
        <v>4.1234468179067081</v>
      </c>
      <c r="CM60" s="23">
        <f>EXP(-LN(2)/2)*CM59+(1-EXP(-LN(2)/2))/(LN(2)/2)*CG60*CJ60*VLOOKUP('Données projet'!$B$12,Paramètres!$A$1:$I$89,3,0)*0.475*44/12</f>
        <v>3.1933766091275169E-5</v>
      </c>
      <c r="CN60" s="24">
        <f t="shared" si="12"/>
        <v>5.5330503287424397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236.77055999999999</v>
      </c>
      <c r="CV60" s="14">
        <f t="shared" si="41"/>
        <v>57.744153841586929</v>
      </c>
      <c r="CW60" s="22">
        <f t="shared" si="13"/>
        <v>512.94645994076382</v>
      </c>
      <c r="CX60" s="62">
        <f t="shared" si="14"/>
        <v>806.27979327409707</v>
      </c>
      <c r="CY60" s="62">
        <f ca="1">AVERAGE(OFFSET($CX$3,0,0,'Données projet'!$E$13+1,1))-AVERAGE(OFFSET($H$3,0,0,'Données projet'!$E$13+1,1))</f>
        <v>466.4945858005575</v>
      </c>
      <c r="CZ60" s="62">
        <f t="shared" si="42"/>
        <v>294.45557293177131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4.6168210178000351</v>
      </c>
      <c r="DH60" s="23">
        <f>EXP(-LN(2)/2)*DH59+(1-EXP(-LN(2)/2))/(LN(2)/2)*DB60*DE60*VLOOKUP('Données projet'!$B$13,Paramètres!$A$1:$I$89,3,0)*0.475*44/12</f>
        <v>1.3757193118224219E-3</v>
      </c>
      <c r="DI60" s="24">
        <f t="shared" si="15"/>
        <v>4.6181967371118571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192.20000000000005</v>
      </c>
      <c r="DP60" s="18">
        <f>DO60*VLOOKUP('Données projet'!$B$14,Paramètres!$A$1:$I$89,3,0)*VLOOKUP('Données projet'!$B$14,Paramètres!$A$1:$I$89,5,0)</f>
        <v>182.89752000000004</v>
      </c>
      <c r="DQ60" s="14">
        <f t="shared" si="43"/>
        <v>45.966230625225649</v>
      </c>
      <c r="DR60" s="22">
        <f t="shared" si="16"/>
        <v>398.6043656722681</v>
      </c>
      <c r="DS60" s="62">
        <f t="shared" si="17"/>
        <v>691.93769900560142</v>
      </c>
      <c r="DT60" s="62">
        <f ca="1">AVERAGE(OFFSET($DS$3,0,0,'Données projet'!$E$14+1,1))-AVERAGE(OFFSET($H$3,0,0,'Données projet'!$E$14+1,1))</f>
        <v>404.20764079465965</v>
      </c>
      <c r="DU60" s="62">
        <f t="shared" si="44"/>
        <v>243.23852967152732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1.7371098809501591E-3</v>
      </c>
      <c r="ED60" s="24">
        <f t="shared" si="18"/>
        <v>1.7371098809501591E-3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439.06700232017681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4.2008593652944057</v>
      </c>
      <c r="AB61" s="23">
        <f>EXP(-LN(2)/2)*AB60+(1-EXP(-LN(2)/2))/(LN(2)/2)*V61*Y61*VLOOKUP('Données projet'!$B$9,Paramètres!$A$1:$I$89,3,0)*0.475*44/12</f>
        <v>9.1002042508286484E-4</v>
      </c>
      <c r="AC61" s="24">
        <f t="shared" si="3"/>
        <v>4.2017693857194889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396.92963589781414</v>
      </c>
      <c r="AO61" s="62">
        <f t="shared" si="36"/>
        <v>294.38852181137639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278.24999999999989</v>
      </c>
      <c r="BE61" s="14">
        <f>BD61*VLOOKUP('Données projet'!$B$11,Paramètres!$A$1:$I$89,3,0)*VLOOKUP('Données projet'!$B$11,Paramètres!$A$1:$I$89,5,0)</f>
        <v>217.03499999999991</v>
      </c>
      <c r="BF61" s="14">
        <f t="shared" si="37"/>
        <v>53.469949591969474</v>
      </c>
      <c r="BG61" s="22">
        <f t="shared" si="7"/>
        <v>471.12945387267996</v>
      </c>
      <c r="BH61" s="62">
        <f t="shared" si="8"/>
        <v>764.46278720601322</v>
      </c>
      <c r="BI61" s="62">
        <f ca="1">AVERAGE(OFFSET($BH$3,0,0,'Données projet'!$E$11+1,1))-AVERAGE(OFFSET($H$3,0,0,'Données projet'!$E$11+1,1))</f>
        <v>288.82868507674738</v>
      </c>
      <c r="BJ61" s="62">
        <f t="shared" si="38"/>
        <v>283.48738729114024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3.1951479103072757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3.1951479103072757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405.09126081846171</v>
      </c>
      <c r="CE61" s="62">
        <f t="shared" si="40"/>
        <v>534.22295841722166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1.3819307381970731</v>
      </c>
      <c r="CL61" s="23">
        <f>EXP(-LN(2)/25)*CL60+(1-EXP(-LN(2)/25))/(LN(2)/25)*Calculateur!CG61*Calculateur!CI61*VLOOKUP('Données projet'!$B$12,Paramètres!$A$1:$I$89,3,0)*0.475*44/12</f>
        <v>4.0106909478284054</v>
      </c>
      <c r="CM61" s="23">
        <f>EXP(-LN(2)/2)*CM60+(1-EXP(-LN(2)/2))/(LN(2)/2)*CG61*CJ61*VLOOKUP('Données projet'!$B$12,Paramètres!$A$1:$I$89,3,0)*0.475*44/12</f>
        <v>2.2580582551965702E-5</v>
      </c>
      <c r="CN61" s="24">
        <f t="shared" si="12"/>
        <v>5.3926442666080305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245.86223999999999</v>
      </c>
      <c r="CV61" s="14">
        <f t="shared" si="41"/>
        <v>59.699043025687963</v>
      </c>
      <c r="CW61" s="22">
        <f t="shared" si="13"/>
        <v>532.18590126973982</v>
      </c>
      <c r="CX61" s="62">
        <f t="shared" si="14"/>
        <v>825.51923460307307</v>
      </c>
      <c r="CY61" s="62">
        <f ca="1">AVERAGE(OFFSET($CX$3,0,0,'Données projet'!$E$13+1,1))-AVERAGE(OFFSET($H$3,0,0,'Données projet'!$E$13+1,1))</f>
        <v>466.4945858005575</v>
      </c>
      <c r="CZ61" s="62">
        <f t="shared" si="42"/>
        <v>294.45557293177131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4.4905738042802277</v>
      </c>
      <c r="DH61" s="23">
        <f>EXP(-LN(2)/2)*DH60+(1-EXP(-LN(2)/2))/(LN(2)/2)*DB61*DE61*VLOOKUP('Données projet'!$B$13,Paramètres!$A$1:$I$89,3,0)*0.475*44/12</f>
        <v>9.7278045439892508E-4</v>
      </c>
      <c r="DI61" s="24">
        <f t="shared" si="15"/>
        <v>4.4915465847346265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199.80000000000004</v>
      </c>
      <c r="DP61" s="18">
        <f>DO61*VLOOKUP('Données projet'!$B$14,Paramètres!$A$1:$I$89,3,0)*VLOOKUP('Données projet'!$B$14,Paramètres!$A$1:$I$89,5,0)</f>
        <v>190.12968000000006</v>
      </c>
      <c r="DQ61" s="14">
        <f t="shared" si="43"/>
        <v>47.56862211941737</v>
      </c>
      <c r="DR61" s="22">
        <f t="shared" si="16"/>
        <v>413.99120952465199</v>
      </c>
      <c r="DS61" s="62">
        <f t="shared" si="17"/>
        <v>707.32454285798531</v>
      </c>
      <c r="DT61" s="62">
        <f ca="1">AVERAGE(OFFSET($DS$3,0,0,'Données projet'!$E$14+1,1))-AVERAGE(OFFSET($H$3,0,0,'Données projet'!$E$14+1,1))</f>
        <v>404.20764079465965</v>
      </c>
      <c r="DU61" s="62">
        <f t="shared" si="44"/>
        <v>243.23852967152732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1.2283221764860137E-3</v>
      </c>
      <c r="ED61" s="24">
        <f t="shared" si="18"/>
        <v>1.2283221764860137E-3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439.06700232017681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4.0859866450368374</v>
      </c>
      <c r="AB62" s="23">
        <f>EXP(-LN(2)/2)*AB61+(1-EXP(-LN(2)/2))/(LN(2)/2)*V62*Y62*VLOOKUP('Données projet'!$B$9,Paramètres!$A$1:$I$89,3,0)*0.475*44/12</f>
        <v>6.4348161359435827E-4</v>
      </c>
      <c r="AC62" s="24">
        <f t="shared" si="3"/>
        <v>4.0866301266504319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396.92963589781414</v>
      </c>
      <c r="AO62" s="62">
        <f t="shared" si="36"/>
        <v>294.38852181137639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287.62499999999989</v>
      </c>
      <c r="BE62" s="14">
        <f>BD62*VLOOKUP('Données projet'!$B$11,Paramètres!$A$1:$I$89,3,0)*VLOOKUP('Données projet'!$B$11,Paramètres!$A$1:$I$89,5,0)</f>
        <v>224.34749999999991</v>
      </c>
      <c r="BF62" s="14">
        <f t="shared" si="37"/>
        <v>55.058714525680429</v>
      </c>
      <c r="BG62" s="22">
        <f t="shared" si="7"/>
        <v>486.63249029889329</v>
      </c>
      <c r="BH62" s="62">
        <f t="shared" si="8"/>
        <v>779.9658236322266</v>
      </c>
      <c r="BI62" s="62">
        <f ca="1">AVERAGE(OFFSET($BH$3,0,0,'Données projet'!$E$11+1,1))-AVERAGE(OFFSET($H$3,0,0,'Données projet'!$E$11+1,1))</f>
        <v>288.82868507674738</v>
      </c>
      <c r="BJ62" s="62">
        <f t="shared" si="38"/>
        <v>283.48738729114024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3.1077764226743971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3.1077764226743971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405.09126081846171</v>
      </c>
      <c r="CE62" s="62">
        <f t="shared" si="40"/>
        <v>534.22295841722166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1.3548319193155498</v>
      </c>
      <c r="CL62" s="23">
        <f>EXP(-LN(2)/25)*CL61+(1-EXP(-LN(2)/25))/(LN(2)/25)*Calculateur!CG62*Calculateur!CI62*VLOOKUP('Données projet'!$B$12,Paramètres!$A$1:$I$89,3,0)*0.475*44/12</f>
        <v>3.9010183929469671</v>
      </c>
      <c r="CM62" s="23">
        <f>EXP(-LN(2)/2)*CM61+(1-EXP(-LN(2)/2))/(LN(2)/2)*CG62*CJ62*VLOOKUP('Données projet'!$B$12,Paramètres!$A$1:$I$89,3,0)*0.475*44/12</f>
        <v>1.5966883045637584E-5</v>
      </c>
      <c r="CN62" s="24">
        <f t="shared" si="12"/>
        <v>5.2558662791455628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254.95391999999998</v>
      </c>
      <c r="CV62" s="14">
        <f t="shared" si="41"/>
        <v>61.645533788540583</v>
      </c>
      <c r="CW62" s="22">
        <f t="shared" si="13"/>
        <v>551.41071534837477</v>
      </c>
      <c r="CX62" s="62">
        <f t="shared" si="14"/>
        <v>844.74404868170814</v>
      </c>
      <c r="CY62" s="62">
        <f ca="1">AVERAGE(OFFSET($CX$3,0,0,'Données projet'!$E$13+1,1))-AVERAGE(OFFSET($H$3,0,0,'Données projet'!$E$13+1,1))</f>
        <v>466.4945858005575</v>
      </c>
      <c r="CZ62" s="62">
        <f t="shared" si="42"/>
        <v>294.45557293177131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4.3677788274531721</v>
      </c>
      <c r="DH62" s="23">
        <f>EXP(-LN(2)/2)*DH61+(1-EXP(-LN(2)/2))/(LN(2)/2)*DB62*DE62*VLOOKUP('Données projet'!$B$13,Paramètres!$A$1:$I$89,3,0)*0.475*44/12</f>
        <v>6.8785965591121106E-4</v>
      </c>
      <c r="DI62" s="24">
        <f t="shared" si="15"/>
        <v>4.3684666871090831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207.40000000000003</v>
      </c>
      <c r="DP62" s="18">
        <f>DO62*VLOOKUP('Données projet'!$B$14,Paramètres!$A$1:$I$89,3,0)*VLOOKUP('Données projet'!$B$14,Paramètres!$A$1:$I$89,5,0)</f>
        <v>197.36184000000006</v>
      </c>
      <c r="DQ62" s="14">
        <f t="shared" si="43"/>
        <v>49.163932700586031</v>
      </c>
      <c r="DR62" s="22">
        <f t="shared" si="16"/>
        <v>429.36572078685407</v>
      </c>
      <c r="DS62" s="62">
        <f t="shared" si="17"/>
        <v>722.69905412018738</v>
      </c>
      <c r="DT62" s="62">
        <f ca="1">AVERAGE(OFFSET($DS$3,0,0,'Données projet'!$E$14+1,1))-AVERAGE(OFFSET($H$3,0,0,'Données projet'!$E$14+1,1))</f>
        <v>404.20764079465965</v>
      </c>
      <c r="DU62" s="62">
        <f t="shared" si="44"/>
        <v>243.23852967152732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8.6855494047507955E-4</v>
      </c>
      <c r="ED62" s="24">
        <f t="shared" si="18"/>
        <v>8.6855494047507955E-4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439.06700232017681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3.9742551253556062</v>
      </c>
      <c r="AB63" s="23">
        <f>EXP(-LN(2)/2)*AB62+(1-EXP(-LN(2)/2))/(LN(2)/2)*V63*Y63*VLOOKUP('Données projet'!$B$9,Paramètres!$A$1:$I$89,3,0)*0.475*44/12</f>
        <v>4.5501021254143242E-4</v>
      </c>
      <c r="AC63" s="24">
        <f t="shared" si="3"/>
        <v>3.9747101355681478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396.92963589781414</v>
      </c>
      <c r="AO63" s="62">
        <f t="shared" si="36"/>
        <v>294.38852181137639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296.99999999999989</v>
      </c>
      <c r="BE63" s="14">
        <f>BD63*VLOOKUP('Données projet'!$B$11,Paramètres!$A$1:$I$89,3,0)*VLOOKUP('Données projet'!$B$11,Paramètres!$A$1:$I$89,5,0)</f>
        <v>231.65999999999991</v>
      </c>
      <c r="BF63" s="14">
        <f t="shared" si="37"/>
        <v>56.641461975682766</v>
      </c>
      <c r="BG63" s="22">
        <f t="shared" si="7"/>
        <v>502.125046274314</v>
      </c>
      <c r="BH63" s="62">
        <f t="shared" si="8"/>
        <v>795.45837960764732</v>
      </c>
      <c r="BI63" s="62">
        <f ca="1">AVERAGE(OFFSET($BH$3,0,0,'Données projet'!$E$11+1,1))-AVERAGE(OFFSET($H$3,0,0,'Données projet'!$E$11+1,1))</f>
        <v>288.82868507674738</v>
      </c>
      <c r="BJ63" s="62">
        <f t="shared" si="38"/>
        <v>283.48738729114024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47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3.0227941129655065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3.0227941129655065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405.09126081846171</v>
      </c>
      <c r="CE63" s="62">
        <f t="shared" si="40"/>
        <v>534.22295841722166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1.3282644917436457</v>
      </c>
      <c r="CL63" s="23">
        <f>EXP(-LN(2)/25)*CL62+(1-EXP(-LN(2)/25))/(LN(2)/25)*Calculateur!CG63*Calculateur!CI63*VLOOKUP('Données projet'!$B$12,Paramètres!$A$1:$I$89,3,0)*0.475*44/12</f>
        <v>3.794344839846191</v>
      </c>
      <c r="CM63" s="23">
        <f>EXP(-LN(2)/2)*CM62+(1-EXP(-LN(2)/2))/(LN(2)/2)*CG63*CJ63*VLOOKUP('Données projet'!$B$12,Paramètres!$A$1:$I$89,3,0)*0.475*44/12</f>
        <v>1.1290291275982851E-5</v>
      </c>
      <c r="CN63" s="24">
        <f t="shared" si="12"/>
        <v>5.1226206218811132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264.04559999999992</v>
      </c>
      <c r="CV63" s="14">
        <f t="shared" si="41"/>
        <v>63.58395992997368</v>
      </c>
      <c r="CW63" s="22">
        <f t="shared" si="13"/>
        <v>570.62148354470401</v>
      </c>
      <c r="CX63" s="62">
        <f t="shared" si="14"/>
        <v>863.95481687803726</v>
      </c>
      <c r="CY63" s="62">
        <f ca="1">AVERAGE(OFFSET($CX$3,0,0,'Données projet'!$E$13+1,1))-AVERAGE(OFFSET($H$3,0,0,'Données projet'!$E$13+1,1))</f>
        <v>466.4945858005575</v>
      </c>
      <c r="CZ63" s="62">
        <f t="shared" si="42"/>
        <v>294.45557293177131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28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4.2483416857249594</v>
      </c>
      <c r="DH63" s="23">
        <f>EXP(-LN(2)/2)*DH62+(1-EXP(-LN(2)/2))/(LN(2)/2)*DB63*DE63*VLOOKUP('Données projet'!$B$13,Paramètres!$A$1:$I$89,3,0)*0.475*44/12</f>
        <v>4.8639022719946265E-4</v>
      </c>
      <c r="DI63" s="24">
        <f t="shared" si="15"/>
        <v>4.2488280759521588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215.00000000000003</v>
      </c>
      <c r="DP63" s="18">
        <f>DO63*VLOOKUP('Données projet'!$B$14,Paramètres!$A$1:$I$89,3,0)*VLOOKUP('Données projet'!$B$14,Paramètres!$A$1:$I$89,5,0)</f>
        <v>204.59400000000002</v>
      </c>
      <c r="DQ63" s="14">
        <f t="shared" si="43"/>
        <v>50.752451560432448</v>
      </c>
      <c r="DR63" s="22">
        <f t="shared" si="16"/>
        <v>444.72840313441981</v>
      </c>
      <c r="DS63" s="62">
        <f t="shared" si="17"/>
        <v>738.06173646775312</v>
      </c>
      <c r="DT63" s="62">
        <f ca="1">AVERAGE(OFFSET($DS$3,0,0,'Données projet'!$E$14+1,1))-AVERAGE(OFFSET($H$3,0,0,'Données projet'!$E$14+1,1))</f>
        <v>404.20764079465965</v>
      </c>
      <c r="DU63" s="62">
        <f t="shared" si="44"/>
        <v>243.23852967152732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21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6.1416108824300687E-4</v>
      </c>
      <c r="ED63" s="24">
        <f t="shared" si="18"/>
        <v>6.1416108824300687E-4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439.06700232017681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3.8655789099557634</v>
      </c>
      <c r="AB64" s="23">
        <f>EXP(-LN(2)/2)*AB63+(1-EXP(-LN(2)/2))/(LN(2)/2)*V64*Y64*VLOOKUP('Données projet'!$B$9,Paramètres!$A$1:$I$89,3,0)*0.475*44/12</f>
        <v>3.2174080679717913E-4</v>
      </c>
      <c r="AC64" s="24">
        <f t="shared" si="3"/>
        <v>3.8659006507625606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396.92963589781414</v>
      </c>
      <c r="AO64" s="62">
        <f t="shared" si="36"/>
        <v>294.38852181137639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8.6666666666666661</v>
      </c>
      <c r="BD64" s="13">
        <f>IF('Données projet'!$A$88&gt;35,BD63+BC64-BL63,IF(A64&lt;'Données projet'!$A$88,$BA$205^A64,IF(A64='Données projet'!$A$88,'Données projet'!$B$88,BD63+BC64-BL63)))</f>
        <v>258.66666666666657</v>
      </c>
      <c r="BE64" s="14">
        <f>BD64*VLOOKUP('Données projet'!$B$11,Paramètres!$A$1:$I$89,3,0)*VLOOKUP('Données projet'!$B$11,Paramètres!$A$1:$I$89,5,0)</f>
        <v>201.75999999999993</v>
      </c>
      <c r="BF64" s="14">
        <f t="shared" si="37"/>
        <v>50.130765000424169</v>
      </c>
      <c r="BG64" s="22">
        <f t="shared" si="7"/>
        <v>438.70974904240529</v>
      </c>
      <c r="BH64" s="62">
        <f t="shared" si="8"/>
        <v>732.04308237573855</v>
      </c>
      <c r="BI64" s="62">
        <f ca="1">AVERAGE(OFFSET($BH$3,0,0,'Données projet'!$E$11+1,1))-AVERAGE(OFFSET($H$3,0,0,'Données projet'!$E$11+1,1))</f>
        <v>288.82868507674738</v>
      </c>
      <c r="BJ64" s="62">
        <f t="shared" si="38"/>
        <v>283.48738729114024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2.9401356489846311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2.9401356489846311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405.09126081846171</v>
      </c>
      <c r="CE64" s="62">
        <f t="shared" si="40"/>
        <v>534.22295841722166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1.3022180352218959</v>
      </c>
      <c r="CL64" s="23">
        <f>EXP(-LN(2)/25)*CL63+(1-EXP(-LN(2)/25))/(LN(2)/25)*Calculateur!CG64*Calculateur!CI64*VLOOKUP('Données projet'!$B$12,Paramètres!$A$1:$I$89,3,0)*0.475*44/12</f>
        <v>3.6905882806646737</v>
      </c>
      <c r="CM64" s="23">
        <f>EXP(-LN(2)/2)*CM63+(1-EXP(-LN(2)/2))/(LN(2)/2)*CG64*CJ64*VLOOKUP('Données projet'!$B$12,Paramètres!$A$1:$I$89,3,0)*0.475*44/12</f>
        <v>7.9834415228187922E-6</v>
      </c>
      <c r="CN64" s="24">
        <f t="shared" si="12"/>
        <v>4.9928142993280931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253.79999999999995</v>
      </c>
      <c r="CU64" s="18">
        <f>CT64*VLOOKUP('Données projet'!$B$13,Paramètres!$A$1:$I$89,3,0)*VLOOKUP('Données projet'!$B$13,Paramètres!$A$1:$I$89,5,0)</f>
        <v>245.47535999999997</v>
      </c>
      <c r="CV64" s="14">
        <f t="shared" si="41"/>
        <v>59.616029794883758</v>
      </c>
      <c r="CW64" s="22">
        <f t="shared" si="13"/>
        <v>531.36750389275585</v>
      </c>
      <c r="CX64" s="62">
        <f t="shared" si="14"/>
        <v>824.70083722608911</v>
      </c>
      <c r="CY64" s="62">
        <f ca="1">AVERAGE(OFFSET($CX$3,0,0,'Données projet'!$E$13+1,1))-AVERAGE(OFFSET($H$3,0,0,'Données projet'!$E$13+1,1))</f>
        <v>466.4945858005575</v>
      </c>
      <c r="CZ64" s="62">
        <f t="shared" si="42"/>
        <v>294.45557293177131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4.1321705589182312</v>
      </c>
      <c r="DH64" s="23">
        <f>EXP(-LN(2)/2)*DH63+(1-EXP(-LN(2)/2))/(LN(2)/2)*DB64*DE64*VLOOKUP('Données projet'!$B$13,Paramètres!$A$1:$I$89,3,0)*0.475*44/12</f>
        <v>3.4392982795560559E-4</v>
      </c>
      <c r="DI64" s="24">
        <f t="shared" si="15"/>
        <v>4.1325144887461871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</v>
      </c>
      <c r="DO64" s="13">
        <f>IF('Données projet'!$A$166&gt;35,DO63+DN64-DW63,IF(A64&lt;'Données projet'!$A$166,$DL$205^A64,IF(A64='Données projet'!$A$166,'Données projet'!$B$166,DO63+DN64-DW63)))</f>
        <v>201.00000000000003</v>
      </c>
      <c r="DP64" s="18">
        <f>DO64*VLOOKUP('Données projet'!$B$14,Paramètres!$A$1:$I$89,3,0)*VLOOKUP('Données projet'!$B$14,Paramètres!$A$1:$I$89,5,0)</f>
        <v>191.27160000000003</v>
      </c>
      <c r="DQ64" s="14">
        <f t="shared" si="43"/>
        <v>47.820976324217895</v>
      </c>
      <c r="DR64" s="22">
        <f t="shared" si="16"/>
        <v>416.41957043134624</v>
      </c>
      <c r="DS64" s="62">
        <f t="shared" si="17"/>
        <v>709.75290376467956</v>
      </c>
      <c r="DT64" s="62">
        <f ca="1">AVERAGE(OFFSET($DS$3,0,0,'Données projet'!$E$14+1,1))-AVERAGE(OFFSET($H$3,0,0,'Données projet'!$E$14+1,1))</f>
        <v>404.20764079465965</v>
      </c>
      <c r="DU64" s="62">
        <f t="shared" si="44"/>
        <v>243.23852967152732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4.3427747023753977E-4</v>
      </c>
      <c r="ED64" s="24">
        <f t="shared" si="18"/>
        <v>4.3427747023753977E-4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439.06700232017681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3.7598744513810631</v>
      </c>
      <c r="AB65" s="23">
        <f>EXP(-LN(2)/2)*AB64+(1-EXP(-LN(2)/2))/(LN(2)/2)*V65*Y65*VLOOKUP('Données projet'!$B$9,Paramètres!$A$1:$I$89,3,0)*0.475*44/12</f>
        <v>2.2750510627071621E-4</v>
      </c>
      <c r="AC65" s="24">
        <f t="shared" si="3"/>
        <v>3.7601019564873339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396.92963589781414</v>
      </c>
      <c r="AO65" s="62">
        <f t="shared" si="36"/>
        <v>294.38852181137639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8.6666666666666661</v>
      </c>
      <c r="BD65" s="13">
        <f>IF('Données projet'!$A$88&gt;35,BD64+BC65-BL64,IF(A65&lt;'Données projet'!$A$88,$BA$205^A65,IF(A65='Données projet'!$A$88,'Données projet'!$B$88,BD64+BC65-BL64)))</f>
        <v>267.33333333333326</v>
      </c>
      <c r="BE65" s="14">
        <f>BD65*VLOOKUP('Données projet'!$B$11,Paramètres!$A$1:$I$89,3,0)*VLOOKUP('Données projet'!$B$11,Paramètres!$A$1:$I$89,5,0)</f>
        <v>208.51999999999995</v>
      </c>
      <c r="BF65" s="14">
        <f t="shared" si="37"/>
        <v>51.612035456318459</v>
      </c>
      <c r="BG65" s="22">
        <f t="shared" si="7"/>
        <v>453.06329508642119</v>
      </c>
      <c r="BH65" s="62">
        <f t="shared" si="8"/>
        <v>746.39662841975451</v>
      </c>
      <c r="BI65" s="62">
        <f ca="1">AVERAGE(OFFSET($BH$3,0,0,'Données projet'!$E$11+1,1))-AVERAGE(OFFSET($H$3,0,0,'Données projet'!$E$11+1,1))</f>
        <v>288.82868507674738</v>
      </c>
      <c r="BJ65" s="62">
        <f t="shared" si="38"/>
        <v>283.48738729114024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2.8597374850481323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2.8597374850481323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405.09126081846171</v>
      </c>
      <c r="CE65" s="62">
        <f t="shared" si="40"/>
        <v>534.22295841722166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1.276682333825768</v>
      </c>
      <c r="CL65" s="23">
        <f>EXP(-LN(2)/25)*CL64+(1-EXP(-LN(2)/25))/(LN(2)/25)*Calculateur!CG65*Calculateur!CI65*VLOOKUP('Données projet'!$B$12,Paramètres!$A$1:$I$89,3,0)*0.475*44/12</f>
        <v>3.5896689500502954</v>
      </c>
      <c r="CM65" s="23">
        <f>EXP(-LN(2)/2)*CM64+(1-EXP(-LN(2)/2))/(LN(2)/2)*CG65*CJ65*VLOOKUP('Données projet'!$B$12,Paramètres!$A$1:$I$89,3,0)*0.475*44/12</f>
        <v>5.6451456379914256E-6</v>
      </c>
      <c r="CN65" s="24">
        <f t="shared" si="12"/>
        <v>4.8663569290217019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262.59999999999997</v>
      </c>
      <c r="CU65" s="18">
        <f>CT65*VLOOKUP('Données projet'!$B$13,Paramètres!$A$1:$I$89,3,0)*VLOOKUP('Données projet'!$B$13,Paramètres!$A$1:$I$89,5,0)</f>
        <v>253.98671999999999</v>
      </c>
      <c r="CV65" s="14">
        <f t="shared" si="41"/>
        <v>61.438849277739124</v>
      </c>
      <c r="CW65" s="22">
        <f t="shared" si="13"/>
        <v>549.3661998253956</v>
      </c>
      <c r="CX65" s="62">
        <f t="shared" si="14"/>
        <v>842.69953315872885</v>
      </c>
      <c r="CY65" s="62">
        <f ca="1">AVERAGE(OFFSET($CX$3,0,0,'Données projet'!$E$13+1,1))-AVERAGE(OFFSET($H$3,0,0,'Données projet'!$E$13+1,1))</f>
        <v>466.4945858005575</v>
      </c>
      <c r="CZ65" s="62">
        <f t="shared" si="42"/>
        <v>294.45557293177131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4.0191761376832069</v>
      </c>
      <c r="DH65" s="23">
        <f>EXP(-LN(2)/2)*DH64+(1-EXP(-LN(2)/2))/(LN(2)/2)*DB65*DE65*VLOOKUP('Données projet'!$B$13,Paramètres!$A$1:$I$89,3,0)*0.475*44/12</f>
        <v>2.4319511359973135E-4</v>
      </c>
      <c r="DI65" s="24">
        <f t="shared" si="15"/>
        <v>4.0194193327968071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</v>
      </c>
      <c r="DO65" s="13">
        <f>IF('Données projet'!$A$166&gt;35,DO64+DN65-DW64,IF(A65&lt;'Données projet'!$A$166,$DL$205^A65,IF(A65='Données projet'!$A$166,'Données projet'!$B$166,DO64+DN65-DW64)))</f>
        <v>208.00000000000003</v>
      </c>
      <c r="DP65" s="18">
        <f>DO65*VLOOKUP('Données projet'!$B$14,Paramètres!$A$1:$I$89,3,0)*VLOOKUP('Données projet'!$B$14,Paramètres!$A$1:$I$89,5,0)</f>
        <v>197.93280000000001</v>
      </c>
      <c r="DQ65" s="14">
        <f t="shared" si="43"/>
        <v>49.289585385002731</v>
      </c>
      <c r="DR65" s="22">
        <f t="shared" si="16"/>
        <v>430.57898787887979</v>
      </c>
      <c r="DS65" s="62">
        <f t="shared" si="17"/>
        <v>723.9123212122131</v>
      </c>
      <c r="DT65" s="62">
        <f ca="1">AVERAGE(OFFSET($DS$3,0,0,'Données projet'!$E$14+1,1))-AVERAGE(OFFSET($H$3,0,0,'Données projet'!$E$14+1,1))</f>
        <v>404.20764079465965</v>
      </c>
      <c r="DU65" s="62">
        <f t="shared" si="44"/>
        <v>243.23852967152732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3.0708054412150344E-4</v>
      </c>
      <c r="ED65" s="24">
        <f t="shared" si="18"/>
        <v>3.0708054412150344E-4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439.06700232017681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3.657060486784844</v>
      </c>
      <c r="AB66" s="23">
        <f>EXP(-LN(2)/2)*AB65+(1-EXP(-LN(2)/2))/(LN(2)/2)*V66*Y66*VLOOKUP('Données projet'!$B$9,Paramètres!$A$1:$I$89,3,0)*0.475*44/12</f>
        <v>1.6087040339858957E-4</v>
      </c>
      <c r="AC66" s="24">
        <f t="shared" si="3"/>
        <v>3.6572213571882424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396.92963589781414</v>
      </c>
      <c r="AO66" s="62">
        <f t="shared" si="36"/>
        <v>294.38852181137639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8.6666666666666661</v>
      </c>
      <c r="BD66" s="13">
        <f>IF('Données projet'!$A$88&gt;35,BD65+BC66-BL65,IF(A66&lt;'Données projet'!$A$88,$BA$205^A66,IF(A66='Données projet'!$A$88,'Données projet'!$B$88,BD65+BC66-BL65)))</f>
        <v>275.99999999999994</v>
      </c>
      <c r="BE66" s="14">
        <f>BD66*VLOOKUP('Données projet'!$B$11,Paramètres!$A$1:$I$89,3,0)*VLOOKUP('Données projet'!$B$11,Paramètres!$A$1:$I$89,5,0)</f>
        <v>215.27999999999997</v>
      </c>
      <c r="BF66" s="14">
        <f t="shared" si="37"/>
        <v>53.087725740853138</v>
      </c>
      <c r="BG66" s="22">
        <f t="shared" si="7"/>
        <v>467.40712233198587</v>
      </c>
      <c r="BH66" s="62">
        <f t="shared" si="8"/>
        <v>760.74045566531913</v>
      </c>
      <c r="BI66" s="62">
        <f ca="1">AVERAGE(OFFSET($BH$3,0,0,'Données projet'!$E$11+1,1))-AVERAGE(OFFSET($H$3,0,0,'Données projet'!$E$11+1,1))</f>
        <v>288.82868507674738</v>
      </c>
      <c r="BJ66" s="62">
        <f t="shared" si="38"/>
        <v>283.48738729114024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2.7815378131324326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2.7815378131324326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405.09126081846171</v>
      </c>
      <c r="CE66" s="62">
        <f t="shared" si="40"/>
        <v>534.22295841722166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1.2516473719587782</v>
      </c>
      <c r="CL66" s="23">
        <f>EXP(-LN(2)/25)*CL65+(1-EXP(-LN(2)/25))/(LN(2)/25)*Calculateur!CG66*Calculateur!CI66*VLOOKUP('Données projet'!$B$12,Paramètres!$A$1:$I$89,3,0)*0.475*44/12</f>
        <v>3.4915092638386844</v>
      </c>
      <c r="CM66" s="23">
        <f>EXP(-LN(2)/2)*CM65+(1-EXP(-LN(2)/2))/(LN(2)/2)*CG66*CJ66*VLOOKUP('Données projet'!$B$12,Paramètres!$A$1:$I$89,3,0)*0.475*44/12</f>
        <v>3.9917207614093961E-6</v>
      </c>
      <c r="CN66" s="24">
        <f t="shared" si="12"/>
        <v>4.7431606275182236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271.39999999999998</v>
      </c>
      <c r="CU66" s="18">
        <f>CT66*VLOOKUP('Données projet'!$B$13,Paramètres!$A$1:$I$89,3,0)*VLOOKUP('Données projet'!$B$13,Paramètres!$A$1:$I$89,5,0)</f>
        <v>262.49807999999996</v>
      </c>
      <c r="CV66" s="14">
        <f t="shared" si="41"/>
        <v>63.254570961138086</v>
      </c>
      <c r="CW66" s="22">
        <f t="shared" si="13"/>
        <v>567.35253375731543</v>
      </c>
      <c r="CX66" s="62">
        <f t="shared" si="14"/>
        <v>860.6858670906488</v>
      </c>
      <c r="CY66" s="62">
        <f ca="1">AVERAGE(OFFSET($CX$3,0,0,'Données projet'!$E$13+1,1))-AVERAGE(OFFSET($H$3,0,0,'Données projet'!$E$13+1,1))</f>
        <v>466.4945858005575</v>
      </c>
      <c r="CZ66" s="62">
        <f t="shared" si="42"/>
        <v>294.45557293177131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3.9092715548389725</v>
      </c>
      <c r="DH66" s="23">
        <f>EXP(-LN(2)/2)*DH65+(1-EXP(-LN(2)/2))/(LN(2)/2)*DB66*DE66*VLOOKUP('Données projet'!$B$13,Paramètres!$A$1:$I$89,3,0)*0.475*44/12</f>
        <v>1.7196491397780282E-4</v>
      </c>
      <c r="DI66" s="24">
        <f t="shared" si="15"/>
        <v>3.9094435197529505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</v>
      </c>
      <c r="DO66" s="13">
        <f>IF('Données projet'!$A$166&gt;35,DO65+DN66-DW65,IF(A66&lt;'Données projet'!$A$166,$DL$205^A66,IF(A66='Données projet'!$A$166,'Données projet'!$B$166,DO65+DN66-DW65)))</f>
        <v>215.00000000000003</v>
      </c>
      <c r="DP66" s="18">
        <f>DO66*VLOOKUP('Données projet'!$B$14,Paramètres!$A$1:$I$89,3,0)*VLOOKUP('Données projet'!$B$14,Paramètres!$A$1:$I$89,5,0)</f>
        <v>204.59400000000002</v>
      </c>
      <c r="DQ66" s="14">
        <f t="shared" si="43"/>
        <v>50.752451560432448</v>
      </c>
      <c r="DR66" s="22">
        <f t="shared" si="16"/>
        <v>444.72840313441981</v>
      </c>
      <c r="DS66" s="62">
        <f t="shared" si="17"/>
        <v>738.06173646775312</v>
      </c>
      <c r="DT66" s="62">
        <f ca="1">AVERAGE(OFFSET($DS$3,0,0,'Données projet'!$E$14+1,1))-AVERAGE(OFFSET($H$3,0,0,'Données projet'!$E$14+1,1))</f>
        <v>404.20764079465965</v>
      </c>
      <c r="DU66" s="62">
        <f t="shared" si="44"/>
        <v>243.23852967152732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2.1713873511876989E-4</v>
      </c>
      <c r="ED66" s="24">
        <f t="shared" si="18"/>
        <v>2.1713873511876989E-4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439.06700232017681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3.5570579754572598</v>
      </c>
      <c r="AB67" s="23">
        <f>EXP(-LN(2)/2)*AB66+(1-EXP(-LN(2)/2))/(LN(2)/2)*V67*Y67*VLOOKUP('Données projet'!$B$9,Paramètres!$A$1:$I$89,3,0)*0.475*44/12</f>
        <v>1.1375255313535811E-4</v>
      </c>
      <c r="AC67" s="24">
        <f t="shared" si="3"/>
        <v>3.5571717280103949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396.92963589781414</v>
      </c>
      <c r="AO67" s="62">
        <f t="shared" si="36"/>
        <v>294.38852181137639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8.6666666666666661</v>
      </c>
      <c r="BD67" s="13">
        <f>IF('Données projet'!$A$88&gt;35,BD66+BC67-BL66,IF(A67&lt;'Données projet'!$A$88,$BA$205^A67,IF(A67='Données projet'!$A$88,'Données projet'!$B$88,BD66+BC67-BL66)))</f>
        <v>284.66666666666663</v>
      </c>
      <c r="BE67" s="14">
        <f>BD67*VLOOKUP('Données projet'!$B$11,Paramètres!$A$1:$I$89,3,0)*VLOOKUP('Données projet'!$B$11,Paramètres!$A$1:$I$89,5,0)</f>
        <v>222.04</v>
      </c>
      <c r="BF67" s="14">
        <f t="shared" si="37"/>
        <v>54.558031180803546</v>
      </c>
      <c r="BG67" s="22">
        <f t="shared" si="7"/>
        <v>481.74157097323285</v>
      </c>
      <c r="BH67" s="62">
        <f t="shared" si="8"/>
        <v>775.07490430656617</v>
      </c>
      <c r="BI67" s="62">
        <f ca="1">AVERAGE(OFFSET($BH$3,0,0,'Données projet'!$E$11+1,1))-AVERAGE(OFFSET($H$3,0,0,'Données projet'!$E$11+1,1))</f>
        <v>288.82868507674738</v>
      </c>
      <c r="BJ67" s="62">
        <f t="shared" si="38"/>
        <v>283.48738729114024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2.7054765153576099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2.7054765153576099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405.09126081846171</v>
      </c>
      <c r="CE67" s="62">
        <f t="shared" si="40"/>
        <v>534.22295841722166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1.227103330424181</v>
      </c>
      <c r="CL67" s="23">
        <f>EXP(-LN(2)/25)*CL66+(1-EXP(-LN(2)/25))/(LN(2)/25)*Calculateur!CG67*Calculateur!CI67*VLOOKUP('Données projet'!$B$12,Paramètres!$A$1:$I$89,3,0)*0.475*44/12</f>
        <v>3.3960337594085233</v>
      </c>
      <c r="CM67" s="23">
        <f>EXP(-LN(2)/2)*CM66+(1-EXP(-LN(2)/2))/(LN(2)/2)*CG67*CJ67*VLOOKUP('Données projet'!$B$12,Paramètres!$A$1:$I$89,3,0)*0.475*44/12</f>
        <v>2.8225728189957128E-6</v>
      </c>
      <c r="CN67" s="24">
        <f t="shared" si="12"/>
        <v>4.6231399124055237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280.2</v>
      </c>
      <c r="CU67" s="18">
        <f>CT67*VLOOKUP('Données projet'!$B$13,Paramètres!$A$1:$I$89,3,0)*VLOOKUP('Données projet'!$B$13,Paramètres!$A$1:$I$89,5,0)</f>
        <v>271.00943999999998</v>
      </c>
      <c r="CV67" s="14">
        <f t="shared" si="41"/>
        <v>65.063451383023647</v>
      </c>
      <c r="CW67" s="22">
        <f t="shared" si="13"/>
        <v>585.32695249209939</v>
      </c>
      <c r="CX67" s="62">
        <f t="shared" si="14"/>
        <v>878.66028582543277</v>
      </c>
      <c r="CY67" s="62">
        <f ca="1">AVERAGE(OFFSET($CX$3,0,0,'Données projet'!$E$13+1,1))-AVERAGE(OFFSET($H$3,0,0,'Données projet'!$E$13+1,1))</f>
        <v>466.4945858005575</v>
      </c>
      <c r="CZ67" s="62">
        <f t="shared" si="42"/>
        <v>294.45557293177131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3.8023723185922447</v>
      </c>
      <c r="DH67" s="23">
        <f>EXP(-LN(2)/2)*DH66+(1-EXP(-LN(2)/2))/(LN(2)/2)*DB67*DE67*VLOOKUP('Données projet'!$B$13,Paramètres!$A$1:$I$89,3,0)*0.475*44/12</f>
        <v>1.2159755679986569E-4</v>
      </c>
      <c r="DI67" s="24">
        <f t="shared" si="15"/>
        <v>3.8024939161490448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</v>
      </c>
      <c r="DO67" s="13">
        <f>IF('Données projet'!$A$166&gt;35,DO66+DN67-DW66,IF(A67&lt;'Données projet'!$A$166,$DL$205^A67,IF(A67='Données projet'!$A$166,'Données projet'!$B$166,DO66+DN67-DW66)))</f>
        <v>222.00000000000003</v>
      </c>
      <c r="DP67" s="18">
        <f>DO67*VLOOKUP('Données projet'!$B$14,Paramètres!$A$1:$I$89,3,0)*VLOOKUP('Données projet'!$B$14,Paramètres!$A$1:$I$89,5,0)</f>
        <v>211.25520000000003</v>
      </c>
      <c r="DQ67" s="14">
        <f t="shared" si="43"/>
        <v>52.209783272091016</v>
      </c>
      <c r="DR67" s="22">
        <f t="shared" si="16"/>
        <v>458.86817919889182</v>
      </c>
      <c r="DS67" s="62">
        <f t="shared" si="17"/>
        <v>752.20151253222514</v>
      </c>
      <c r="DT67" s="62">
        <f ca="1">AVERAGE(OFFSET($DS$3,0,0,'Données projet'!$E$14+1,1))-AVERAGE(OFFSET($H$3,0,0,'Données projet'!$E$14+1,1))</f>
        <v>404.20764079465965</v>
      </c>
      <c r="DU67" s="62">
        <f t="shared" si="44"/>
        <v>243.23852967152732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1.5354027206075172E-4</v>
      </c>
      <c r="ED67" s="24">
        <f t="shared" si="18"/>
        <v>1.5354027206075172E-4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439.06700232017681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3.4597900380608317</v>
      </c>
      <c r="AB68" s="23">
        <f>EXP(-LN(2)/2)*AB67+(1-EXP(-LN(2)/2))/(LN(2)/2)*V68*Y68*VLOOKUP('Données projet'!$B$9,Paramètres!$A$1:$I$89,3,0)*0.475*44/12</f>
        <v>8.0435201699294783E-5</v>
      </c>
      <c r="AC68" s="24">
        <f t="shared" ref="AC68:AC131" si="57">SUM(Z68:AB68)</f>
        <v>3.4598704732625309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396.92963589781414</v>
      </c>
      <c r="AO68" s="62">
        <f t="shared" si="36"/>
        <v>294.38852181137639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8.6666666666666661</v>
      </c>
      <c r="BD68" s="13">
        <f>IF('Données projet'!$A$88&gt;35,BD67+BC68-BL67,IF(A68&lt;'Données projet'!$A$88,$BA$205^A68,IF(A68='Données projet'!$A$88,'Données projet'!$B$88,BD67+BC68-BL67)))</f>
        <v>293.33333333333331</v>
      </c>
      <c r="BE68" s="14">
        <f>BD68*VLOOKUP('Données projet'!$B$11,Paramètres!$A$1:$I$89,3,0)*VLOOKUP('Données projet'!$B$11,Paramètres!$A$1:$I$89,5,0)</f>
        <v>228.79999999999998</v>
      </c>
      <c r="BF68" s="14">
        <f t="shared" si="37"/>
        <v>56.023134533701196</v>
      </c>
      <c r="BG68" s="22">
        <f t="shared" ref="BG68:BG131" si="61">(BE68+BF68)*0.475*44/12</f>
        <v>496.06695931286293</v>
      </c>
      <c r="BH68" s="62">
        <f t="shared" ref="BH68:BH131" si="62">BG68+(AY68+AZ68)*44/12</f>
        <v>789.40029264619625</v>
      </c>
      <c r="BI68" s="62">
        <f ca="1">AVERAGE(OFFSET($BH$3,0,0,'Données projet'!$E$11+1,1))-AVERAGE(OFFSET($H$3,0,0,'Données projet'!$E$11+1,1))</f>
        <v>288.82868507674738</v>
      </c>
      <c r="BJ68" s="62">
        <f t="shared" si="38"/>
        <v>283.48738729114024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2.6314951177703296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2.6314951177703296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405.09126081846171</v>
      </c>
      <c r="CE68" s="62">
        <f t="shared" si="40"/>
        <v>534.22295841722166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1.2030405825736901</v>
      </c>
      <c r="CL68" s="23">
        <f>EXP(-LN(2)/25)*CL67+(1-EXP(-LN(2)/25))/(LN(2)/25)*Calculateur!CG68*Calculateur!CI68*VLOOKUP('Données projet'!$B$12,Paramètres!$A$1:$I$89,3,0)*0.475*44/12</f>
        <v>3.3031690376678435</v>
      </c>
      <c r="CM68" s="23">
        <f>EXP(-LN(2)/2)*CM67+(1-EXP(-LN(2)/2))/(LN(2)/2)*CG68*CJ68*VLOOKUP('Données projet'!$B$12,Paramètres!$A$1:$I$89,3,0)*0.475*44/12</f>
        <v>1.995860380704698E-6</v>
      </c>
      <c r="CN68" s="24">
        <f t="shared" ref="CN68:CN131" si="66">SUM(CK68:CM68)</f>
        <v>4.5062116161019148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289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289</v>
      </c>
      <c r="CU68" s="18">
        <f>CT68*VLOOKUP('Données projet'!$B$13,Paramètres!$A$1:$I$89,3,0)*VLOOKUP('Données projet'!$B$13,Paramètres!$A$1:$I$89,5,0)</f>
        <v>279.52080000000001</v>
      </c>
      <c r="CV68" s="14">
        <f t="shared" si="41"/>
        <v>66.865730052421583</v>
      </c>
      <c r="CW68" s="22">
        <f t="shared" ref="CW68:CW131" si="67">(CU68+CV68)*0.475*44/12</f>
        <v>603.28987317463418</v>
      </c>
      <c r="CX68" s="62">
        <f t="shared" ref="CX68:CX131" si="68">CW68+(CO68+CP68)*44/12</f>
        <v>896.62320650796755</v>
      </c>
      <c r="CY68" s="62">
        <f ca="1">AVERAGE(OFFSET($CX$3,0,0,'Données projet'!$E$13+1,1))-AVERAGE(OFFSET($H$3,0,0,'Données projet'!$E$13+1,1))</f>
        <v>466.4945858005575</v>
      </c>
      <c r="CZ68" s="62">
        <f t="shared" si="42"/>
        <v>294.45557293177131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3.69839624758227</v>
      </c>
      <c r="DH68" s="23">
        <f>EXP(-LN(2)/2)*DH67+(1-EXP(-LN(2)/2))/(LN(2)/2)*DB68*DE68*VLOOKUP('Données projet'!$B$13,Paramètres!$A$1:$I$89,3,0)*0.475*44/12</f>
        <v>8.5982456988901423E-5</v>
      </c>
      <c r="DI68" s="24">
        <f t="shared" ref="DI68:DI131" si="69">SUM(DF68:DH68)</f>
        <v>3.698482230039259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</v>
      </c>
      <c r="DN68" s="13">
        <f t="array" ref="DN68">INDEX(DM:DM,MIN(IF(ISNUMBER(DM68:DM264),ROW(DM68:DM264),"")))</f>
        <v>7</v>
      </c>
      <c r="DO68" s="13">
        <f>IF('Données projet'!$A$166&gt;35,DO67+DN68-DW67,IF(A68&lt;'Données projet'!$A$166,$DL$205^A68,IF(A68='Données projet'!$A$166,'Données projet'!$B$166,DO67+DN68-DW67)))</f>
        <v>229.00000000000003</v>
      </c>
      <c r="DP68" s="18">
        <f>DO68*VLOOKUP('Données projet'!$B$14,Paramètres!$A$1:$I$89,3,0)*VLOOKUP('Données projet'!$B$14,Paramètres!$A$1:$I$89,5,0)</f>
        <v>217.91640000000004</v>
      </c>
      <c r="DQ68" s="14">
        <f t="shared" si="43"/>
        <v>53.661775051402536</v>
      </c>
      <c r="DR68" s="22">
        <f t="shared" ref="DR68:DR131" si="70">(DP68+DQ68)*0.475*44/12</f>
        <v>472.99865488119281</v>
      </c>
      <c r="DS68" s="62">
        <f t="shared" ref="DS68:DS131" si="71">DR68+(DJ68+DK68)*44/12</f>
        <v>766.33198821452606</v>
      </c>
      <c r="DT68" s="62">
        <f ca="1">AVERAGE(OFFSET($DS$3,0,0,'Données projet'!$E$14+1,1))-AVERAGE(OFFSET($H$3,0,0,'Données projet'!$E$14+1,1))</f>
        <v>404.20764079465965</v>
      </c>
      <c r="DU68" s="62">
        <f t="shared" si="44"/>
        <v>243.23852967152732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1.0856936755938494E-4</v>
      </c>
      <c r="ED68" s="24">
        <f t="shared" ref="ED68:ED131" si="72">SUM(EA68:EC68)</f>
        <v>1.0856936755938494E-4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439.06700232017681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3.3651818975276075</v>
      </c>
      <c r="AB69" s="23">
        <f>EXP(-LN(2)/2)*AB68+(1-EXP(-LN(2)/2))/(LN(2)/2)*V69*Y69*VLOOKUP('Données projet'!$B$9,Paramètres!$A$1:$I$89,3,0)*0.475*44/12</f>
        <v>5.6876276567679053E-5</v>
      </c>
      <c r="AC69" s="24">
        <f t="shared" si="57"/>
        <v>3.3652387738041751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396.92963589781414</v>
      </c>
      <c r="AO69" s="62">
        <f t="shared" ref="AO69:AO132" si="90">$AO$3</f>
        <v>294.38852181137639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8.6666666666666661</v>
      </c>
      <c r="BD69" s="13">
        <f>IF('Données projet'!$A$88&gt;35,BD68+BC69-BL68,IF(A69&lt;'Données projet'!$A$88,$BA$205^A69,IF(A69='Données projet'!$A$88,'Données projet'!$B$88,BD68+BC69-BL68)))</f>
        <v>302</v>
      </c>
      <c r="BE69" s="14">
        <f>BD69*VLOOKUP('Données projet'!$B$11,Paramètres!$A$1:$I$89,3,0)*VLOOKUP('Données projet'!$B$11,Paramètres!$A$1:$I$89,5,0)</f>
        <v>235.56</v>
      </c>
      <c r="BF69" s="14">
        <f t="shared" ref="BF69:BF132" si="91">EXP(-1.0587+0.8836*LN(BE69)+0.284)</f>
        <v>57.483207143847721</v>
      </c>
      <c r="BG69" s="22">
        <f t="shared" si="61"/>
        <v>510.38358577553481</v>
      </c>
      <c r="BH69" s="62">
        <f t="shared" si="62"/>
        <v>803.71691910886807</v>
      </c>
      <c r="BI69" s="62">
        <f ca="1">AVERAGE(OFFSET($BH$3,0,0,'Données projet'!$E$11+1,1))-AVERAGE(OFFSET($H$3,0,0,'Données projet'!$E$11+1,1))</f>
        <v>288.82868507674738</v>
      </c>
      <c r="BJ69" s="62">
        <f t="shared" ref="BJ69:BJ132" si="92">$BJ$3</f>
        <v>283.48738729114024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2.5595367453905862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2.5595367453905862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405.09126081846171</v>
      </c>
      <c r="CE69" s="62">
        <f t="shared" ref="CE69:CE132" si="94">$CE$3</f>
        <v>534.22295841722166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1.1794496905317204</v>
      </c>
      <c r="CL69" s="23">
        <f>EXP(-LN(2)/25)*CL68+(1-EXP(-LN(2)/25))/(LN(2)/25)*Calculateur!CG69*Calculateur!CI69*VLOOKUP('Données projet'!$B$12,Paramètres!$A$1:$I$89,3,0)*0.475*44/12</f>
        <v>3.2128437066267064</v>
      </c>
      <c r="CM69" s="23">
        <f>EXP(-LN(2)/2)*CM68+(1-EXP(-LN(2)/2))/(LN(2)/2)*CG69*CJ69*VLOOKUP('Données projet'!$B$12,Paramètres!$A$1:$I$89,3,0)*0.475*44/12</f>
        <v>1.4112864094978564E-6</v>
      </c>
      <c r="CN69" s="24">
        <f t="shared" si="66"/>
        <v>4.3922948084448361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260.37024000000002</v>
      </c>
      <c r="CV69" s="14">
        <f t="shared" ref="CV69:CV132" si="95">EXP(-1.0587+0.8836*LN(CU69)+0.284)</f>
        <v>62.801291625234725</v>
      </c>
      <c r="CW69" s="22">
        <f t="shared" si="67"/>
        <v>562.85708424728386</v>
      </c>
      <c r="CX69" s="62">
        <f t="shared" si="68"/>
        <v>856.19041758061712</v>
      </c>
      <c r="CY69" s="62">
        <f ca="1">AVERAGE(OFFSET($CX$3,0,0,'Données projet'!$E$13+1,1))-AVERAGE(OFFSET($H$3,0,0,'Données projet'!$E$13+1,1))</f>
        <v>466.4945858005575</v>
      </c>
      <c r="CZ69" s="62">
        <f t="shared" ref="CZ69:CZ132" si="96">$CZ$3</f>
        <v>294.45557293177131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3.5972634077019272</v>
      </c>
      <c r="DH69" s="23">
        <f>EXP(-LN(2)/2)*DH68+(1-EXP(-LN(2)/2))/(LN(2)/2)*DB69*DE69*VLOOKUP('Données projet'!$B$13,Paramètres!$A$1:$I$89,3,0)*0.475*44/12</f>
        <v>6.0798778399932858E-5</v>
      </c>
      <c r="DI69" s="24">
        <f t="shared" si="69"/>
        <v>3.597324206480327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214.80000000000004</v>
      </c>
      <c r="DP69" s="18">
        <f>DO69*VLOOKUP('Données projet'!$B$14,Paramètres!$A$1:$I$89,3,0)*VLOOKUP('Données projet'!$B$14,Paramètres!$A$1:$I$89,5,0)</f>
        <v>204.40368000000004</v>
      </c>
      <c r="DQ69" s="14">
        <f t="shared" ref="DQ69:DQ132" si="97">EXP(-1.0587+0.8836*LN(DP69)+0.284)</f>
        <v>50.710733146553544</v>
      </c>
      <c r="DR69" s="22">
        <f t="shared" si="70"/>
        <v>444.3242695635808</v>
      </c>
      <c r="DS69" s="62">
        <f t="shared" si="71"/>
        <v>737.65760289691411</v>
      </c>
      <c r="DT69" s="62">
        <f ca="1">AVERAGE(OFFSET($DS$3,0,0,'Données projet'!$E$14+1,1))-AVERAGE(OFFSET($H$3,0,0,'Données projet'!$E$14+1,1))</f>
        <v>404.20764079465965</v>
      </c>
      <c r="DU69" s="62">
        <f t="shared" ref="DU69:DU132" si="98">$DU$3</f>
        <v>243.23852967152732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7.6770136030375859E-5</v>
      </c>
      <c r="ED69" s="24">
        <f t="shared" si="72"/>
        <v>7.6770136030375859E-5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439.06700232017681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3.2731608215724903</v>
      </c>
      <c r="AB70" s="23">
        <f>EXP(-LN(2)/2)*AB69+(1-EXP(-LN(2)/2))/(LN(2)/2)*V70*Y70*VLOOKUP('Données projet'!$B$9,Paramètres!$A$1:$I$89,3,0)*0.475*44/12</f>
        <v>4.0217600849647392E-5</v>
      </c>
      <c r="AC70" s="24">
        <f t="shared" si="57"/>
        <v>3.2732010391733399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396.92963589781414</v>
      </c>
      <c r="AO70" s="62">
        <f t="shared" si="90"/>
        <v>294.38852181137639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8.6666666666666661</v>
      </c>
      <c r="BD70" s="13">
        <f>IF('Données projet'!$A$88&gt;35,BD69+BC70-BL69,IF(A70&lt;'Données projet'!$A$88,$BA$205^A70,IF(A70='Données projet'!$A$88,'Données projet'!$B$88,BD69+BC70-BL69)))</f>
        <v>310.66666666666669</v>
      </c>
      <c r="BE70" s="14">
        <f>BD70*VLOOKUP('Données projet'!$B$11,Paramètres!$A$1:$I$89,3,0)*VLOOKUP('Données projet'!$B$11,Paramètres!$A$1:$I$89,5,0)</f>
        <v>242.32000000000002</v>
      </c>
      <c r="BF70" s="14">
        <f t="shared" si="91"/>
        <v>58.938409961900859</v>
      </c>
      <c r="BG70" s="22">
        <f t="shared" si="61"/>
        <v>524.69173068364398</v>
      </c>
      <c r="BH70" s="62">
        <f t="shared" si="62"/>
        <v>818.02506401697724</v>
      </c>
      <c r="BI70" s="62">
        <f ca="1">AVERAGE(OFFSET($BH$3,0,0,'Données projet'!$E$11+1,1))-AVERAGE(OFFSET($H$3,0,0,'Données projet'!$E$11+1,1))</f>
        <v>288.82868507674738</v>
      </c>
      <c r="BJ70" s="62">
        <f t="shared" si="92"/>
        <v>283.48738729114024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2.489546078487693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2.489546078487693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405.09126081846171</v>
      </c>
      <c r="CE70" s="62">
        <f t="shared" si="94"/>
        <v>534.22295841722166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1.1563214014936705</v>
      </c>
      <c r="CL70" s="23">
        <f>EXP(-LN(2)/25)*CL69+(1-EXP(-LN(2)/25))/(LN(2)/25)*Calculateur!CG70*Calculateur!CI70*VLOOKUP('Données projet'!$B$12,Paramètres!$A$1:$I$89,3,0)*0.475*44/12</f>
        <v>3.1249883265128915</v>
      </c>
      <c r="CM70" s="23">
        <f>EXP(-LN(2)/2)*CM69+(1-EXP(-LN(2)/2))/(LN(2)/2)*CG70*CJ70*VLOOKUP('Données projet'!$B$12,Paramètres!$A$1:$I$89,3,0)*0.475*44/12</f>
        <v>9.9793019035234902E-7</v>
      </c>
      <c r="CN70" s="24">
        <f t="shared" si="66"/>
        <v>4.281310725936752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268.30127999999996</v>
      </c>
      <c r="CV70" s="14">
        <f t="shared" si="95"/>
        <v>64.488625713042012</v>
      </c>
      <c r="CW70" s="22">
        <f t="shared" si="67"/>
        <v>579.60908578354815</v>
      </c>
      <c r="CX70" s="62">
        <f t="shared" si="68"/>
        <v>872.94241911688141</v>
      </c>
      <c r="CY70" s="62">
        <f ca="1">AVERAGE(OFFSET($CX$3,0,0,'Données projet'!$E$13+1,1))-AVERAGE(OFFSET($H$3,0,0,'Données projet'!$E$13+1,1))</f>
        <v>466.4945858005575</v>
      </c>
      <c r="CZ70" s="62">
        <f t="shared" si="96"/>
        <v>294.45557293177131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3.498896050646457</v>
      </c>
      <c r="DH70" s="23">
        <f>EXP(-LN(2)/2)*DH69+(1-EXP(-LN(2)/2))/(LN(2)/2)*DB70*DE70*VLOOKUP('Données projet'!$B$13,Paramètres!$A$1:$I$89,3,0)*0.475*44/12</f>
        <v>4.2991228494450718E-5</v>
      </c>
      <c r="DI70" s="24">
        <f t="shared" si="69"/>
        <v>3.4989390418749515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221.60000000000005</v>
      </c>
      <c r="DP70" s="18">
        <f>DO70*VLOOKUP('Données projet'!$B$14,Paramètres!$A$1:$I$89,3,0)*VLOOKUP('Données projet'!$B$14,Paramètres!$A$1:$I$89,5,0)</f>
        <v>210.87456000000003</v>
      </c>
      <c r="DQ70" s="14">
        <f t="shared" si="97"/>
        <v>52.12665281185464</v>
      </c>
      <c r="DR70" s="22">
        <f t="shared" si="70"/>
        <v>458.06044564731354</v>
      </c>
      <c r="DS70" s="62">
        <f t="shared" si="71"/>
        <v>751.39377898064686</v>
      </c>
      <c r="DT70" s="62">
        <f ca="1">AVERAGE(OFFSET($DS$3,0,0,'Données projet'!$E$14+1,1))-AVERAGE(OFFSET($H$3,0,0,'Données projet'!$E$14+1,1))</f>
        <v>404.20764079465965</v>
      </c>
      <c r="DU70" s="62">
        <f t="shared" si="98"/>
        <v>243.23852967152732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5.4284683779692472E-5</v>
      </c>
      <c r="ED70" s="24">
        <f t="shared" si="72"/>
        <v>5.4284683779692472E-5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439.06700232017681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3.1836560667785441</v>
      </c>
      <c r="AB71" s="23">
        <f>EXP(-LN(2)/2)*AB70+(1-EXP(-LN(2)/2))/(LN(2)/2)*V71*Y71*VLOOKUP('Données projet'!$B$9,Paramètres!$A$1:$I$89,3,0)*0.475*44/12</f>
        <v>2.8438138283839526E-5</v>
      </c>
      <c r="AC71" s="24">
        <f t="shared" si="57"/>
        <v>3.1836845049168279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396.92963589781414</v>
      </c>
      <c r="AO71" s="62">
        <f t="shared" si="90"/>
        <v>294.38852181137639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8.6666666666666661</v>
      </c>
      <c r="BD71" s="13">
        <f>IF('Données projet'!$A$88&gt;35,BD70+BC71-BL70,IF(A71&lt;'Données projet'!$A$88,$BA$205^A71,IF(A71='Données projet'!$A$88,'Données projet'!$B$88,BD70+BC71-BL70)))</f>
        <v>319.33333333333337</v>
      </c>
      <c r="BE71" s="14">
        <f>BD71*VLOOKUP('Données projet'!$B$11,Paramètres!$A$1:$I$89,3,0)*VLOOKUP('Données projet'!$B$11,Paramètres!$A$1:$I$89,5,0)</f>
        <v>249.08000000000004</v>
      </c>
      <c r="BF71" s="14">
        <f t="shared" si="91"/>
        <v>60.388894447487807</v>
      </c>
      <c r="BG71" s="22">
        <f t="shared" si="61"/>
        <v>538.99165782937473</v>
      </c>
      <c r="BH71" s="62">
        <f t="shared" si="62"/>
        <v>832.3249911627081</v>
      </c>
      <c r="BI71" s="62">
        <f ca="1">AVERAGE(OFFSET($BH$3,0,0,'Données projet'!$E$11+1,1))-AVERAGE(OFFSET($H$3,0,0,'Données projet'!$E$11+1,1))</f>
        <v>288.82868507674738</v>
      </c>
      <c r="BJ71" s="62">
        <f t="shared" si="92"/>
        <v>283.48738729114024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2.4214693100519087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2.4214693100519087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405.09126081846171</v>
      </c>
      <c r="CE71" s="62">
        <f t="shared" si="94"/>
        <v>534.22295841722166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1.1336466440967932</v>
      </c>
      <c r="CL71" s="23">
        <f>EXP(-LN(2)/25)*CL70+(1-EXP(-LN(2)/25))/(LN(2)/25)*Calculateur!CG71*Calculateur!CI71*VLOOKUP('Données projet'!$B$12,Paramètres!$A$1:$I$89,3,0)*0.475*44/12</f>
        <v>3.0395353563884027</v>
      </c>
      <c r="CM71" s="23">
        <f>EXP(-LN(2)/2)*CM70+(1-EXP(-LN(2)/2))/(LN(2)/2)*CG71*CJ71*VLOOKUP('Données projet'!$B$12,Paramètres!$A$1:$I$89,3,0)*0.475*44/12</f>
        <v>7.056432047489282E-7</v>
      </c>
      <c r="CN71" s="24">
        <f t="shared" si="66"/>
        <v>4.1731827061283999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276.23231999999996</v>
      </c>
      <c r="CV71" s="14">
        <f t="shared" si="95"/>
        <v>66.170163093943458</v>
      </c>
      <c r="CW71" s="22">
        <f t="shared" si="67"/>
        <v>596.35099138861813</v>
      </c>
      <c r="CX71" s="62">
        <f t="shared" si="68"/>
        <v>889.6843247219515</v>
      </c>
      <c r="CY71" s="62">
        <f ca="1">AVERAGE(OFFSET($CX$3,0,0,'Données projet'!$E$13+1,1))-AVERAGE(OFFSET($H$3,0,0,'Données projet'!$E$13+1,1))</f>
        <v>466.4945858005575</v>
      </c>
      <c r="CZ71" s="62">
        <f t="shared" si="96"/>
        <v>294.45557293177131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3.4032185541425832</v>
      </c>
      <c r="DH71" s="23">
        <f>EXP(-LN(2)/2)*DH70+(1-EXP(-LN(2)/2))/(LN(2)/2)*DB71*DE71*VLOOKUP('Données projet'!$B$13,Paramètres!$A$1:$I$89,3,0)*0.475*44/12</f>
        <v>3.0399389199966433E-5</v>
      </c>
      <c r="DI71" s="24">
        <f t="shared" si="69"/>
        <v>3.4032489535317834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228.40000000000006</v>
      </c>
      <c r="DP71" s="18">
        <f>DO71*VLOOKUP('Données projet'!$B$14,Paramètres!$A$1:$I$89,3,0)*VLOOKUP('Données projet'!$B$14,Paramètres!$A$1:$I$89,5,0)</f>
        <v>217.34544000000008</v>
      </c>
      <c r="DQ71" s="14">
        <f t="shared" si="97"/>
        <v>53.537523221233521</v>
      </c>
      <c r="DR71" s="22">
        <f t="shared" si="70"/>
        <v>471.78782761031516</v>
      </c>
      <c r="DS71" s="62">
        <f t="shared" si="71"/>
        <v>765.12116094364842</v>
      </c>
      <c r="DT71" s="62">
        <f ca="1">AVERAGE(OFFSET($DS$3,0,0,'Données projet'!$E$14+1,1))-AVERAGE(OFFSET($H$3,0,0,'Données projet'!$E$14+1,1))</f>
        <v>404.20764079465965</v>
      </c>
      <c r="DU71" s="62">
        <f t="shared" si="98"/>
        <v>243.23852967152732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3.838506801518793E-5</v>
      </c>
      <c r="ED71" s="24">
        <f t="shared" si="72"/>
        <v>3.838506801518793E-5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439.06700232017681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3.0965988242112887</v>
      </c>
      <c r="AB72" s="23">
        <f>EXP(-LN(2)/2)*AB71+(1-EXP(-LN(2)/2))/(LN(2)/2)*V72*Y72*VLOOKUP('Données projet'!$B$9,Paramètres!$A$1:$I$89,3,0)*0.475*44/12</f>
        <v>2.0108800424823696E-5</v>
      </c>
      <c r="AC72" s="24">
        <f t="shared" si="57"/>
        <v>3.0966189330117135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396.92963589781414</v>
      </c>
      <c r="AO72" s="62">
        <f t="shared" si="90"/>
        <v>294.38852181137639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328</v>
      </c>
      <c r="BB72" s="13">
        <f>VLOOKUP(A72,'Données projet'!$A$87:$I$107,9,0)</f>
        <v>8.6666666666666661</v>
      </c>
      <c r="BC72" s="13">
        <f t="array" ref="BC72">INDEX(BB:BB,MIN(IF(ISNUMBER(BB72:BB268),ROW(BB72:BB268),"")))</f>
        <v>8.6666666666666661</v>
      </c>
      <c r="BD72" s="13">
        <f>IF('Données projet'!$A$88&gt;35,BD71+BC72-BL71,IF(A72&lt;'Données projet'!$A$88,$BA$205^A72,IF(A72='Données projet'!$A$88,'Données projet'!$B$88,BD71+BC72-BL71)))</f>
        <v>328.00000000000006</v>
      </c>
      <c r="BE72" s="14">
        <f>BD72*VLOOKUP('Données projet'!$B$11,Paramètres!$A$1:$I$89,3,0)*VLOOKUP('Données projet'!$B$11,Paramètres!$A$1:$I$89,5,0)</f>
        <v>255.84000000000006</v>
      </c>
      <c r="BF72" s="14">
        <f t="shared" si="91"/>
        <v>61.834803371075836</v>
      </c>
      <c r="BG72" s="22">
        <f t="shared" si="61"/>
        <v>553.28361587129041</v>
      </c>
      <c r="BH72" s="62">
        <f t="shared" si="62"/>
        <v>846.61694920462378</v>
      </c>
      <c r="BI72" s="62">
        <f ca="1">AVERAGE(OFFSET($BH$3,0,0,'Données projet'!$E$11+1,1))-AVERAGE(OFFSET($H$3,0,0,'Données projet'!$E$11+1,1))</f>
        <v>288.82868507674738</v>
      </c>
      <c r="BJ72" s="62">
        <f t="shared" si="92"/>
        <v>283.48738729114024</v>
      </c>
      <c r="BK72" s="16">
        <f>IF(ISNA(VLOOKUP(A72,'Données projet'!$A$87:$I$107,3,0)),0,VLOOKUP(A72,'Données projet'!$A$87:$I$107,3,0))</f>
        <v>9</v>
      </c>
      <c r="BL72" s="16">
        <f>IF(ISNA(VLOOKUP(A72,'Données projet'!$A$87:$I$107,4,0)),0,VLOOKUP(A72,'Données projet'!$A$87:$I$107,4,0))</f>
        <v>328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2.3552541044290027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2.3552541044290027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405.09126081846171</v>
      </c>
      <c r="CE72" s="62">
        <f t="shared" si="94"/>
        <v>534.22295841722166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1.1114165248622323</v>
      </c>
      <c r="CL72" s="23">
        <f>EXP(-LN(2)/25)*CL71+(1-EXP(-LN(2)/25))/(LN(2)/25)*Calculateur!CG72*Calculateur!CI72*VLOOKUP('Données projet'!$B$12,Paramètres!$A$1:$I$89,3,0)*0.475*44/12</f>
        <v>2.9564191022257442</v>
      </c>
      <c r="CM72" s="23">
        <f>EXP(-LN(2)/2)*CM71+(1-EXP(-LN(2)/2))/(LN(2)/2)*CG72*CJ72*VLOOKUP('Données projet'!$B$12,Paramètres!$A$1:$I$89,3,0)*0.475*44/12</f>
        <v>4.9896509517617451E-7</v>
      </c>
      <c r="CN72" s="24">
        <f t="shared" si="66"/>
        <v>4.0678361260530718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284.16335999999995</v>
      </c>
      <c r="CV72" s="14">
        <f t="shared" si="95"/>
        <v>67.846089314219739</v>
      </c>
      <c r="CW72" s="22">
        <f t="shared" si="67"/>
        <v>613.08312422226595</v>
      </c>
      <c r="CX72" s="62">
        <f t="shared" si="68"/>
        <v>906.41645755559921</v>
      </c>
      <c r="CY72" s="62">
        <f ca="1">AVERAGE(OFFSET($CX$3,0,0,'Données projet'!$E$13+1,1))-AVERAGE(OFFSET($H$3,0,0,'Données projet'!$E$13+1,1))</f>
        <v>466.4945858005575</v>
      </c>
      <c r="CZ72" s="62">
        <f t="shared" si="96"/>
        <v>294.45557293177131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3.3101573638120687</v>
      </c>
      <c r="DH72" s="23">
        <f>EXP(-LN(2)/2)*DH71+(1-EXP(-LN(2)/2))/(LN(2)/2)*DB72*DE72*VLOOKUP('Données projet'!$B$13,Paramètres!$A$1:$I$89,3,0)*0.475*44/12</f>
        <v>2.1495614247225363E-5</v>
      </c>
      <c r="DI72" s="24">
        <f t="shared" si="69"/>
        <v>3.310178859426316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235.20000000000007</v>
      </c>
      <c r="DP72" s="18">
        <f>DO72*VLOOKUP('Données projet'!$B$14,Paramètres!$A$1:$I$89,3,0)*VLOOKUP('Données projet'!$B$14,Paramètres!$A$1:$I$89,5,0)</f>
        <v>223.81632000000008</v>
      </c>
      <c r="DQ72" s="14">
        <f t="shared" si="97"/>
        <v>54.94351196072666</v>
      </c>
      <c r="DR72" s="22">
        <f t="shared" si="70"/>
        <v>485.50670733159899</v>
      </c>
      <c r="DS72" s="62">
        <f t="shared" si="71"/>
        <v>778.8400406649323</v>
      </c>
      <c r="DT72" s="62">
        <f ca="1">AVERAGE(OFFSET($DS$3,0,0,'Données projet'!$E$14+1,1))-AVERAGE(OFFSET($H$3,0,0,'Données projet'!$E$14+1,1))</f>
        <v>404.20764079465965</v>
      </c>
      <c r="DU72" s="62">
        <f t="shared" si="98"/>
        <v>243.23852967152732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2.7142341889846236E-5</v>
      </c>
      <c r="ED72" s="24">
        <f t="shared" si="72"/>
        <v>2.7142341889846236E-5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439.06700232017681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3.0119221665201761</v>
      </c>
      <c r="AB73" s="23">
        <f>EXP(-LN(2)/2)*AB72+(1-EXP(-LN(2)/2))/(LN(2)/2)*V73*Y73*VLOOKUP('Données projet'!$B$9,Paramètres!$A$1:$I$89,3,0)*0.475*44/12</f>
        <v>1.4219069141919763E-5</v>
      </c>
      <c r="AC73" s="24">
        <f t="shared" si="57"/>
        <v>3.0119363855893182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396.92963589781414</v>
      </c>
      <c r="AO73" s="62">
        <f t="shared" si="90"/>
        <v>294.38852181137639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4.4337866711430253E-14</v>
      </c>
      <c r="BF73" s="14">
        <f t="shared" si="91"/>
        <v>7.3222115536967035E-13</v>
      </c>
      <c r="BG73" s="22">
        <f t="shared" si="61"/>
        <v>1.3525069634579169E-12</v>
      </c>
      <c r="BH73" s="62">
        <f t="shared" si="62"/>
        <v>293.33333333333468</v>
      </c>
      <c r="BI73" s="62">
        <f ca="1">AVERAGE(OFFSET($BH$3,0,0,'Données projet'!$E$11+1,1))-AVERAGE(OFFSET($H$3,0,0,'Données projet'!$E$11+1,1))</f>
        <v>288.82868507674738</v>
      </c>
      <c r="BJ73" s="62">
        <f t="shared" si="92"/>
        <v>283.48738729114024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2.2908495570859615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2.2908495570859615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405.09126081846171</v>
      </c>
      <c r="CE73" s="62">
        <f t="shared" si="94"/>
        <v>534.22295841722166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1.0896223247068273</v>
      </c>
      <c r="CL73" s="23">
        <f>EXP(-LN(2)/25)*CL72+(1-EXP(-LN(2)/25))/(LN(2)/25)*Calculateur!CG73*Calculateur!CI73*VLOOKUP('Données projet'!$B$12,Paramètres!$A$1:$I$89,3,0)*0.475*44/12</f>
        <v>2.8755756664040577</v>
      </c>
      <c r="CM73" s="23">
        <f>EXP(-LN(2)/2)*CM72+(1-EXP(-LN(2)/2))/(LN(2)/2)*CG73*CJ73*VLOOKUP('Données projet'!$B$12,Paramètres!$A$1:$I$89,3,0)*0.475*44/12</f>
        <v>3.528216023744641E-7</v>
      </c>
      <c r="CN73" s="24">
        <f t="shared" si="66"/>
        <v>3.9651983439324869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292.09439999999995</v>
      </c>
      <c r="CV73" s="14">
        <f t="shared" si="95"/>
        <v>69.516578973599849</v>
      </c>
      <c r="CW73" s="22">
        <f t="shared" si="67"/>
        <v>629.80578837901965</v>
      </c>
      <c r="CX73" s="62">
        <f t="shared" si="68"/>
        <v>923.13912171235302</v>
      </c>
      <c r="CY73" s="62">
        <f ca="1">AVERAGE(OFFSET($CX$3,0,0,'Données projet'!$E$13+1,1))-AVERAGE(OFFSET($H$3,0,0,'Données projet'!$E$13+1,1))</f>
        <v>466.4945858005575</v>
      </c>
      <c r="CZ73" s="62">
        <f t="shared" si="96"/>
        <v>294.45557293177131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3.2196409366250176</v>
      </c>
      <c r="DH73" s="23">
        <f>EXP(-LN(2)/2)*DH72+(1-EXP(-LN(2)/2))/(LN(2)/2)*DB73*DE73*VLOOKUP('Données projet'!$B$13,Paramètres!$A$1:$I$89,3,0)*0.475*44/12</f>
        <v>1.519969459998322E-5</v>
      </c>
      <c r="DI73" s="24">
        <f t="shared" si="69"/>
        <v>3.2196561363196174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242.00000000000009</v>
      </c>
      <c r="DP73" s="18">
        <f>DO73*VLOOKUP('Données projet'!$B$14,Paramètres!$A$1:$I$89,3,0)*VLOOKUP('Données projet'!$B$14,Paramètres!$A$1:$I$89,5,0)</f>
        <v>230.2872000000001</v>
      </c>
      <c r="DQ73" s="14">
        <f t="shared" si="97"/>
        <v>56.344776374960006</v>
      </c>
      <c r="DR73" s="22">
        <f t="shared" si="70"/>
        <v>499.21735885305549</v>
      </c>
      <c r="DS73" s="62">
        <f t="shared" si="71"/>
        <v>792.5506921863888</v>
      </c>
      <c r="DT73" s="62">
        <f ca="1">AVERAGE(OFFSET($DS$3,0,0,'Données projet'!$E$14+1,1))-AVERAGE(OFFSET($H$3,0,0,'Données projet'!$E$14+1,1))</f>
        <v>404.20764079465965</v>
      </c>
      <c r="DU73" s="62">
        <f t="shared" si="98"/>
        <v>243.23852967152732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1.9192534007593965E-5</v>
      </c>
      <c r="ED73" s="24">
        <f t="shared" si="72"/>
        <v>1.9192534007593965E-5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439.06700232017681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2.929560996486579</v>
      </c>
      <c r="AB74" s="23">
        <f>EXP(-LN(2)/2)*AB73+(1-EXP(-LN(2)/2))/(LN(2)/2)*V74*Y74*VLOOKUP('Données projet'!$B$9,Paramètres!$A$1:$I$89,3,0)*0.475*44/12</f>
        <v>1.0054400212411848E-5</v>
      </c>
      <c r="AC74" s="24">
        <f t="shared" si="57"/>
        <v>2.9295710508867914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396.92963589781414</v>
      </c>
      <c r="AO74" s="62">
        <f t="shared" si="90"/>
        <v>294.38852181137639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4.4337866711430253E-14</v>
      </c>
      <c r="BF74" s="14">
        <f t="shared" si="91"/>
        <v>7.3222115536967035E-13</v>
      </c>
      <c r="BG74" s="22">
        <f t="shared" si="61"/>
        <v>1.3525069634579169E-12</v>
      </c>
      <c r="BH74" s="62">
        <f t="shared" si="62"/>
        <v>293.33333333333468</v>
      </c>
      <c r="BI74" s="62">
        <f ca="1">AVERAGE(OFFSET($BH$3,0,0,'Données projet'!$E$11+1,1))-AVERAGE(OFFSET($H$3,0,0,'Données projet'!$E$11+1,1))</f>
        <v>288.82868507674738</v>
      </c>
      <c r="BJ74" s="62">
        <f t="shared" si="92"/>
        <v>283.48738729114024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2.2282061554769035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2.2282061554769035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405.09126081846171</v>
      </c>
      <c r="CE74" s="62">
        <f t="shared" si="94"/>
        <v>534.22295841722166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1.0682554955233203</v>
      </c>
      <c r="CL74" s="23">
        <f>EXP(-LN(2)/25)*CL73+(1-EXP(-LN(2)/25))/(LN(2)/25)*Calculateur!CG74*Calculateur!CI74*VLOOKUP('Données projet'!$B$12,Paramètres!$A$1:$I$89,3,0)*0.475*44/12</f>
        <v>2.7969428985862868</v>
      </c>
      <c r="CM74" s="23">
        <f>EXP(-LN(2)/2)*CM73+(1-EXP(-LN(2)/2))/(LN(2)/2)*CG74*CJ74*VLOOKUP('Données projet'!$B$12,Paramètres!$A$1:$I$89,3,0)*0.475*44/12</f>
        <v>2.4948254758808726E-7</v>
      </c>
      <c r="CN74" s="24">
        <f t="shared" si="66"/>
        <v>3.8651986435921546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281.59999999999997</v>
      </c>
      <c r="CU74" s="18">
        <f>CT74*VLOOKUP('Données projet'!$B$13,Paramètres!$A$1:$I$89,3,0)*VLOOKUP('Données projet'!$B$13,Paramètres!$A$1:$I$89,5,0)</f>
        <v>272.36351999999999</v>
      </c>
      <c r="CV74" s="14">
        <f t="shared" si="95"/>
        <v>65.350613162347059</v>
      </c>
      <c r="CW74" s="22">
        <f t="shared" si="67"/>
        <v>588.18544859108772</v>
      </c>
      <c r="CX74" s="62">
        <f t="shared" si="68"/>
        <v>881.51878192442109</v>
      </c>
      <c r="CY74" s="62">
        <f ca="1">AVERAGE(OFFSET($CX$3,0,0,'Données projet'!$E$13+1,1))-AVERAGE(OFFSET($H$3,0,0,'Données projet'!$E$13+1,1))</f>
        <v>466.4945858005575</v>
      </c>
      <c r="CZ74" s="62">
        <f t="shared" si="96"/>
        <v>294.45557293177131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3.1315996858994484</v>
      </c>
      <c r="DH74" s="23">
        <f>EXP(-LN(2)/2)*DH73+(1-EXP(-LN(2)/2))/(LN(2)/2)*DB74*DE74*VLOOKUP('Données projet'!$B$13,Paramètres!$A$1:$I$89,3,0)*0.475*44/12</f>
        <v>1.0747807123612683E-5</v>
      </c>
      <c r="DI74" s="24">
        <f t="shared" si="69"/>
        <v>3.1316104337065718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6.4</v>
      </c>
      <c r="DO74" s="13">
        <f>IF('Données projet'!$A$166&gt;35,DO73+DN74-DW73,IF(A74&lt;'Données projet'!$A$166,$DL$205^A74,IF(A74='Données projet'!$A$166,'Données projet'!$B$166,DO73+DN74-DW73)))</f>
        <v>227.40000000000009</v>
      </c>
      <c r="DP74" s="18">
        <f>DO74*VLOOKUP('Données projet'!$B$14,Paramètres!$A$1:$I$89,3,0)*VLOOKUP('Données projet'!$B$14,Paramètres!$A$1:$I$89,5,0)</f>
        <v>216.3938400000001</v>
      </c>
      <c r="DQ74" s="14">
        <f t="shared" si="97"/>
        <v>53.330352339128915</v>
      </c>
      <c r="DR74" s="22">
        <f t="shared" si="70"/>
        <v>469.76963499064965</v>
      </c>
      <c r="DS74" s="62">
        <f t="shared" si="71"/>
        <v>763.10296832398296</v>
      </c>
      <c r="DT74" s="62">
        <f ca="1">AVERAGE(OFFSET($DS$3,0,0,'Données projet'!$E$14+1,1))-AVERAGE(OFFSET($H$3,0,0,'Données projet'!$E$14+1,1))</f>
        <v>404.20764079465965</v>
      </c>
      <c r="DU74" s="62">
        <f t="shared" si="98"/>
        <v>243.23852967152732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1.3571170944923118E-5</v>
      </c>
      <c r="ED74" s="24">
        <f t="shared" si="72"/>
        <v>1.3571170944923118E-5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439.06700232017681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2.8494519969787362</v>
      </c>
      <c r="AB75" s="23">
        <f>EXP(-LN(2)/2)*AB74+(1-EXP(-LN(2)/2))/(LN(2)/2)*V75*Y75*VLOOKUP('Données projet'!$B$9,Paramètres!$A$1:$I$89,3,0)*0.475*44/12</f>
        <v>7.1095345709598816E-6</v>
      </c>
      <c r="AC75" s="24">
        <f t="shared" si="57"/>
        <v>2.849459106513307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396.92963589781414</v>
      </c>
      <c r="AO75" s="62">
        <f t="shared" si="90"/>
        <v>294.38852181137639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4.4337866711430253E-14</v>
      </c>
      <c r="BF75" s="14">
        <f t="shared" si="91"/>
        <v>7.3222115536967035E-13</v>
      </c>
      <c r="BG75" s="22">
        <f t="shared" si="61"/>
        <v>1.3525069634579169E-12</v>
      </c>
      <c r="BH75" s="62">
        <f t="shared" si="62"/>
        <v>293.33333333333468</v>
      </c>
      <c r="BI75" s="62">
        <f ca="1">AVERAGE(OFFSET($BH$3,0,0,'Données projet'!$E$11+1,1))-AVERAGE(OFFSET($H$3,0,0,'Données projet'!$E$11+1,1))</f>
        <v>288.82868507674738</v>
      </c>
      <c r="BJ75" s="62">
        <f t="shared" si="92"/>
        <v>283.48738729114024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2.1672757409791186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2.1672757409791186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405.09126081846171</v>
      </c>
      <c r="CE75" s="62">
        <f t="shared" si="94"/>
        <v>534.22295841722166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1.0473076568276229</v>
      </c>
      <c r="CL75" s="23">
        <f>EXP(-LN(2)/25)*CL74+(1-EXP(-LN(2)/25))/(LN(2)/25)*Calculateur!CG75*Calculateur!CI75*VLOOKUP('Données projet'!$B$12,Paramètres!$A$1:$I$89,3,0)*0.475*44/12</f>
        <v>2.7204603479396101</v>
      </c>
      <c r="CM75" s="23">
        <f>EXP(-LN(2)/2)*CM74+(1-EXP(-LN(2)/2))/(LN(2)/2)*CG75*CJ75*VLOOKUP('Données projet'!$B$12,Paramètres!$A$1:$I$89,3,0)*0.475*44/12</f>
        <v>1.7641080118723205E-7</v>
      </c>
      <c r="CN75" s="24">
        <f t="shared" si="66"/>
        <v>3.7677681811780341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289.2</v>
      </c>
      <c r="CU75" s="18">
        <f>CT75*VLOOKUP('Données projet'!$B$13,Paramètres!$A$1:$I$89,3,0)*VLOOKUP('Données projet'!$B$13,Paramètres!$A$1:$I$89,5,0)</f>
        <v>279.71424000000002</v>
      </c>
      <c r="CV75" s="14">
        <f t="shared" si="95"/>
        <v>66.906615990158315</v>
      </c>
      <c r="CW75" s="22">
        <f t="shared" si="67"/>
        <v>603.69799084952581</v>
      </c>
      <c r="CX75" s="62">
        <f t="shared" si="68"/>
        <v>897.03132418285918</v>
      </c>
      <c r="CY75" s="62">
        <f ca="1">AVERAGE(OFFSET($CX$3,0,0,'Données projet'!$E$13+1,1))-AVERAGE(OFFSET($H$3,0,0,'Données projet'!$E$13+1,1))</f>
        <v>466.4945858005575</v>
      </c>
      <c r="CZ75" s="62">
        <f t="shared" si="96"/>
        <v>294.45557293177131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3.0459659278048576</v>
      </c>
      <c r="DH75" s="23">
        <f>EXP(-LN(2)/2)*DH74+(1-EXP(-LN(2)/2))/(LN(2)/2)*DB75*DE75*VLOOKUP('Données projet'!$B$13,Paramètres!$A$1:$I$89,3,0)*0.475*44/12</f>
        <v>7.5998472999916107E-6</v>
      </c>
      <c r="DI75" s="24">
        <f t="shared" si="69"/>
        <v>3.0459735276521576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6.4</v>
      </c>
      <c r="DO75" s="13">
        <f>IF('Données projet'!$A$166&gt;35,DO74+DN75-DW74,IF(A75&lt;'Données projet'!$A$166,$DL$205^A75,IF(A75='Données projet'!$A$166,'Données projet'!$B$166,DO74+DN75-DW74)))</f>
        <v>233.8000000000001</v>
      </c>
      <c r="DP75" s="18">
        <f>DO75*VLOOKUP('Données projet'!$B$14,Paramètres!$A$1:$I$89,3,0)*VLOOKUP('Données projet'!$B$14,Paramètres!$A$1:$I$89,5,0)</f>
        <v>222.48408000000009</v>
      </c>
      <c r="DQ75" s="14">
        <f t="shared" si="97"/>
        <v>54.654434919149701</v>
      </c>
      <c r="DR75" s="22">
        <f t="shared" si="70"/>
        <v>482.6829134841858</v>
      </c>
      <c r="DS75" s="62">
        <f t="shared" si="71"/>
        <v>776.01624681751912</v>
      </c>
      <c r="DT75" s="62">
        <f ca="1">AVERAGE(OFFSET($DS$3,0,0,'Données projet'!$E$14+1,1))-AVERAGE(OFFSET($H$3,0,0,'Données projet'!$E$14+1,1))</f>
        <v>404.20764079465965</v>
      </c>
      <c r="DU75" s="62">
        <f t="shared" si="98"/>
        <v>243.23852967152732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9.5962670037969824E-6</v>
      </c>
      <c r="ED75" s="24">
        <f t="shared" si="72"/>
        <v>9.5962670037969824E-6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439.06700232017681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2.7715335822751848</v>
      </c>
      <c r="AB76" s="23">
        <f>EXP(-LN(2)/2)*AB75+(1-EXP(-LN(2)/2))/(LN(2)/2)*V76*Y76*VLOOKUP('Données projet'!$B$9,Paramètres!$A$1:$I$89,3,0)*0.475*44/12</f>
        <v>5.027200106205924E-6</v>
      </c>
      <c r="AC76" s="24">
        <f t="shared" si="57"/>
        <v>2.7715386094752912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396.92963589781414</v>
      </c>
      <c r="AO76" s="62">
        <f t="shared" si="90"/>
        <v>294.38852181137639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4.4337866711430253E-14</v>
      </c>
      <c r="BF76" s="14">
        <f t="shared" si="91"/>
        <v>7.3222115536967035E-13</v>
      </c>
      <c r="BG76" s="22">
        <f t="shared" si="61"/>
        <v>1.3525069634579169E-12</v>
      </c>
      <c r="BH76" s="62">
        <f t="shared" si="62"/>
        <v>293.33333333333468</v>
      </c>
      <c r="BI76" s="62">
        <f ca="1">AVERAGE(OFFSET($BH$3,0,0,'Données projet'!$E$11+1,1))-AVERAGE(OFFSET($H$3,0,0,'Données projet'!$E$11+1,1))</f>
        <v>288.82868507674738</v>
      </c>
      <c r="BJ76" s="62">
        <f t="shared" si="92"/>
        <v>283.48738729114024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2.1080114718699665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2.1080114718699665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405.09126081846171</v>
      </c>
      <c r="CE76" s="62">
        <f t="shared" si="94"/>
        <v>534.22295841722166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1.0267705924718282</v>
      </c>
      <c r="CL76" s="23">
        <f>EXP(-LN(2)/25)*CL75+(1-EXP(-LN(2)/25))/(LN(2)/25)*Calculateur!CG76*Calculateur!CI76*VLOOKUP('Données projet'!$B$12,Paramètres!$A$1:$I$89,3,0)*0.475*44/12</f>
        <v>2.6460692166624096</v>
      </c>
      <c r="CM76" s="23">
        <f>EXP(-LN(2)/2)*CM75+(1-EXP(-LN(2)/2))/(LN(2)/2)*CG76*CJ76*VLOOKUP('Données projet'!$B$12,Paramètres!$A$1:$I$89,3,0)*0.475*44/12</f>
        <v>1.2474127379404363E-7</v>
      </c>
      <c r="CN76" s="24">
        <f t="shared" si="66"/>
        <v>3.6728399338755113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296.8</v>
      </c>
      <c r="CU76" s="18">
        <f>CT76*VLOOKUP('Données projet'!$B$13,Paramètres!$A$1:$I$89,3,0)*VLOOKUP('Données projet'!$B$13,Paramètres!$A$1:$I$89,5,0)</f>
        <v>287.06496000000004</v>
      </c>
      <c r="CV76" s="14">
        <f t="shared" si="95"/>
        <v>68.457865822206315</v>
      </c>
      <c r="CW76" s="22">
        <f t="shared" si="67"/>
        <v>619.20225497367608</v>
      </c>
      <c r="CX76" s="62">
        <f t="shared" si="68"/>
        <v>912.53558830700945</v>
      </c>
      <c r="CY76" s="62">
        <f ca="1">AVERAGE(OFFSET($CX$3,0,0,'Données projet'!$E$13+1,1))-AVERAGE(OFFSET($H$3,0,0,'Données projet'!$E$13+1,1))</f>
        <v>466.4945858005575</v>
      </c>
      <c r="CZ76" s="62">
        <f t="shared" si="96"/>
        <v>294.45557293177131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2.9626738293286472</v>
      </c>
      <c r="DH76" s="23">
        <f>EXP(-LN(2)/2)*DH75+(1-EXP(-LN(2)/2))/(LN(2)/2)*DB76*DE76*VLOOKUP('Données projet'!$B$13,Paramètres!$A$1:$I$89,3,0)*0.475*44/12</f>
        <v>5.3739035618063423E-6</v>
      </c>
      <c r="DI76" s="24">
        <f t="shared" si="69"/>
        <v>2.9626792032322089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6.4</v>
      </c>
      <c r="DO76" s="13">
        <f>IF('Données projet'!$A$166&gt;35,DO75+DN76-DW75,IF(A76&lt;'Données projet'!$A$166,$DL$205^A76,IF(A76='Données projet'!$A$166,'Données projet'!$B$166,DO75+DN76-DW75)))</f>
        <v>240.2000000000001</v>
      </c>
      <c r="DP76" s="18">
        <f>DO76*VLOOKUP('Données projet'!$B$14,Paramètres!$A$1:$I$89,3,0)*VLOOKUP('Données projet'!$B$14,Paramètres!$A$1:$I$89,5,0)</f>
        <v>228.57432000000009</v>
      </c>
      <c r="DQ76" s="14">
        <f t="shared" si="97"/>
        <v>55.974304715857535</v>
      </c>
      <c r="DR76" s="22">
        <f t="shared" si="70"/>
        <v>495.58885471345201</v>
      </c>
      <c r="DS76" s="62">
        <f t="shared" si="71"/>
        <v>788.92218804678532</v>
      </c>
      <c r="DT76" s="62">
        <f ca="1">AVERAGE(OFFSET($DS$3,0,0,'Données projet'!$E$14+1,1))-AVERAGE(OFFSET($H$3,0,0,'Données projet'!$E$14+1,1))</f>
        <v>404.20764079465965</v>
      </c>
      <c r="DU76" s="62">
        <f t="shared" si="98"/>
        <v>243.23852967152732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6.785585472461559E-6</v>
      </c>
      <c r="ED76" s="24">
        <f t="shared" si="72"/>
        <v>6.785585472461559E-6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439.06700232017681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2.6957458507192533</v>
      </c>
      <c r="AB77" s="23">
        <f>EXP(-LN(2)/2)*AB76+(1-EXP(-LN(2)/2))/(LN(2)/2)*V77*Y77*VLOOKUP('Données projet'!$B$9,Paramètres!$A$1:$I$89,3,0)*0.475*44/12</f>
        <v>3.5547672854799408E-6</v>
      </c>
      <c r="AC77" s="24">
        <f t="shared" si="57"/>
        <v>2.6957494054865387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396.92963589781414</v>
      </c>
      <c r="AO77" s="62">
        <f t="shared" si="90"/>
        <v>294.38852181137639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4.4337866711430253E-14</v>
      </c>
      <c r="BF77" s="14">
        <f t="shared" si="91"/>
        <v>7.3222115536967035E-13</v>
      </c>
      <c r="BG77" s="22">
        <f t="shared" si="61"/>
        <v>1.3525069634579169E-12</v>
      </c>
      <c r="BH77" s="62">
        <f t="shared" si="62"/>
        <v>293.33333333333468</v>
      </c>
      <c r="BI77" s="62">
        <f ca="1">AVERAGE(OFFSET($BH$3,0,0,'Données projet'!$E$11+1,1))-AVERAGE(OFFSET($H$3,0,0,'Données projet'!$E$11+1,1))</f>
        <v>288.82868507674738</v>
      </c>
      <c r="BJ77" s="62">
        <f t="shared" si="92"/>
        <v>283.48738729114024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2.0503677873161767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2.0503677873161767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405.09126081846171</v>
      </c>
      <c r="CE77" s="62">
        <f t="shared" si="94"/>
        <v>534.22295841722166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1.0066362474216781</v>
      </c>
      <c r="CL77" s="23">
        <f>EXP(-LN(2)/25)*CL76+(1-EXP(-LN(2)/25))/(LN(2)/25)*Calculateur!CG77*Calculateur!CI77*VLOOKUP('Données projet'!$B$12,Paramètres!$A$1:$I$89,3,0)*0.475*44/12</f>
        <v>2.5737123147820435</v>
      </c>
      <c r="CM77" s="23">
        <f>EXP(-LN(2)/2)*CM76+(1-EXP(-LN(2)/2))/(LN(2)/2)*CG77*CJ77*VLOOKUP('Données projet'!$B$12,Paramètres!$A$1:$I$89,3,0)*0.475*44/12</f>
        <v>8.8205400593616025E-8</v>
      </c>
      <c r="CN77" s="24">
        <f t="shared" si="66"/>
        <v>3.5803486504091224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304.40000000000003</v>
      </c>
      <c r="CU77" s="18">
        <f>CT77*VLOOKUP('Données projet'!$B$13,Paramètres!$A$1:$I$89,3,0)*VLOOKUP('Données projet'!$B$13,Paramètres!$A$1:$I$89,5,0)</f>
        <v>294.41568000000001</v>
      </c>
      <c r="CV77" s="14">
        <f t="shared" si="95"/>
        <v>70.004498360393455</v>
      </c>
      <c r="CW77" s="22">
        <f t="shared" si="67"/>
        <v>634.69847731101868</v>
      </c>
      <c r="CX77" s="62">
        <f t="shared" si="68"/>
        <v>928.03181064435194</v>
      </c>
      <c r="CY77" s="62">
        <f ca="1">AVERAGE(OFFSET($CX$3,0,0,'Données projet'!$E$13+1,1))-AVERAGE(OFFSET($H$3,0,0,'Données projet'!$E$13+1,1))</f>
        <v>466.4945858005575</v>
      </c>
      <c r="CZ77" s="62">
        <f t="shared" si="96"/>
        <v>294.45557293177131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2.8816593576654101</v>
      </c>
      <c r="DH77" s="23">
        <f>EXP(-LN(2)/2)*DH76+(1-EXP(-LN(2)/2))/(LN(2)/2)*DB77*DE77*VLOOKUP('Données projet'!$B$13,Paramètres!$A$1:$I$89,3,0)*0.475*44/12</f>
        <v>3.7999236499958058E-6</v>
      </c>
      <c r="DI77" s="24">
        <f t="shared" si="69"/>
        <v>2.8816631575890601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6.4</v>
      </c>
      <c r="DO77" s="13">
        <f>IF('Données projet'!$A$166&gt;35,DO76+DN77-DW76,IF(A77&lt;'Données projet'!$A$166,$DL$205^A77,IF(A77='Données projet'!$A$166,'Données projet'!$B$166,DO76+DN77-DW76)))</f>
        <v>246.60000000000011</v>
      </c>
      <c r="DP77" s="18">
        <f>DO77*VLOOKUP('Données projet'!$B$14,Paramètres!$A$1:$I$89,3,0)*VLOOKUP('Données projet'!$B$14,Paramètres!$A$1:$I$89,5,0)</f>
        <v>234.66456000000011</v>
      </c>
      <c r="DQ77" s="14">
        <f t="shared" si="97"/>
        <v>57.290086878049642</v>
      </c>
      <c r="DR77" s="22">
        <f t="shared" si="70"/>
        <v>508.48767664593657</v>
      </c>
      <c r="DS77" s="62">
        <f t="shared" si="71"/>
        <v>801.82100997926989</v>
      </c>
      <c r="DT77" s="62">
        <f ca="1">AVERAGE(OFFSET($DS$3,0,0,'Données projet'!$E$14+1,1))-AVERAGE(OFFSET($H$3,0,0,'Données projet'!$E$14+1,1))</f>
        <v>404.20764079465965</v>
      </c>
      <c r="DU77" s="62">
        <f t="shared" si="98"/>
        <v>243.23852967152732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4.7981335018984912E-6</v>
      </c>
      <c r="ED77" s="24">
        <f t="shared" si="72"/>
        <v>4.7981335018984912E-6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439.06700232017681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2.6220305386682221</v>
      </c>
      <c r="AB78" s="23">
        <f>EXP(-LN(2)/2)*AB77+(1-EXP(-LN(2)/2))/(LN(2)/2)*V78*Y78*VLOOKUP('Données projet'!$B$9,Paramètres!$A$1:$I$89,3,0)*0.475*44/12</f>
        <v>2.513600053102962E-6</v>
      </c>
      <c r="AC78" s="24">
        <f t="shared" si="57"/>
        <v>2.6220330522682751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396.92963589781414</v>
      </c>
      <c r="AO78" s="62">
        <f t="shared" si="90"/>
        <v>294.38852181137639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4.4337866711430253E-14</v>
      </c>
      <c r="BF78" s="14">
        <f t="shared" si="91"/>
        <v>7.3222115536967035E-13</v>
      </c>
      <c r="BG78" s="22">
        <f t="shared" si="61"/>
        <v>1.3525069634579169E-12</v>
      </c>
      <c r="BH78" s="62">
        <f t="shared" si="62"/>
        <v>293.33333333333468</v>
      </c>
      <c r="BI78" s="62">
        <f ca="1">AVERAGE(OFFSET($BH$3,0,0,'Données projet'!$E$11+1,1))-AVERAGE(OFFSET($H$3,0,0,'Données projet'!$E$11+1,1))</f>
        <v>288.82868507674738</v>
      </c>
      <c r="BJ78" s="62">
        <f t="shared" si="92"/>
        <v>283.48738729114024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1.9943003723478601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1.9943003723478601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405.09126081846171</v>
      </c>
      <c r="CE78" s="62">
        <f t="shared" si="94"/>
        <v>534.22295841722166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0.98689672459722366</v>
      </c>
      <c r="CL78" s="23">
        <f>EXP(-LN(2)/25)*CL77+(1-EXP(-LN(2)/25))/(LN(2)/25)*Calculateur!CG78*Calculateur!CI78*VLOOKUP('Données projet'!$B$12,Paramètres!$A$1:$I$89,3,0)*0.475*44/12</f>
        <v>2.5033340161886803</v>
      </c>
      <c r="CM78" s="23">
        <f>EXP(-LN(2)/2)*CM77+(1-EXP(-LN(2)/2))/(LN(2)/2)*CG78*CJ78*VLOOKUP('Données projet'!$B$12,Paramètres!$A$1:$I$89,3,0)*0.475*44/12</f>
        <v>6.2370636897021814E-8</v>
      </c>
      <c r="CN78" s="24">
        <f t="shared" si="66"/>
        <v>3.4902308031565412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312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312.00000000000006</v>
      </c>
      <c r="CU78" s="18">
        <f>CT78*VLOOKUP('Données projet'!$B$13,Paramètres!$A$1:$I$89,3,0)*VLOOKUP('Données projet'!$B$13,Paramètres!$A$1:$I$89,5,0)</f>
        <v>301.76640000000003</v>
      </c>
      <c r="CV78" s="14">
        <f t="shared" si="95"/>
        <v>71.546642144235364</v>
      </c>
      <c r="CW78" s="22">
        <f t="shared" si="67"/>
        <v>650.18688173454336</v>
      </c>
      <c r="CX78" s="62">
        <f t="shared" si="68"/>
        <v>943.52021506787673</v>
      </c>
      <c r="CY78" s="62">
        <f ca="1">AVERAGE(OFFSET($CX$3,0,0,'Données projet'!$E$13+1,1))-AVERAGE(OFFSET($H$3,0,0,'Données projet'!$E$13+1,1))</f>
        <v>466.4945858005575</v>
      </c>
      <c r="CZ78" s="62">
        <f t="shared" si="96"/>
        <v>294.45557293177131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2.80286023099017</v>
      </c>
      <c r="DH78" s="23">
        <f>EXP(-LN(2)/2)*DH77+(1-EXP(-LN(2)/2))/(LN(2)/2)*DB78*DE78*VLOOKUP('Données projet'!$B$13,Paramètres!$A$1:$I$89,3,0)*0.475*44/12</f>
        <v>2.6869517809031716E-6</v>
      </c>
      <c r="DI78" s="24">
        <f t="shared" si="69"/>
        <v>2.8028629179419511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253</v>
      </c>
      <c r="DM78" s="13">
        <f>VLOOKUP(A78,'Données projet'!$A$165:$I$185,9,0)</f>
        <v>6.4</v>
      </c>
      <c r="DN78" s="13">
        <f t="array" ref="DN78">INDEX(DM:DM,MIN(IF(ISNUMBER(DM78:DM274),ROW(DM78:DM274),"")))</f>
        <v>6.4</v>
      </c>
      <c r="DO78" s="13">
        <f>IF('Données projet'!$A$166&gt;35,DO77+DN78-DW77,IF(A78&lt;'Données projet'!$A$166,$DL$205^A78,IF(A78='Données projet'!$A$166,'Données projet'!$B$166,DO77+DN78-DW77)))</f>
        <v>253.00000000000011</v>
      </c>
      <c r="DP78" s="18">
        <f>DO78*VLOOKUP('Données projet'!$B$14,Paramètres!$A$1:$I$89,3,0)*VLOOKUP('Données projet'!$B$14,Paramètres!$A$1:$I$89,5,0)</f>
        <v>240.7548000000001</v>
      </c>
      <c r="DQ78" s="14">
        <f t="shared" si="97"/>
        <v>58.601899688541096</v>
      </c>
      <c r="DR78" s="22">
        <f t="shared" si="70"/>
        <v>521.37958529087587</v>
      </c>
      <c r="DS78" s="62">
        <f t="shared" si="71"/>
        <v>814.71291862420912</v>
      </c>
      <c r="DT78" s="62">
        <f ca="1">AVERAGE(OFFSET($DS$3,0,0,'Données projet'!$E$14+1,1))-AVERAGE(OFFSET($H$3,0,0,'Données projet'!$E$14+1,1))</f>
        <v>404.20764079465965</v>
      </c>
      <c r="DU78" s="62">
        <f t="shared" si="98"/>
        <v>243.23852967152732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21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3.3927927362307795E-6</v>
      </c>
      <c r="ED78" s="24">
        <f t="shared" si="72"/>
        <v>3.3927927362307795E-6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439.06700232017681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2.5503309757017463</v>
      </c>
      <c r="AB79" s="23">
        <f>EXP(-LN(2)/2)*AB78+(1-EXP(-LN(2)/2))/(LN(2)/2)*V79*Y79*VLOOKUP('Données projet'!$B$9,Paramètres!$A$1:$I$89,3,0)*0.475*44/12</f>
        <v>1.7773836427399704E-6</v>
      </c>
      <c r="AC79" s="24">
        <f t="shared" si="57"/>
        <v>2.5503327530853892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396.92963589781414</v>
      </c>
      <c r="AO79" s="62">
        <f t="shared" si="90"/>
        <v>294.38852181137639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4.4337866711430253E-14</v>
      </c>
      <c r="BF79" s="14">
        <f t="shared" si="91"/>
        <v>7.3222115536967035E-13</v>
      </c>
      <c r="BG79" s="22">
        <f t="shared" si="61"/>
        <v>1.3525069634579169E-12</v>
      </c>
      <c r="BH79" s="62">
        <f t="shared" si="62"/>
        <v>293.33333333333468</v>
      </c>
      <c r="BI79" s="62">
        <f ca="1">AVERAGE(OFFSET($BH$3,0,0,'Données projet'!$E$11+1,1))-AVERAGE(OFFSET($H$3,0,0,'Données projet'!$E$11+1,1))</f>
        <v>288.82868507674738</v>
      </c>
      <c r="BJ79" s="62">
        <f t="shared" si="92"/>
        <v>283.48738729114024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1.9397661237903092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1.9397661237903092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405.09126081846171</v>
      </c>
      <c r="CE79" s="62">
        <f t="shared" si="94"/>
        <v>534.22295841722166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0.96754428177543672</v>
      </c>
      <c r="CL79" s="23">
        <f>EXP(-LN(2)/25)*CL78+(1-EXP(-LN(2)/25))/(LN(2)/25)*Calculateur!CG79*Calculateur!CI79*VLOOKUP('Données projet'!$B$12,Paramètres!$A$1:$I$89,3,0)*0.475*44/12</f>
        <v>2.4348802158713863</v>
      </c>
      <c r="CM79" s="23">
        <f>EXP(-LN(2)/2)*CM78+(1-EXP(-LN(2)/2))/(LN(2)/2)*CG79*CJ79*VLOOKUP('Données projet'!$B$12,Paramètres!$A$1:$I$89,3,0)*0.475*44/12</f>
        <v>4.4102700296808013E-8</v>
      </c>
      <c r="CN79" s="24">
        <f t="shared" si="66"/>
        <v>3.4024245417495234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281.64864000000006</v>
      </c>
      <c r="CV79" s="14">
        <f t="shared" si="95"/>
        <v>67.315294774697747</v>
      </c>
      <c r="CW79" s="22">
        <f t="shared" si="67"/>
        <v>607.77885306593191</v>
      </c>
      <c r="CX79" s="62">
        <f t="shared" si="68"/>
        <v>901.11218639926528</v>
      </c>
      <c r="CY79" s="62">
        <f ca="1">AVERAGE(OFFSET($CX$3,0,0,'Données projet'!$E$13+1,1))-AVERAGE(OFFSET($H$3,0,0,'Données projet'!$E$13+1,1))</f>
        <v>466.4945858005575</v>
      </c>
      <c r="CZ79" s="62">
        <f t="shared" si="96"/>
        <v>294.45557293177131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2.7262158705777302</v>
      </c>
      <c r="DH79" s="23">
        <f>EXP(-LN(2)/2)*DH78+(1-EXP(-LN(2)/2))/(LN(2)/2)*DB79*DE79*VLOOKUP('Données projet'!$B$13,Paramètres!$A$1:$I$89,3,0)*0.475*44/12</f>
        <v>1.8999618249979033E-6</v>
      </c>
      <c r="DI79" s="24">
        <f t="shared" si="69"/>
        <v>2.7262177705395554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10.199999999999999</v>
      </c>
      <c r="DO79" s="13">
        <f>IF('Données projet'!$A$166&gt;35,DO78+DN79-DW78,IF(A79&lt;'Données projet'!$A$166,$DL$205^A79,IF(A79='Données projet'!$A$166,'Données projet'!$B$166,DO78+DN79-DW78)))</f>
        <v>242.2000000000001</v>
      </c>
      <c r="DP79" s="18">
        <f>DO79*VLOOKUP('Données projet'!$B$14,Paramètres!$A$1:$I$89,3,0)*VLOOKUP('Données projet'!$B$14,Paramètres!$A$1:$I$89,5,0)</f>
        <v>230.47752000000008</v>
      </c>
      <c r="DQ79" s="14">
        <f t="shared" si="97"/>
        <v>56.385920053029309</v>
      </c>
      <c r="DR79" s="22">
        <f t="shared" si="70"/>
        <v>499.62049142569282</v>
      </c>
      <c r="DS79" s="62">
        <f t="shared" si="71"/>
        <v>792.95382475902613</v>
      </c>
      <c r="DT79" s="62">
        <f ca="1">AVERAGE(OFFSET($DS$3,0,0,'Données projet'!$E$14+1,1))-AVERAGE(OFFSET($H$3,0,0,'Données projet'!$E$14+1,1))</f>
        <v>404.20764079465965</v>
      </c>
      <c r="DU79" s="62">
        <f t="shared" si="98"/>
        <v>243.23852967152732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2.3990667509492456E-6</v>
      </c>
      <c r="ED79" s="24">
        <f t="shared" si="72"/>
        <v>2.3990667509492456E-6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439.06700232017681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2.4805920410551048</v>
      </c>
      <c r="AB80" s="23">
        <f>EXP(-LN(2)/2)*AB79+(1-EXP(-LN(2)/2))/(LN(2)/2)*V80*Y80*VLOOKUP('Données projet'!$B$9,Paramètres!$A$1:$I$89,3,0)*0.475*44/12</f>
        <v>1.256800026551481E-6</v>
      </c>
      <c r="AC80" s="24">
        <f t="shared" si="57"/>
        <v>2.4805932978551315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396.92963589781414</v>
      </c>
      <c r="AO80" s="62">
        <f t="shared" si="90"/>
        <v>294.38852181137639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4.4337866711430253E-14</v>
      </c>
      <c r="BF80" s="14">
        <f t="shared" si="91"/>
        <v>7.3222115536967035E-13</v>
      </c>
      <c r="BG80" s="22">
        <f t="shared" si="61"/>
        <v>1.3525069634579169E-12</v>
      </c>
      <c r="BH80" s="62">
        <f t="shared" si="62"/>
        <v>293.33333333333468</v>
      </c>
      <c r="BI80" s="62">
        <f ca="1">AVERAGE(OFFSET($BH$3,0,0,'Données projet'!$E$11+1,1))-AVERAGE(OFFSET($H$3,0,0,'Données projet'!$E$11+1,1))</f>
        <v>288.82868507674738</v>
      </c>
      <c r="BJ80" s="62">
        <f t="shared" si="92"/>
        <v>283.48738729114024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1.8867231171273962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1.8867231171273962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405.09126081846171</v>
      </c>
      <c r="CE80" s="62">
        <f t="shared" si="94"/>
        <v>534.22295841722166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0.94857132855356041</v>
      </c>
      <c r="CL80" s="23">
        <f>EXP(-LN(2)/25)*CL79+(1-EXP(-LN(2)/25))/(LN(2)/25)*Calculateur!CG80*Calculateur!CI80*VLOOKUP('Données projet'!$B$12,Paramètres!$A$1:$I$89,3,0)*0.475*44/12</f>
        <v>2.3682982883235977</v>
      </c>
      <c r="CM80" s="23">
        <f>EXP(-LN(2)/2)*CM79+(1-EXP(-LN(2)/2))/(LN(2)/2)*CG80*CJ80*VLOOKUP('Données projet'!$B$12,Paramètres!$A$1:$I$89,3,0)*0.475*44/12</f>
        <v>3.1185318448510907E-8</v>
      </c>
      <c r="CN80" s="24">
        <f t="shared" si="66"/>
        <v>3.3168696480624762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288.61248000000001</v>
      </c>
      <c r="CV80" s="14">
        <f t="shared" si="95"/>
        <v>68.783851967051476</v>
      </c>
      <c r="CW80" s="22">
        <f t="shared" si="67"/>
        <v>622.4652781759479</v>
      </c>
      <c r="CX80" s="62">
        <f t="shared" si="68"/>
        <v>915.79861150928127</v>
      </c>
      <c r="CY80" s="62">
        <f ca="1">AVERAGE(OFFSET($CX$3,0,0,'Données projet'!$E$13+1,1))-AVERAGE(OFFSET($H$3,0,0,'Données projet'!$E$13+1,1))</f>
        <v>466.4945858005575</v>
      </c>
      <c r="CZ80" s="62">
        <f t="shared" si="96"/>
        <v>294.45557293177131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2.6516673542313205</v>
      </c>
      <c r="DH80" s="23">
        <f>EXP(-LN(2)/2)*DH79+(1-EXP(-LN(2)/2))/(LN(2)/2)*DB80*DE80*VLOOKUP('Données projet'!$B$13,Paramètres!$A$1:$I$89,3,0)*0.475*44/12</f>
        <v>1.343475890451586E-6</v>
      </c>
      <c r="DI80" s="24">
        <f t="shared" si="69"/>
        <v>2.651668697707211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10.199999999999999</v>
      </c>
      <c r="DO80" s="13">
        <f>IF('Données projet'!$A$166&gt;35,DO79+DN80-DW79,IF(A80&lt;'Données projet'!$A$166,$DL$205^A80,IF(A80='Données projet'!$A$166,'Données projet'!$B$166,DO79+DN80-DW79)))</f>
        <v>252.40000000000009</v>
      </c>
      <c r="DP80" s="18">
        <f>DO80*VLOOKUP('Données projet'!$B$14,Paramètres!$A$1:$I$89,3,0)*VLOOKUP('Données projet'!$B$14,Paramètres!$A$1:$I$89,5,0)</f>
        <v>240.18384000000009</v>
      </c>
      <c r="DQ80" s="14">
        <f t="shared" si="97"/>
        <v>58.479082790905728</v>
      </c>
      <c r="DR80" s="22">
        <f t="shared" si="70"/>
        <v>520.17125719416094</v>
      </c>
      <c r="DS80" s="62">
        <f t="shared" si="71"/>
        <v>813.5045905274942</v>
      </c>
      <c r="DT80" s="62">
        <f ca="1">AVERAGE(OFFSET($DS$3,0,0,'Données projet'!$E$14+1,1))-AVERAGE(OFFSET($H$3,0,0,'Données projet'!$E$14+1,1))</f>
        <v>404.20764079465965</v>
      </c>
      <c r="DU80" s="62">
        <f t="shared" si="98"/>
        <v>243.23852967152732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1.6963963681153897E-6</v>
      </c>
      <c r="ED80" s="24">
        <f t="shared" si="72"/>
        <v>1.6963963681153897E-6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439.06700232017681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2.412760121243787</v>
      </c>
      <c r="AB81" s="23">
        <f>EXP(-LN(2)/2)*AB80+(1-EXP(-LN(2)/2))/(LN(2)/2)*V81*Y81*VLOOKUP('Données projet'!$B$9,Paramètres!$A$1:$I$89,3,0)*0.475*44/12</f>
        <v>8.886918213699852E-7</v>
      </c>
      <c r="AC81" s="24">
        <f t="shared" si="57"/>
        <v>2.4127610099356085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396.92963589781414</v>
      </c>
      <c r="AO81" s="62">
        <f t="shared" si="90"/>
        <v>294.38852181137639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4.4337866711430253E-14</v>
      </c>
      <c r="BF81" s="14">
        <f t="shared" si="91"/>
        <v>7.3222115536967035E-13</v>
      </c>
      <c r="BG81" s="22">
        <f t="shared" si="61"/>
        <v>1.3525069634579169E-12</v>
      </c>
      <c r="BH81" s="62">
        <f t="shared" si="62"/>
        <v>293.33333333333468</v>
      </c>
      <c r="BI81" s="62">
        <f ca="1">AVERAGE(OFFSET($BH$3,0,0,'Données projet'!$E$11+1,1))-AVERAGE(OFFSET($H$3,0,0,'Données projet'!$E$11+1,1))</f>
        <v>288.82868507674738</v>
      </c>
      <c r="BJ81" s="62">
        <f t="shared" si="92"/>
        <v>283.48738729114024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1.8351305742710908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1.8351305742710908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405.09126081846171</v>
      </c>
      <c r="CE81" s="62">
        <f t="shared" si="94"/>
        <v>534.22295841722166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0.92997042337200631</v>
      </c>
      <c r="CL81" s="23">
        <f>EXP(-LN(2)/25)*CL80+(1-EXP(-LN(2)/25))/(LN(2)/25)*Calculateur!CG81*Calculateur!CI81*VLOOKUP('Données projet'!$B$12,Paramètres!$A$1:$I$89,3,0)*0.475*44/12</f>
        <v>2.3035370470859946</v>
      </c>
      <c r="CM81" s="23">
        <f>EXP(-LN(2)/2)*CM80+(1-EXP(-LN(2)/2))/(LN(2)/2)*CG81*CJ81*VLOOKUP('Données projet'!$B$12,Paramètres!$A$1:$I$89,3,0)*0.475*44/12</f>
        <v>2.2051350148404006E-8</v>
      </c>
      <c r="CN81" s="24">
        <f t="shared" si="66"/>
        <v>3.233507492509351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295.57632000000001</v>
      </c>
      <c r="CV81" s="14">
        <f t="shared" si="95"/>
        <v>70.24828996461811</v>
      </c>
      <c r="CW81" s="22">
        <f t="shared" si="67"/>
        <v>637.1445290217099</v>
      </c>
      <c r="CX81" s="62">
        <f t="shared" si="68"/>
        <v>930.47786235504327</v>
      </c>
      <c r="CY81" s="62">
        <f ca="1">AVERAGE(OFFSET($CX$3,0,0,'Données projet'!$E$13+1,1))-AVERAGE(OFFSET($H$3,0,0,'Données projet'!$E$13+1,1))</f>
        <v>466.4945858005575</v>
      </c>
      <c r="CZ81" s="62">
        <f t="shared" si="96"/>
        <v>294.45557293177131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2.5791573709847393</v>
      </c>
      <c r="DH81" s="23">
        <f>EXP(-LN(2)/2)*DH80+(1-EXP(-LN(2)/2))/(LN(2)/2)*DB81*DE81*VLOOKUP('Données projet'!$B$13,Paramètres!$A$1:$I$89,3,0)*0.475*44/12</f>
        <v>9.4998091249895176E-7</v>
      </c>
      <c r="DI81" s="24">
        <f t="shared" si="69"/>
        <v>2.5791583209656519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10.199999999999999</v>
      </c>
      <c r="DO81" s="13">
        <f>IF('Données projet'!$A$166&gt;35,DO80+DN81-DW80,IF(A81&lt;'Données projet'!$A$166,$DL$205^A81,IF(A81='Données projet'!$A$166,'Données projet'!$B$166,DO80+DN81-DW80)))</f>
        <v>262.60000000000008</v>
      </c>
      <c r="DP81" s="18">
        <f>DO81*VLOOKUP('Données projet'!$B$14,Paramètres!$A$1:$I$89,3,0)*VLOOKUP('Données projet'!$B$14,Paramètres!$A$1:$I$89,5,0)</f>
        <v>249.89016000000007</v>
      </c>
      <c r="DQ81" s="14">
        <f t="shared" si="97"/>
        <v>60.562419667970957</v>
      </c>
      <c r="DR81" s="22">
        <f t="shared" si="70"/>
        <v>540.70490958838275</v>
      </c>
      <c r="DS81" s="62">
        <f t="shared" si="71"/>
        <v>834.03824292171612</v>
      </c>
      <c r="DT81" s="62">
        <f ca="1">AVERAGE(OFFSET($DS$3,0,0,'Données projet'!$E$14+1,1))-AVERAGE(OFFSET($H$3,0,0,'Données projet'!$E$14+1,1))</f>
        <v>404.20764079465965</v>
      </c>
      <c r="DU81" s="62">
        <f t="shared" si="98"/>
        <v>243.23852967152732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1.1995333754746228E-6</v>
      </c>
      <c r="ED81" s="24">
        <f t="shared" si="72"/>
        <v>1.1995333754746228E-6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439.06700232017681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2.3467830688468352</v>
      </c>
      <c r="AB82" s="23">
        <f>EXP(-LN(2)/2)*AB81+(1-EXP(-LN(2)/2))/(LN(2)/2)*V82*Y82*VLOOKUP('Données projet'!$B$9,Paramètres!$A$1:$I$89,3,0)*0.475*44/12</f>
        <v>6.2840001327574049E-7</v>
      </c>
      <c r="AC82" s="24">
        <f t="shared" si="57"/>
        <v>2.3467836972468485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396.92963589781414</v>
      </c>
      <c r="AO82" s="62">
        <f t="shared" si="90"/>
        <v>294.38852181137639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4.4337866711430253E-14</v>
      </c>
      <c r="BF82" s="14">
        <f t="shared" si="91"/>
        <v>7.3222115536967035E-13</v>
      </c>
      <c r="BG82" s="22">
        <f t="shared" si="61"/>
        <v>1.3525069634579169E-12</v>
      </c>
      <c r="BH82" s="62">
        <f t="shared" si="62"/>
        <v>293.33333333333468</v>
      </c>
      <c r="BI82" s="62">
        <f ca="1">AVERAGE(OFFSET($BH$3,0,0,'Données projet'!$E$11+1,1))-AVERAGE(OFFSET($H$3,0,0,'Données projet'!$E$11+1,1))</f>
        <v>288.82868507674738</v>
      </c>
      <c r="BJ82" s="62">
        <f t="shared" si="92"/>
        <v>283.48738729114024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1.7849488322123253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1.7849488322123253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405.09126081846171</v>
      </c>
      <c r="CE82" s="62">
        <f t="shared" si="94"/>
        <v>534.22295841722166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0.91173427059563061</v>
      </c>
      <c r="CL82" s="23">
        <f>EXP(-LN(2)/25)*CL81+(1-EXP(-LN(2)/25))/(LN(2)/25)*Calculateur!CG82*Calculateur!CI82*VLOOKUP('Données projet'!$B$12,Paramètres!$A$1:$I$89,3,0)*0.475*44/12</f>
        <v>2.2405467053956798</v>
      </c>
      <c r="CM82" s="23">
        <f>EXP(-LN(2)/2)*CM81+(1-EXP(-LN(2)/2))/(LN(2)/2)*CG82*CJ82*VLOOKUP('Données projet'!$B$12,Paramètres!$A$1:$I$89,3,0)*0.475*44/12</f>
        <v>1.5592659224255453E-8</v>
      </c>
      <c r="CN82" s="24">
        <f t="shared" si="66"/>
        <v>3.1522809915839693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302.54016000000001</v>
      </c>
      <c r="CV82" s="14">
        <f t="shared" si="95"/>
        <v>71.708716984815311</v>
      </c>
      <c r="CW82" s="22">
        <f t="shared" si="67"/>
        <v>651.81679408188654</v>
      </c>
      <c r="CX82" s="62">
        <f t="shared" si="68"/>
        <v>945.15012741521991</v>
      </c>
      <c r="CY82" s="62">
        <f ca="1">AVERAGE(OFFSET($CX$3,0,0,'Données projet'!$E$13+1,1))-AVERAGE(OFFSET($H$3,0,0,'Données projet'!$E$13+1,1))</f>
        <v>466.4945858005575</v>
      </c>
      <c r="CZ82" s="62">
        <f t="shared" si="96"/>
        <v>294.45557293177131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2.50863017704317</v>
      </c>
      <c r="DH82" s="23">
        <f>EXP(-LN(2)/2)*DH81+(1-EXP(-LN(2)/2))/(LN(2)/2)*DB82*DE82*VLOOKUP('Données projet'!$B$13,Paramètres!$A$1:$I$89,3,0)*0.475*44/12</f>
        <v>6.7173794522579311E-7</v>
      </c>
      <c r="DI82" s="24">
        <f t="shared" si="69"/>
        <v>2.5086308487811153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10.199999999999999</v>
      </c>
      <c r="DO82" s="13">
        <f>IF('Données projet'!$A$166&gt;35,DO81+DN82-DW81,IF(A82&lt;'Données projet'!$A$166,$DL$205^A82,IF(A82='Données projet'!$A$166,'Données projet'!$B$166,DO81+DN82-DW81)))</f>
        <v>272.80000000000007</v>
      </c>
      <c r="DP82" s="18">
        <f>DO82*VLOOKUP('Données projet'!$B$14,Paramètres!$A$1:$I$89,3,0)*VLOOKUP('Données projet'!$B$14,Paramètres!$A$1:$I$89,5,0)</f>
        <v>259.5964800000001</v>
      </c>
      <c r="DQ82" s="14">
        <f t="shared" si="97"/>
        <v>62.63635602493509</v>
      </c>
      <c r="DR82" s="22">
        <f t="shared" si="70"/>
        <v>561.22218941009544</v>
      </c>
      <c r="DS82" s="62">
        <f t="shared" si="71"/>
        <v>854.55552274342881</v>
      </c>
      <c r="DT82" s="62">
        <f ca="1">AVERAGE(OFFSET($DS$3,0,0,'Données projet'!$E$14+1,1))-AVERAGE(OFFSET($H$3,0,0,'Données projet'!$E$14+1,1))</f>
        <v>404.20764079465965</v>
      </c>
      <c r="DU82" s="62">
        <f t="shared" si="98"/>
        <v>243.23852967152732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8.4819818405769487E-7</v>
      </c>
      <c r="ED82" s="24">
        <f t="shared" si="72"/>
        <v>8.4819818405769487E-7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439.06700232017681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2.2826101624172606</v>
      </c>
      <c r="AB83" s="23">
        <f>EXP(-LN(2)/2)*AB82+(1-EXP(-LN(2)/2))/(LN(2)/2)*V83*Y83*VLOOKUP('Données projet'!$B$9,Paramètres!$A$1:$I$89,3,0)*0.475*44/12</f>
        <v>4.443459106849926E-7</v>
      </c>
      <c r="AC83" s="24">
        <f t="shared" si="57"/>
        <v>2.2826106067631713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396.92963589781414</v>
      </c>
      <c r="AO83" s="62">
        <f t="shared" si="90"/>
        <v>294.38852181137639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4.4337866711430253E-14</v>
      </c>
      <c r="BF83" s="14">
        <f t="shared" si="91"/>
        <v>7.3222115536967035E-13</v>
      </c>
      <c r="BG83" s="22">
        <f t="shared" si="61"/>
        <v>1.3525069634579169E-12</v>
      </c>
      <c r="BH83" s="62">
        <f t="shared" si="62"/>
        <v>293.33333333333468</v>
      </c>
      <c r="BI83" s="62">
        <f ca="1">AVERAGE(OFFSET($BH$3,0,0,'Données projet'!$E$11+1,1))-AVERAGE(OFFSET($H$3,0,0,'Données projet'!$E$11+1,1))</f>
        <v>288.82868507674738</v>
      </c>
      <c r="BJ83" s="62">
        <f t="shared" si="92"/>
        <v>283.48738729114024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1.7361393125290996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1.7361393125290996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405.09126081846171</v>
      </c>
      <c r="CE83" s="62">
        <f t="shared" si="94"/>
        <v>534.22295841722166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0.8938557176522447</v>
      </c>
      <c r="CL83" s="23">
        <f>EXP(-LN(2)/25)*CL82+(1-EXP(-LN(2)/25))/(LN(2)/25)*Calculateur!CG83*Calculateur!CI83*VLOOKUP('Données projet'!$B$12,Paramètres!$A$1:$I$89,3,0)*0.475*44/12</f>
        <v>2.1792788379114048</v>
      </c>
      <c r="CM83" s="23">
        <f>EXP(-LN(2)/2)*CM82+(1-EXP(-LN(2)/2))/(LN(2)/2)*CG83*CJ83*VLOOKUP('Données projet'!$B$12,Paramètres!$A$1:$I$89,3,0)*0.475*44/12</f>
        <v>1.1025675074202003E-8</v>
      </c>
      <c r="CN83" s="24">
        <f t="shared" si="66"/>
        <v>3.0731345665893244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309.50400000000002</v>
      </c>
      <c r="CV83" s="14">
        <f t="shared" si="95"/>
        <v>73.165235978896504</v>
      </c>
      <c r="CW83" s="22">
        <f t="shared" si="67"/>
        <v>666.48225266324471</v>
      </c>
      <c r="CX83" s="62">
        <f t="shared" si="68"/>
        <v>959.81558599657797</v>
      </c>
      <c r="CY83" s="62">
        <f ca="1">AVERAGE(OFFSET($CX$3,0,0,'Données projet'!$E$13+1,1))-AVERAGE(OFFSET($H$3,0,0,'Données projet'!$E$13+1,1))</f>
        <v>466.4945858005575</v>
      </c>
      <c r="CZ83" s="62">
        <f t="shared" si="96"/>
        <v>294.45557293177131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2.4400315529287973</v>
      </c>
      <c r="DH83" s="23">
        <f>EXP(-LN(2)/2)*DH82+(1-EXP(-LN(2)/2))/(LN(2)/2)*DB83*DE83*VLOOKUP('Données projet'!$B$13,Paramètres!$A$1:$I$89,3,0)*0.475*44/12</f>
        <v>4.7499045624947599E-7</v>
      </c>
      <c r="DI83" s="24">
        <f t="shared" si="69"/>
        <v>2.4400320279192536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283</v>
      </c>
      <c r="DM83" s="13">
        <f>VLOOKUP(A83,'Données projet'!$A$165:$I$185,9,0)</f>
        <v>10.199999999999999</v>
      </c>
      <c r="DN83" s="13">
        <f t="array" ref="DN83">INDEX(DM:DM,MIN(IF(ISNUMBER(DM83:DM279),ROW(DM83:DM279),"")))</f>
        <v>10.199999999999999</v>
      </c>
      <c r="DO83" s="13">
        <f>IF('Données projet'!$A$166&gt;35,DO82+DN83-DW82,IF(A83&lt;'Données projet'!$A$166,$DL$205^A83,IF(A83='Données projet'!$A$166,'Données projet'!$B$166,DO82+DN83-DW82)))</f>
        <v>283.00000000000006</v>
      </c>
      <c r="DP83" s="18">
        <f>DO83*VLOOKUP('Données projet'!$B$14,Paramètres!$A$1:$I$89,3,0)*VLOOKUP('Données projet'!$B$14,Paramètres!$A$1:$I$89,5,0)</f>
        <v>269.30280000000005</v>
      </c>
      <c r="DQ83" s="14">
        <f t="shared" si="97"/>
        <v>64.70128359355995</v>
      </c>
      <c r="DR83" s="22">
        <f t="shared" si="70"/>
        <v>581.72377892545035</v>
      </c>
      <c r="DS83" s="62">
        <f t="shared" si="71"/>
        <v>875.05711225878372</v>
      </c>
      <c r="DT83" s="62">
        <f ca="1">AVERAGE(OFFSET($DS$3,0,0,'Données projet'!$E$14+1,1))-AVERAGE(OFFSET($H$3,0,0,'Données projet'!$E$14+1,1))</f>
        <v>404.20764079465965</v>
      </c>
      <c r="DU83" s="62">
        <f t="shared" si="98"/>
        <v>243.23852967152732</v>
      </c>
      <c r="DV83" s="16">
        <f>IF(ISNA(VLOOKUP(A83,'Données projet'!$A$165:$I$185,3,0)),0,VLOOKUP(A83,'Données projet'!$A$165:$I$185,3,0))</f>
        <v>12</v>
      </c>
      <c r="DW83" s="16">
        <f>IF(ISNA(VLOOKUP(A83,'Données projet'!$A$165:$I$185,4,0)),0,VLOOKUP(A83,'Données projet'!$A$165:$I$185,4,0))</f>
        <v>21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5.997666877373114E-7</v>
      </c>
      <c r="ED83" s="24">
        <f t="shared" si="72"/>
        <v>5.997666877373114E-7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439.06700232017681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2.2201920674887092</v>
      </c>
      <c r="AB84" s="23">
        <f>EXP(-LN(2)/2)*AB83+(1-EXP(-LN(2)/2))/(LN(2)/2)*V84*Y84*VLOOKUP('Données projet'!$B$9,Paramètres!$A$1:$I$89,3,0)*0.475*44/12</f>
        <v>3.1420000663787025E-7</v>
      </c>
      <c r="AC84" s="24">
        <f t="shared" si="57"/>
        <v>2.2201923816887157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396.92963589781414</v>
      </c>
      <c r="AO84" s="62">
        <f t="shared" si="90"/>
        <v>294.38852181137639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4.4337866711430253E-14</v>
      </c>
      <c r="BF84" s="14">
        <f t="shared" si="91"/>
        <v>7.3222115536967035E-13</v>
      </c>
      <c r="BG84" s="22">
        <f t="shared" si="61"/>
        <v>1.3525069634579169E-12</v>
      </c>
      <c r="BH84" s="62">
        <f t="shared" si="62"/>
        <v>293.33333333333468</v>
      </c>
      <c r="BI84" s="62">
        <f ca="1">AVERAGE(OFFSET($BH$3,0,0,'Données projet'!$E$11+1,1))-AVERAGE(OFFSET($H$3,0,0,'Données projet'!$E$11+1,1))</f>
        <v>288.82868507674738</v>
      </c>
      <c r="BJ84" s="62">
        <f t="shared" si="92"/>
        <v>283.48738729114024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1.6886644917283928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1.6886644917283928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405.09126081846171</v>
      </c>
      <c r="CE84" s="62">
        <f t="shared" si="94"/>
        <v>534.22295841722166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0.87632775222723813</v>
      </c>
      <c r="CL84" s="23">
        <f>EXP(-LN(2)/25)*CL83+(1-EXP(-LN(2)/25))/(LN(2)/25)*Calculateur!CG84*Calculateur!CI84*VLOOKUP('Données projet'!$B$12,Paramètres!$A$1:$I$89,3,0)*0.475*44/12</f>
        <v>2.1196863434854243</v>
      </c>
      <c r="CM84" s="23">
        <f>EXP(-LN(2)/2)*CM83+(1-EXP(-LN(2)/2))/(LN(2)/2)*CG84*CJ84*VLOOKUP('Données projet'!$B$12,Paramètres!$A$1:$I$89,3,0)*0.475*44/12</f>
        <v>7.7963296121277267E-9</v>
      </c>
      <c r="CN84" s="24">
        <f t="shared" si="66"/>
        <v>2.9960141035089922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298.8</v>
      </c>
      <c r="CU84" s="18">
        <f>CT84*VLOOKUP('Données projet'!$B$13,Paramètres!$A$1:$I$89,3,0)*VLOOKUP('Données projet'!$B$13,Paramètres!$A$1:$I$89,5,0)</f>
        <v>288.99936000000002</v>
      </c>
      <c r="CV84" s="14">
        <f t="shared" si="95"/>
        <v>68.86531667529006</v>
      </c>
      <c r="CW84" s="22">
        <f t="shared" si="67"/>
        <v>623.2809785427969</v>
      </c>
      <c r="CX84" s="62">
        <f t="shared" si="68"/>
        <v>916.61431187613016</v>
      </c>
      <c r="CY84" s="62">
        <f ca="1">AVERAGE(OFFSET($CX$3,0,0,'Données projet'!$E$13+1,1))-AVERAGE(OFFSET($H$3,0,0,'Données projet'!$E$13+1,1))</f>
        <v>466.4945858005575</v>
      </c>
      <c r="CZ84" s="62">
        <f t="shared" si="96"/>
        <v>294.45557293177131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2.3733087617982767</v>
      </c>
      <c r="DH84" s="23">
        <f>EXP(-LN(2)/2)*DH83+(1-EXP(-LN(2)/2))/(LN(2)/2)*DB84*DE84*VLOOKUP('Données projet'!$B$13,Paramètres!$A$1:$I$89,3,0)*0.475*44/12</f>
        <v>3.3586897261289661E-7</v>
      </c>
      <c r="DI84" s="24">
        <f t="shared" si="69"/>
        <v>2.3733090976672493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267.60000000000008</v>
      </c>
      <c r="DP84" s="18">
        <f>DO84*VLOOKUP('Données projet'!$B$14,Paramètres!$A$1:$I$89,3,0)*VLOOKUP('Données projet'!$B$14,Paramètres!$A$1:$I$89,5,0)</f>
        <v>254.64816000000008</v>
      </c>
      <c r="DQ84" s="14">
        <f t="shared" si="97"/>
        <v>61.580204695956198</v>
      </c>
      <c r="DR84" s="22">
        <f t="shared" si="70"/>
        <v>550.76440184545709</v>
      </c>
      <c r="DS84" s="62">
        <f t="shared" si="71"/>
        <v>844.09773517879034</v>
      </c>
      <c r="DT84" s="62">
        <f ca="1">AVERAGE(OFFSET($DS$3,0,0,'Données projet'!$E$14+1,1))-AVERAGE(OFFSET($H$3,0,0,'Données projet'!$E$14+1,1))</f>
        <v>404.20764079465965</v>
      </c>
      <c r="DU84" s="62">
        <f t="shared" si="98"/>
        <v>243.23852967152732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4.2409909202884744E-7</v>
      </c>
      <c r="ED84" s="24">
        <f t="shared" si="72"/>
        <v>4.2409909202884744E-7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439.06700232017681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2.1594807986484041</v>
      </c>
      <c r="AB85" s="23">
        <f>EXP(-LN(2)/2)*AB84+(1-EXP(-LN(2)/2))/(LN(2)/2)*V85*Y85*VLOOKUP('Données projet'!$B$9,Paramètres!$A$1:$I$89,3,0)*0.475*44/12</f>
        <v>2.221729553424963E-7</v>
      </c>
      <c r="AC85" s="24">
        <f t="shared" si="57"/>
        <v>2.1594810208213593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396.92963589781414</v>
      </c>
      <c r="AO85" s="62">
        <f t="shared" si="90"/>
        <v>294.38852181137639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4.4337866711430253E-14</v>
      </c>
      <c r="BF85" s="14">
        <f t="shared" si="91"/>
        <v>7.3222115536967035E-13</v>
      </c>
      <c r="BG85" s="22">
        <f t="shared" si="61"/>
        <v>1.3525069634579169E-12</v>
      </c>
      <c r="BH85" s="62">
        <f t="shared" si="62"/>
        <v>293.33333333333468</v>
      </c>
      <c r="BI85" s="62">
        <f ca="1">AVERAGE(OFFSET($BH$3,0,0,'Données projet'!$E$11+1,1))-AVERAGE(OFFSET($H$3,0,0,'Données projet'!$E$11+1,1))</f>
        <v>288.82868507674738</v>
      </c>
      <c r="BJ85" s="62">
        <f t="shared" si="92"/>
        <v>283.48738729114024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1.6424878723990739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1.6424878723990739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405.09126081846171</v>
      </c>
      <c r="CE85" s="62">
        <f t="shared" si="94"/>
        <v>534.22295841722166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0.85914349951321267</v>
      </c>
      <c r="CL85" s="23">
        <f>EXP(-LN(2)/25)*CL84+(1-EXP(-LN(2)/25))/(LN(2)/25)*Calculateur!CG85*Calculateur!CI85*VLOOKUP('Données projet'!$B$12,Paramètres!$A$1:$I$89,3,0)*0.475*44/12</f>
        <v>2.0617234089533554</v>
      </c>
      <c r="CM85" s="23">
        <f>EXP(-LN(2)/2)*CM84+(1-EXP(-LN(2)/2))/(LN(2)/2)*CG85*CJ85*VLOOKUP('Données projet'!$B$12,Paramètres!$A$1:$I$89,3,0)*0.475*44/12</f>
        <v>5.5128375371010016E-9</v>
      </c>
      <c r="CN85" s="24">
        <f t="shared" si="66"/>
        <v>2.9208669139794057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305.60000000000002</v>
      </c>
      <c r="CU85" s="18">
        <f>CT85*VLOOKUP('Données projet'!$B$13,Paramètres!$A$1:$I$89,3,0)*VLOOKUP('Données projet'!$B$13,Paramètres!$A$1:$I$89,5,0)</f>
        <v>295.57632000000001</v>
      </c>
      <c r="CV85" s="14">
        <f t="shared" si="95"/>
        <v>70.24828996461811</v>
      </c>
      <c r="CW85" s="22">
        <f t="shared" si="67"/>
        <v>637.1445290217099</v>
      </c>
      <c r="CX85" s="62">
        <f t="shared" si="68"/>
        <v>930.47786235504327</v>
      </c>
      <c r="CY85" s="62">
        <f ca="1">AVERAGE(OFFSET($CX$3,0,0,'Données projet'!$E$13+1,1))-AVERAGE(OFFSET($H$3,0,0,'Données projet'!$E$13+1,1))</f>
        <v>466.4945858005575</v>
      </c>
      <c r="CZ85" s="62">
        <f t="shared" si="96"/>
        <v>294.45557293177131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2.3084105089000193</v>
      </c>
      <c r="DH85" s="23">
        <f>EXP(-LN(2)/2)*DH84+(1-EXP(-LN(2)/2))/(LN(2)/2)*DB85*DE85*VLOOKUP('Données projet'!$B$13,Paramètres!$A$1:$I$89,3,0)*0.475*44/12</f>
        <v>2.3749522812473802E-7</v>
      </c>
      <c r="DI85" s="24">
        <f t="shared" si="69"/>
        <v>2.3084107463952472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273.2000000000001</v>
      </c>
      <c r="DP85" s="18">
        <f>DO85*VLOOKUP('Données projet'!$B$14,Paramètres!$A$1:$I$89,3,0)*VLOOKUP('Données projet'!$B$14,Paramètres!$A$1:$I$89,5,0)</f>
        <v>259.97712000000013</v>
      </c>
      <c r="DQ85" s="14">
        <f t="shared" si="97"/>
        <v>62.717500839785117</v>
      </c>
      <c r="DR85" s="22">
        <f t="shared" si="70"/>
        <v>562.0264646292926</v>
      </c>
      <c r="DS85" s="62">
        <f t="shared" si="71"/>
        <v>855.35979796262586</v>
      </c>
      <c r="DT85" s="62">
        <f ca="1">AVERAGE(OFFSET($DS$3,0,0,'Données projet'!$E$14+1,1))-AVERAGE(OFFSET($H$3,0,0,'Données projet'!$E$14+1,1))</f>
        <v>404.20764079465965</v>
      </c>
      <c r="DU85" s="62">
        <f t="shared" si="98"/>
        <v>243.23852967152732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2.998833438686557E-7</v>
      </c>
      <c r="ED85" s="24">
        <f t="shared" si="72"/>
        <v>2.998833438686557E-7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439.06700232017681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2.1004296826472038</v>
      </c>
      <c r="AB86" s="23">
        <f>EXP(-LN(2)/2)*AB85+(1-EXP(-LN(2)/2))/(LN(2)/2)*V86*Y86*VLOOKUP('Données projet'!$B$9,Paramètres!$A$1:$I$89,3,0)*0.475*44/12</f>
        <v>1.5710000331893512E-7</v>
      </c>
      <c r="AC86" s="24">
        <f t="shared" si="57"/>
        <v>2.100429839747207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396.92963589781414</v>
      </c>
      <c r="AO86" s="62">
        <f t="shared" si="90"/>
        <v>294.38852181137639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4.4337866711430253E-14</v>
      </c>
      <c r="BF86" s="14">
        <f t="shared" si="91"/>
        <v>7.3222115536967035E-13</v>
      </c>
      <c r="BG86" s="22">
        <f t="shared" si="61"/>
        <v>1.3525069634579169E-12</v>
      </c>
      <c r="BH86" s="62">
        <f t="shared" si="62"/>
        <v>293.33333333333468</v>
      </c>
      <c r="BI86" s="62">
        <f ca="1">AVERAGE(OFFSET($BH$3,0,0,'Données projet'!$E$11+1,1))-AVERAGE(OFFSET($H$3,0,0,'Données projet'!$E$11+1,1))</f>
        <v>288.82868507674738</v>
      </c>
      <c r="BJ86" s="62">
        <f t="shared" si="92"/>
        <v>283.48738729114024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1.5975739551536379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1.5975739551536379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405.09126081846171</v>
      </c>
      <c r="CE86" s="62">
        <f t="shared" si="94"/>
        <v>534.22295841722166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0.84229621951355005</v>
      </c>
      <c r="CL86" s="23">
        <f>EXP(-LN(2)/25)*CL85+(1-EXP(-LN(2)/25))/(LN(2)/25)*Calculateur!CG86*Calculateur!CI86*VLOOKUP('Données projet'!$B$12,Paramètres!$A$1:$I$89,3,0)*0.475*44/12</f>
        <v>2.005345473914204</v>
      </c>
      <c r="CM86" s="23">
        <f>EXP(-LN(2)/2)*CM85+(1-EXP(-LN(2)/2))/(LN(2)/2)*CG86*CJ86*VLOOKUP('Données projet'!$B$12,Paramètres!$A$1:$I$89,3,0)*0.475*44/12</f>
        <v>3.8981648060638634E-9</v>
      </c>
      <c r="CN86" s="24">
        <f t="shared" si="66"/>
        <v>2.8476416973259191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312.40000000000003</v>
      </c>
      <c r="CU86" s="18">
        <f>CT86*VLOOKUP('Données projet'!$B$13,Paramètres!$A$1:$I$89,3,0)*VLOOKUP('Données projet'!$B$13,Paramètres!$A$1:$I$89,5,0)</f>
        <v>302.15328000000005</v>
      </c>
      <c r="CV86" s="14">
        <f t="shared" si="95"/>
        <v>71.627685603423203</v>
      </c>
      <c r="CW86" s="22">
        <f t="shared" si="67"/>
        <v>651.00184842596218</v>
      </c>
      <c r="CX86" s="62">
        <f t="shared" si="68"/>
        <v>944.33518175929544</v>
      </c>
      <c r="CY86" s="62">
        <f ca="1">AVERAGE(OFFSET($CX$3,0,0,'Données projet'!$E$13+1,1))-AVERAGE(OFFSET($H$3,0,0,'Données projet'!$E$13+1,1))</f>
        <v>466.4945858005575</v>
      </c>
      <c r="CZ86" s="62">
        <f t="shared" si="96"/>
        <v>294.45557293177131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2.2452869021401156</v>
      </c>
      <c r="DH86" s="23">
        <f>EXP(-LN(2)/2)*DH85+(1-EXP(-LN(2)/2))/(LN(2)/2)*DB86*DE86*VLOOKUP('Données projet'!$B$13,Paramètres!$A$1:$I$89,3,0)*0.475*44/12</f>
        <v>1.6793448630644833E-7</v>
      </c>
      <c r="DI86" s="24">
        <f t="shared" si="69"/>
        <v>2.2452870700746019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278.80000000000013</v>
      </c>
      <c r="DP86" s="18">
        <f>DO86*VLOOKUP('Données projet'!$B$14,Paramètres!$A$1:$I$89,3,0)*VLOOKUP('Données projet'!$B$14,Paramètres!$A$1:$I$89,5,0)</f>
        <v>265.30608000000012</v>
      </c>
      <c r="DQ86" s="14">
        <f t="shared" si="97"/>
        <v>63.852086492243345</v>
      </c>
      <c r="DR86" s="22">
        <f t="shared" si="70"/>
        <v>573.28380664065742</v>
      </c>
      <c r="DS86" s="62">
        <f t="shared" si="71"/>
        <v>866.61713997399079</v>
      </c>
      <c r="DT86" s="62">
        <f ca="1">AVERAGE(OFFSET($DS$3,0,0,'Données projet'!$E$14+1,1))-AVERAGE(OFFSET($H$3,0,0,'Données projet'!$E$14+1,1))</f>
        <v>404.20764079465965</v>
      </c>
      <c r="DU86" s="62">
        <f t="shared" si="98"/>
        <v>243.23852967152732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2.1204954601442372E-7</v>
      </c>
      <c r="ED86" s="24">
        <f t="shared" si="72"/>
        <v>2.1204954601442372E-7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439.06700232017681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2.0429933225184196</v>
      </c>
      <c r="AB87" s="23">
        <f>EXP(-LN(2)/2)*AB86+(1-EXP(-LN(2)/2))/(LN(2)/2)*V87*Y87*VLOOKUP('Données projet'!$B$9,Paramètres!$A$1:$I$89,3,0)*0.475*44/12</f>
        <v>1.1108647767124815E-7</v>
      </c>
      <c r="AC87" s="24">
        <f t="shared" si="57"/>
        <v>2.0429934336048974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396.92963589781414</v>
      </c>
      <c r="AO87" s="62">
        <f t="shared" si="90"/>
        <v>294.38852181137639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4.4337866711430253E-14</v>
      </c>
      <c r="BF87" s="14">
        <f t="shared" si="91"/>
        <v>7.3222115536967035E-13</v>
      </c>
      <c r="BG87" s="22">
        <f t="shared" si="61"/>
        <v>1.3525069634579169E-12</v>
      </c>
      <c r="BH87" s="62">
        <f t="shared" si="62"/>
        <v>293.33333333333468</v>
      </c>
      <c r="BI87" s="62">
        <f ca="1">AVERAGE(OFFSET($BH$3,0,0,'Données projet'!$E$11+1,1))-AVERAGE(OFFSET($H$3,0,0,'Données projet'!$E$11+1,1))</f>
        <v>288.82868507674738</v>
      </c>
      <c r="BJ87" s="62">
        <f t="shared" si="92"/>
        <v>283.48738729114024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1.5538882113371986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1.5538882113371986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405.09126081846171</v>
      </c>
      <c r="CE87" s="62">
        <f t="shared" si="94"/>
        <v>534.22295841722166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0.82577930439885461</v>
      </c>
      <c r="CL87" s="23">
        <f>EXP(-LN(2)/25)*CL86+(1-EXP(-LN(2)/25))/(LN(2)/25)*Calculateur!CG87*Calculateur!CI87*VLOOKUP('Données projet'!$B$12,Paramètres!$A$1:$I$89,3,0)*0.475*44/12</f>
        <v>1.9505091964734849</v>
      </c>
      <c r="CM87" s="23">
        <f>EXP(-LN(2)/2)*CM86+(1-EXP(-LN(2)/2))/(LN(2)/2)*CG87*CJ87*VLOOKUP('Données projet'!$B$12,Paramètres!$A$1:$I$89,3,0)*0.475*44/12</f>
        <v>2.7564187685505008E-9</v>
      </c>
      <c r="CN87" s="24">
        <f t="shared" si="66"/>
        <v>2.7762885036287579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319.20000000000005</v>
      </c>
      <c r="CU87" s="18">
        <f>CT87*VLOOKUP('Données projet'!$B$13,Paramètres!$A$1:$I$89,3,0)*VLOOKUP('Données projet'!$B$13,Paramètres!$A$1:$I$89,5,0)</f>
        <v>308.73024000000004</v>
      </c>
      <c r="CV87" s="14">
        <f t="shared" si="95"/>
        <v>73.003590434710574</v>
      </c>
      <c r="CW87" s="22">
        <f t="shared" si="67"/>
        <v>664.85308800712107</v>
      </c>
      <c r="CX87" s="62">
        <f t="shared" si="68"/>
        <v>958.18642134045444</v>
      </c>
      <c r="CY87" s="62">
        <f ca="1">AVERAGE(OFFSET($CX$3,0,0,'Données projet'!$E$13+1,1))-AVERAGE(OFFSET($H$3,0,0,'Données projet'!$E$13+1,1))</f>
        <v>466.4945858005575</v>
      </c>
      <c r="CZ87" s="62">
        <f t="shared" si="96"/>
        <v>294.45557293177131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2.1838894137265878</v>
      </c>
      <c r="DH87" s="23">
        <f>EXP(-LN(2)/2)*DH86+(1-EXP(-LN(2)/2))/(LN(2)/2)*DB87*DE87*VLOOKUP('Données projet'!$B$13,Paramètres!$A$1:$I$89,3,0)*0.475*44/12</f>
        <v>1.1874761406236904E-7</v>
      </c>
      <c r="DI87" s="24">
        <f t="shared" si="69"/>
        <v>2.1838895324742018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284.40000000000015</v>
      </c>
      <c r="DP87" s="18">
        <f>DO87*VLOOKUP('Données projet'!$B$14,Paramètres!$A$1:$I$89,3,0)*VLOOKUP('Données projet'!$B$14,Paramètres!$A$1:$I$89,5,0)</f>
        <v>270.63504000000017</v>
      </c>
      <c r="DQ87" s="14">
        <f t="shared" si="97"/>
        <v>64.984022370912342</v>
      </c>
      <c r="DR87" s="22">
        <f t="shared" si="70"/>
        <v>584.53653362933926</v>
      </c>
      <c r="DS87" s="62">
        <f t="shared" si="71"/>
        <v>877.86986696267263</v>
      </c>
      <c r="DT87" s="62">
        <f ca="1">AVERAGE(OFFSET($DS$3,0,0,'Données projet'!$E$14+1,1))-AVERAGE(OFFSET($H$3,0,0,'Données projet'!$E$14+1,1))</f>
        <v>404.20764079465965</v>
      </c>
      <c r="DU87" s="62">
        <f t="shared" si="98"/>
        <v>243.23852967152732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1.4994167193432785E-7</v>
      </c>
      <c r="ED87" s="24">
        <f t="shared" si="72"/>
        <v>1.4994167193432785E-7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439.06700232017681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1.987127562677804</v>
      </c>
      <c r="AB88" s="23">
        <f>EXP(-LN(2)/2)*AB87+(1-EXP(-LN(2)/2))/(LN(2)/2)*V88*Y88*VLOOKUP('Données projet'!$B$9,Paramètres!$A$1:$I$89,3,0)*0.475*44/12</f>
        <v>7.8550001659467562E-8</v>
      </c>
      <c r="AC88" s="24">
        <f t="shared" si="57"/>
        <v>1.9871276412278056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396.92963589781414</v>
      </c>
      <c r="AO88" s="62">
        <f t="shared" si="90"/>
        <v>294.38852181137639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4.4337866711430253E-14</v>
      </c>
      <c r="BF88" s="14">
        <f t="shared" si="91"/>
        <v>7.3222115536967035E-13</v>
      </c>
      <c r="BG88" s="22">
        <f t="shared" si="61"/>
        <v>1.3525069634579169E-12</v>
      </c>
      <c r="BH88" s="62">
        <f t="shared" si="62"/>
        <v>293.33333333333468</v>
      </c>
      <c r="BI88" s="62">
        <f ca="1">AVERAGE(OFFSET($BH$3,0,0,'Données projet'!$E$11+1,1))-AVERAGE(OFFSET($H$3,0,0,'Données projet'!$E$11+1,1))</f>
        <v>288.82868507674738</v>
      </c>
      <c r="BJ88" s="62">
        <f t="shared" si="92"/>
        <v>283.48738729114024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1.5113970564827532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1.5113970564827532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405.09126081846171</v>
      </c>
      <c r="CE88" s="62">
        <f t="shared" si="94"/>
        <v>534.22295841722166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0.80958627591523491</v>
      </c>
      <c r="CL88" s="23">
        <f>EXP(-LN(2)/25)*CL87+(1-EXP(-LN(2)/25))/(LN(2)/25)*Calculateur!CG88*Calculateur!CI88*VLOOKUP('Données projet'!$B$12,Paramètres!$A$1:$I$89,3,0)*0.475*44/12</f>
        <v>1.8971724199230968</v>
      </c>
      <c r="CM88" s="23">
        <f>EXP(-LN(2)/2)*CM87+(1-EXP(-LN(2)/2))/(LN(2)/2)*CG88*CJ88*VLOOKUP('Données projet'!$B$12,Paramètres!$A$1:$I$89,3,0)*0.475*44/12</f>
        <v>1.9490824030319317E-9</v>
      </c>
      <c r="CN88" s="24">
        <f t="shared" si="66"/>
        <v>2.7067586977874138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326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326.00000000000006</v>
      </c>
      <c r="CU88" s="18">
        <f>CT88*VLOOKUP('Données projet'!$B$13,Paramètres!$A$1:$I$89,3,0)*VLOOKUP('Données projet'!$B$13,Paramètres!$A$1:$I$89,5,0)</f>
        <v>315.30720000000008</v>
      </c>
      <c r="CV88" s="14">
        <f t="shared" si="95"/>
        <v>74.376087390025049</v>
      </c>
      <c r="CW88" s="22">
        <f t="shared" si="67"/>
        <v>678.69839220429378</v>
      </c>
      <c r="CX88" s="62">
        <f t="shared" si="68"/>
        <v>972.03172553762715</v>
      </c>
      <c r="CY88" s="62">
        <f ca="1">AVERAGE(OFFSET($CX$3,0,0,'Données projet'!$E$13+1,1))-AVERAGE(OFFSET($H$3,0,0,'Données projet'!$E$13+1,1))</f>
        <v>466.4945858005575</v>
      </c>
      <c r="CZ88" s="62">
        <f t="shared" si="96"/>
        <v>294.45557293177131</v>
      </c>
      <c r="DA88" s="16">
        <f>IF(ISNA(VLOOKUP(A88,'Données projet'!$A$139:$I$159,3,0)),0,VLOOKUP(A88,'Données projet'!$A$139:$I$159,3,0))</f>
        <v>14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2.1241708428624815</v>
      </c>
      <c r="DH88" s="23">
        <f>EXP(-LN(2)/2)*DH87+(1-EXP(-LN(2)/2))/(LN(2)/2)*DB88*DE88*VLOOKUP('Données projet'!$B$13,Paramètres!$A$1:$I$89,3,0)*0.475*44/12</f>
        <v>8.3967243153224179E-8</v>
      </c>
      <c r="DI88" s="24">
        <f t="shared" si="69"/>
        <v>2.1241709268297244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290</v>
      </c>
      <c r="DM88" s="13">
        <f>VLOOKUP(A88,'Données projet'!$A$165:$I$185,9,0)</f>
        <v>5.6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290.00000000000017</v>
      </c>
      <c r="DP88" s="18">
        <f>DO88*VLOOKUP('Données projet'!$B$14,Paramètres!$A$1:$I$89,3,0)*VLOOKUP('Données projet'!$B$14,Paramètres!$A$1:$I$89,5,0)</f>
        <v>275.96400000000017</v>
      </c>
      <c r="DQ88" s="14">
        <f t="shared" si="97"/>
        <v>66.113366665488911</v>
      </c>
      <c r="DR88" s="22">
        <f t="shared" si="70"/>
        <v>595.78474694239344</v>
      </c>
      <c r="DS88" s="62">
        <f t="shared" si="71"/>
        <v>889.1180802757267</v>
      </c>
      <c r="DT88" s="62">
        <f ca="1">AVERAGE(OFFSET($DS$3,0,0,'Données projet'!$E$14+1,1))-AVERAGE(OFFSET($H$3,0,0,'Données projet'!$E$14+1,1))</f>
        <v>404.20764079465965</v>
      </c>
      <c r="DU88" s="62">
        <f t="shared" si="98"/>
        <v>243.23852967152732</v>
      </c>
      <c r="DV88" s="16">
        <f>IF(ISNA(VLOOKUP(A88,'Données projet'!$A$165:$I$185,3,0)),0,VLOOKUP(A88,'Données projet'!$A$165:$I$185,3,0))</f>
        <v>13</v>
      </c>
      <c r="DW88" s="16">
        <f>IF(ISNA(VLOOKUP(A88,'Données projet'!$A$165:$I$185,4,0)),0,VLOOKUP(A88,'Données projet'!$A$165:$I$185,4,0))</f>
        <v>21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1.0602477300721186E-7</v>
      </c>
      <c r="ED88" s="24">
        <f t="shared" si="72"/>
        <v>1.0602477300721186E-7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439.06700232017681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1.9327894549778826</v>
      </c>
      <c r="AB89" s="23">
        <f>EXP(-LN(2)/2)*AB88+(1-EXP(-LN(2)/2))/(LN(2)/2)*V89*Y89*VLOOKUP('Données projet'!$B$9,Paramètres!$A$1:$I$89,3,0)*0.475*44/12</f>
        <v>5.5543238835624075E-8</v>
      </c>
      <c r="AC89" s="24">
        <f t="shared" si="57"/>
        <v>1.9327895105211215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396.92963589781414</v>
      </c>
      <c r="AO89" s="62">
        <f t="shared" si="90"/>
        <v>294.38852181137639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4.4337866711430253E-14</v>
      </c>
      <c r="BF89" s="14">
        <f t="shared" si="91"/>
        <v>7.3222115536967035E-13</v>
      </c>
      <c r="BG89" s="22">
        <f t="shared" si="61"/>
        <v>1.3525069634579169E-12</v>
      </c>
      <c r="BH89" s="62">
        <f t="shared" si="62"/>
        <v>293.33333333333468</v>
      </c>
      <c r="BI89" s="62">
        <f ca="1">AVERAGE(OFFSET($BH$3,0,0,'Données projet'!$E$11+1,1))-AVERAGE(OFFSET($H$3,0,0,'Données projet'!$E$11+1,1))</f>
        <v>288.82868507674738</v>
      </c>
      <c r="BJ89" s="62">
        <f t="shared" si="92"/>
        <v>283.48738729114024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1.4700678244923155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1.4700678244923155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405.09126081846171</v>
      </c>
      <c r="CE89" s="62">
        <f t="shared" si="94"/>
        <v>534.22295841722166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0.7937107828434069</v>
      </c>
      <c r="CL89" s="23">
        <f>EXP(-LN(2)/25)*CL88+(1-EXP(-LN(2)/25))/(LN(2)/25)*Calculateur!CG89*Calculateur!CI89*VLOOKUP('Données projet'!$B$12,Paramètres!$A$1:$I$89,3,0)*0.475*44/12</f>
        <v>1.8452941403323382</v>
      </c>
      <c r="CM89" s="23">
        <f>EXP(-LN(2)/2)*CM88+(1-EXP(-LN(2)/2))/(LN(2)/2)*CG89*CJ89*VLOOKUP('Données projet'!$B$12,Paramètres!$A$1:$I$89,3,0)*0.475*44/12</f>
        <v>1.3782093842752504E-9</v>
      </c>
      <c r="CN89" s="24">
        <f t="shared" si="66"/>
        <v>2.6390049245539546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6.4</v>
      </c>
      <c r="CT89" s="13">
        <f>IF('Données projet'!$A$140&gt;35,CT88+CS89-DB88,IF(A89&lt;'Données projet'!$A$140,$CQ$205^A89,IF(A89='Données projet'!$A$140,'Données projet'!$B$140,CT88+CS89-DB88)))</f>
        <v>304.40000000000003</v>
      </c>
      <c r="CU89" s="18">
        <f>CT89*VLOOKUP('Données projet'!$B$13,Paramètres!$A$1:$I$89,3,0)*VLOOKUP('Données projet'!$B$13,Paramètres!$A$1:$I$89,5,0)</f>
        <v>294.41568000000001</v>
      </c>
      <c r="CV89" s="14">
        <f t="shared" si="95"/>
        <v>70.004498360393455</v>
      </c>
      <c r="CW89" s="22">
        <f t="shared" si="67"/>
        <v>634.69847731101868</v>
      </c>
      <c r="CX89" s="62">
        <f t="shared" si="68"/>
        <v>928.03181064435194</v>
      </c>
      <c r="CY89" s="62">
        <f ca="1">AVERAGE(OFFSET($CX$3,0,0,'Données projet'!$E$13+1,1))-AVERAGE(OFFSET($H$3,0,0,'Données projet'!$E$13+1,1))</f>
        <v>466.4945858005575</v>
      </c>
      <c r="CZ89" s="62">
        <f t="shared" si="96"/>
        <v>294.45557293177131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2.0660852794591174</v>
      </c>
      <c r="DH89" s="23">
        <f>EXP(-LN(2)/2)*DH88+(1-EXP(-LN(2)/2))/(LN(2)/2)*DB89*DE89*VLOOKUP('Données projet'!$B$13,Paramètres!$A$1:$I$89,3,0)*0.475*44/12</f>
        <v>5.9373807031184525E-8</v>
      </c>
      <c r="DI89" s="24">
        <f t="shared" si="69"/>
        <v>2.0660853388329246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5.4</v>
      </c>
      <c r="DO89" s="13">
        <f>IF('Données projet'!$A$166&gt;35,DO88+DN89-DW88,IF(A89&lt;'Données projet'!$A$166,$DL$205^A89,IF(A89='Données projet'!$A$166,'Données projet'!$B$166,DO88+DN89-DW88)))</f>
        <v>274.40000000000015</v>
      </c>
      <c r="DP89" s="18">
        <f>DO89*VLOOKUP('Données projet'!$B$14,Paramètres!$A$1:$I$89,3,0)*VLOOKUP('Données projet'!$B$14,Paramètres!$A$1:$I$89,5,0)</f>
        <v>261.11904000000015</v>
      </c>
      <c r="DQ89" s="14">
        <f t="shared" si="97"/>
        <v>62.960852407139683</v>
      </c>
      <c r="DR89" s="22">
        <f t="shared" si="70"/>
        <v>564.43914594243518</v>
      </c>
      <c r="DS89" s="62">
        <f t="shared" si="71"/>
        <v>857.77247927576855</v>
      </c>
      <c r="DT89" s="62">
        <f ca="1">AVERAGE(OFFSET($DS$3,0,0,'Données projet'!$E$14+1,1))-AVERAGE(OFFSET($H$3,0,0,'Données projet'!$E$14+1,1))</f>
        <v>404.20764079465965</v>
      </c>
      <c r="DU89" s="62">
        <f t="shared" si="98"/>
        <v>243.23852967152732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7.4970835967163925E-8</v>
      </c>
      <c r="ED89" s="24">
        <f t="shared" si="72"/>
        <v>7.4970835967163925E-8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439.06700232017681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1.8799372256905325</v>
      </c>
      <c r="AB90" s="23">
        <f>EXP(-LN(2)/2)*AB89+(1-EXP(-LN(2)/2))/(LN(2)/2)*V90*Y90*VLOOKUP('Données projet'!$B$9,Paramètres!$A$1:$I$89,3,0)*0.475*44/12</f>
        <v>3.9275000829733781E-8</v>
      </c>
      <c r="AC90" s="24">
        <f t="shared" si="57"/>
        <v>1.8799372649655333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396.92963589781414</v>
      </c>
      <c r="AO90" s="62">
        <f t="shared" si="90"/>
        <v>294.38852181137639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4.4337866711430253E-14</v>
      </c>
      <c r="BF90" s="14">
        <f t="shared" si="91"/>
        <v>7.3222115536967035E-13</v>
      </c>
      <c r="BG90" s="22">
        <f t="shared" si="61"/>
        <v>1.3525069634579169E-12</v>
      </c>
      <c r="BH90" s="62">
        <f t="shared" si="62"/>
        <v>293.33333333333468</v>
      </c>
      <c r="BI90" s="62">
        <f ca="1">AVERAGE(OFFSET($BH$3,0,0,'Données projet'!$E$11+1,1))-AVERAGE(OFFSET($H$3,0,0,'Données projet'!$E$11+1,1))</f>
        <v>288.82868507674738</v>
      </c>
      <c r="BJ90" s="62">
        <f t="shared" si="92"/>
        <v>283.48738729114024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1.4298687425240661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1.4298687425240661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405.09126081846171</v>
      </c>
      <c r="CE90" s="62">
        <f t="shared" si="94"/>
        <v>534.22295841722166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0.7781465985076228</v>
      </c>
      <c r="CL90" s="23">
        <f>EXP(-LN(2)/25)*CL89+(1-EXP(-LN(2)/25))/(LN(2)/25)*Calculateur!CG90*Calculateur!CI90*VLOOKUP('Données projet'!$B$12,Paramètres!$A$1:$I$89,3,0)*0.475*44/12</f>
        <v>1.794834475025149</v>
      </c>
      <c r="CM90" s="23">
        <f>EXP(-LN(2)/2)*CM89+(1-EXP(-LN(2)/2))/(LN(2)/2)*CG90*CJ90*VLOOKUP('Données projet'!$B$12,Paramètres!$A$1:$I$89,3,0)*0.475*44/12</f>
        <v>9.7454120151596584E-10</v>
      </c>
      <c r="CN90" s="24">
        <f t="shared" si="66"/>
        <v>2.5729810745073132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6.4</v>
      </c>
      <c r="CT90" s="13">
        <f>IF('Données projet'!$A$140&gt;35,CT89+CS90-DB89,IF(A90&lt;'Données projet'!$A$140,$CQ$205^A90,IF(A90='Données projet'!$A$140,'Données projet'!$B$140,CT89+CS90-DB89)))</f>
        <v>310.8</v>
      </c>
      <c r="CU90" s="18">
        <f>CT90*VLOOKUP('Données projet'!$B$13,Paramètres!$A$1:$I$89,3,0)*VLOOKUP('Données projet'!$B$13,Paramètres!$A$1:$I$89,5,0)</f>
        <v>300.60576000000003</v>
      </c>
      <c r="CV90" s="14">
        <f t="shared" si="95"/>
        <v>71.303439126782422</v>
      </c>
      <c r="CW90" s="22">
        <f t="shared" si="67"/>
        <v>647.74185514581279</v>
      </c>
      <c r="CX90" s="62">
        <f t="shared" si="68"/>
        <v>941.07518847914616</v>
      </c>
      <c r="CY90" s="62">
        <f ca="1">AVERAGE(OFFSET($CX$3,0,0,'Données projet'!$E$13+1,1))-AVERAGE(OFFSET($H$3,0,0,'Données projet'!$E$13+1,1))</f>
        <v>466.4945858005575</v>
      </c>
      <c r="CZ90" s="62">
        <f t="shared" si="96"/>
        <v>294.45557293177131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2.0095880688416052</v>
      </c>
      <c r="DH90" s="23">
        <f>EXP(-LN(2)/2)*DH89+(1-EXP(-LN(2)/2))/(LN(2)/2)*DB90*DE90*VLOOKUP('Données projet'!$B$13,Paramètres!$A$1:$I$89,3,0)*0.475*44/12</f>
        <v>4.1983621576612096E-8</v>
      </c>
      <c r="DI90" s="24">
        <f t="shared" si="69"/>
        <v>2.0095881108252267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5.4</v>
      </c>
      <c r="DO90" s="13">
        <f>IF('Données projet'!$A$166&gt;35,DO89+DN90-DW89,IF(A90&lt;'Données projet'!$A$166,$DL$205^A90,IF(A90='Données projet'!$A$166,'Données projet'!$B$166,DO89+DN90-DW89)))</f>
        <v>279.80000000000013</v>
      </c>
      <c r="DP90" s="18">
        <f>DO90*VLOOKUP('Données projet'!$B$14,Paramètres!$A$1:$I$89,3,0)*VLOOKUP('Données projet'!$B$14,Paramètres!$A$1:$I$89,5,0)</f>
        <v>266.25768000000016</v>
      </c>
      <c r="DQ90" s="14">
        <f t="shared" si="97"/>
        <v>64.054410529549628</v>
      </c>
      <c r="DR90" s="22">
        <f t="shared" si="70"/>
        <v>575.29355767229924</v>
      </c>
      <c r="DS90" s="62">
        <f t="shared" si="71"/>
        <v>868.62689100563261</v>
      </c>
      <c r="DT90" s="62">
        <f ca="1">AVERAGE(OFFSET($DS$3,0,0,'Données projet'!$E$14+1,1))-AVERAGE(OFFSET($H$3,0,0,'Données projet'!$E$14+1,1))</f>
        <v>404.20764079465965</v>
      </c>
      <c r="DU90" s="62">
        <f t="shared" si="98"/>
        <v>243.23852967152732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5.3012386503605929E-8</v>
      </c>
      <c r="ED90" s="24">
        <f t="shared" si="72"/>
        <v>5.3012386503605929E-8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439.06700232017681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1.8285302433924229</v>
      </c>
      <c r="AB91" s="23">
        <f>EXP(-LN(2)/2)*AB90+(1-EXP(-LN(2)/2))/(LN(2)/2)*V91*Y91*VLOOKUP('Données projet'!$B$9,Paramètres!$A$1:$I$89,3,0)*0.475*44/12</f>
        <v>2.7771619417812037E-8</v>
      </c>
      <c r="AC91" s="24">
        <f t="shared" si="57"/>
        <v>1.8285302711640423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396.92963589781414</v>
      </c>
      <c r="AO91" s="62">
        <f t="shared" si="90"/>
        <v>294.38852181137639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4.4337866711430253E-14</v>
      </c>
      <c r="BF91" s="14">
        <f t="shared" si="91"/>
        <v>7.3222115536967035E-13</v>
      </c>
      <c r="BG91" s="22">
        <f t="shared" si="61"/>
        <v>1.3525069634579169E-12</v>
      </c>
      <c r="BH91" s="62">
        <f t="shared" si="62"/>
        <v>293.33333333333468</v>
      </c>
      <c r="BI91" s="62">
        <f ca="1">AVERAGE(OFFSET($BH$3,0,0,'Données projet'!$E$11+1,1))-AVERAGE(OFFSET($H$3,0,0,'Données projet'!$E$11+1,1))</f>
        <v>288.82868507674738</v>
      </c>
      <c r="BJ91" s="62">
        <f t="shared" si="92"/>
        <v>283.48738729114024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1.3907689065662163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1.3907689065662163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405.09126081846171</v>
      </c>
      <c r="CE91" s="62">
        <f t="shared" si="94"/>
        <v>534.22295841722166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0.76288761833344831</v>
      </c>
      <c r="CL91" s="23">
        <f>EXP(-LN(2)/25)*CL90+(1-EXP(-LN(2)/25))/(LN(2)/25)*Calculateur!CG91*Calculateur!CI91*VLOOKUP('Données projet'!$B$12,Paramètres!$A$1:$I$89,3,0)*0.475*44/12</f>
        <v>1.7457546319193435</v>
      </c>
      <c r="CM91" s="23">
        <f>EXP(-LN(2)/2)*CM90+(1-EXP(-LN(2)/2))/(LN(2)/2)*CG91*CJ91*VLOOKUP('Données projet'!$B$12,Paramètres!$A$1:$I$89,3,0)*0.475*44/12</f>
        <v>6.891046921376252E-10</v>
      </c>
      <c r="CN91" s="24">
        <f t="shared" si="66"/>
        <v>2.5086422509418966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6.4</v>
      </c>
      <c r="CT91" s="13">
        <f>IF('Données projet'!$A$140&gt;35,CT90+CS91-DB90,IF(A91&lt;'Données projet'!$A$140,$CQ$205^A91,IF(A91='Données projet'!$A$140,'Données projet'!$B$140,CT90+CS91-DB90)))</f>
        <v>317.2</v>
      </c>
      <c r="CU91" s="18">
        <f>CT91*VLOOKUP('Données projet'!$B$13,Paramètres!$A$1:$I$89,3,0)*VLOOKUP('Données projet'!$B$13,Paramètres!$A$1:$I$89,5,0)</f>
        <v>306.79584</v>
      </c>
      <c r="CV91" s="14">
        <f t="shared" si="95"/>
        <v>72.599269943528554</v>
      </c>
      <c r="CW91" s="22">
        <f t="shared" si="67"/>
        <v>660.77981648497882</v>
      </c>
      <c r="CX91" s="62">
        <f t="shared" si="68"/>
        <v>954.11314981831219</v>
      </c>
      <c r="CY91" s="62">
        <f ca="1">AVERAGE(OFFSET($CX$3,0,0,'Données projet'!$E$13+1,1))-AVERAGE(OFFSET($H$3,0,0,'Données projet'!$E$13+1,1))</f>
        <v>466.4945858005575</v>
      </c>
      <c r="CZ91" s="62">
        <f t="shared" si="96"/>
        <v>294.45557293177131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1.954635777419488</v>
      </c>
      <c r="DH91" s="23">
        <f>EXP(-LN(2)/2)*DH90+(1-EXP(-LN(2)/2))/(LN(2)/2)*DB91*DE91*VLOOKUP('Données projet'!$B$13,Paramètres!$A$1:$I$89,3,0)*0.475*44/12</f>
        <v>2.9686903515592266E-8</v>
      </c>
      <c r="DI91" s="24">
        <f t="shared" si="69"/>
        <v>1.9546358071063916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5.4</v>
      </c>
      <c r="DO91" s="13">
        <f>IF('Données projet'!$A$166&gt;35,DO90+DN91-DW90,IF(A91&lt;'Données projet'!$A$166,$DL$205^A91,IF(A91='Données projet'!$A$166,'Données projet'!$B$166,DO90+DN91-DW90)))</f>
        <v>285.2000000000001</v>
      </c>
      <c r="DP91" s="18">
        <f>DO91*VLOOKUP('Données projet'!$B$14,Paramètres!$A$1:$I$89,3,0)*VLOOKUP('Données projet'!$B$14,Paramètres!$A$1:$I$89,5,0)</f>
        <v>271.39632000000012</v>
      </c>
      <c r="DQ91" s="14">
        <f t="shared" si="97"/>
        <v>65.145514611718923</v>
      </c>
      <c r="DR91" s="22">
        <f t="shared" si="70"/>
        <v>586.14369528207737</v>
      </c>
      <c r="DS91" s="62">
        <f t="shared" si="71"/>
        <v>879.47702861541075</v>
      </c>
      <c r="DT91" s="62">
        <f ca="1">AVERAGE(OFFSET($DS$3,0,0,'Données projet'!$E$14+1,1))-AVERAGE(OFFSET($H$3,0,0,'Données projet'!$E$14+1,1))</f>
        <v>404.20764079465965</v>
      </c>
      <c r="DU91" s="62">
        <f t="shared" si="98"/>
        <v>243.23852967152732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3.7485417983581962E-8</v>
      </c>
      <c r="ED91" s="24">
        <f t="shared" si="72"/>
        <v>3.7485417983581962E-8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439.06700232017681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1.7785289877286308</v>
      </c>
      <c r="AB92" s="23">
        <f>EXP(-LN(2)/2)*AB91+(1-EXP(-LN(2)/2))/(LN(2)/2)*V92*Y92*VLOOKUP('Données projet'!$B$9,Paramètres!$A$1:$I$89,3,0)*0.475*44/12</f>
        <v>1.963750041486689E-8</v>
      </c>
      <c r="AC92" s="24">
        <f t="shared" si="57"/>
        <v>1.7785290073661313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396.92963589781414</v>
      </c>
      <c r="AO92" s="62">
        <f t="shared" si="90"/>
        <v>294.38852181137639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4.4337866711430253E-14</v>
      </c>
      <c r="BF92" s="14">
        <f t="shared" si="91"/>
        <v>7.3222115536967035E-13</v>
      </c>
      <c r="BG92" s="22">
        <f t="shared" si="61"/>
        <v>1.3525069634579169E-12</v>
      </c>
      <c r="BH92" s="62">
        <f t="shared" si="62"/>
        <v>293.33333333333468</v>
      </c>
      <c r="BI92" s="62">
        <f ca="1">AVERAGE(OFFSET($BH$3,0,0,'Données projet'!$E$11+1,1))-AVERAGE(OFFSET($H$3,0,0,'Données projet'!$E$11+1,1))</f>
        <v>288.82868507674738</v>
      </c>
      <c r="BJ92" s="62">
        <f t="shared" si="92"/>
        <v>283.48738729114024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1.352738257678805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1.352738257678805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405.09126081846171</v>
      </c>
      <c r="CE92" s="62">
        <f t="shared" si="94"/>
        <v>534.22295841722166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0.74792785745343049</v>
      </c>
      <c r="CL92" s="23">
        <f>EXP(-LN(2)/25)*CL91+(1-EXP(-LN(2)/25))/(LN(2)/25)*Calculateur!CG92*Calculateur!CI92*VLOOKUP('Données projet'!$B$12,Paramètres!$A$1:$I$89,3,0)*0.475*44/12</f>
        <v>1.698016879704263</v>
      </c>
      <c r="CM92" s="23">
        <f>EXP(-LN(2)/2)*CM91+(1-EXP(-LN(2)/2))/(LN(2)/2)*CG92*CJ92*VLOOKUP('Données projet'!$B$12,Paramètres!$A$1:$I$89,3,0)*0.475*44/12</f>
        <v>4.8727060075798292E-10</v>
      </c>
      <c r="CN92" s="24">
        <f t="shared" si="66"/>
        <v>2.4459447376449641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6.4</v>
      </c>
      <c r="CT92" s="13">
        <f>IF('Données projet'!$A$140&gt;35,CT91+CS92-DB91,IF(A92&lt;'Données projet'!$A$140,$CQ$205^A92,IF(A92='Données projet'!$A$140,'Données projet'!$B$140,CT91+CS92-DB91)))</f>
        <v>323.59999999999997</v>
      </c>
      <c r="CU92" s="18">
        <f>CT92*VLOOKUP('Données projet'!$B$13,Paramètres!$A$1:$I$89,3,0)*VLOOKUP('Données projet'!$B$13,Paramètres!$A$1:$I$89,5,0)</f>
        <v>312.98591999999996</v>
      </c>
      <c r="CV92" s="14">
        <f t="shared" si="95"/>
        <v>73.892060789929147</v>
      </c>
      <c r="CW92" s="22">
        <f t="shared" si="67"/>
        <v>673.81248320912653</v>
      </c>
      <c r="CX92" s="62">
        <f t="shared" si="68"/>
        <v>967.1458165424599</v>
      </c>
      <c r="CY92" s="62">
        <f ca="1">AVERAGE(OFFSET($CX$3,0,0,'Données projet'!$E$13+1,1))-AVERAGE(OFFSET($H$3,0,0,'Données projet'!$E$13+1,1))</f>
        <v>466.4945858005575</v>
      </c>
      <c r="CZ92" s="62">
        <f t="shared" si="96"/>
        <v>294.45557293177131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1.9011861592961239</v>
      </c>
      <c r="DH92" s="23">
        <f>EXP(-LN(2)/2)*DH91+(1-EXP(-LN(2)/2))/(LN(2)/2)*DB92*DE92*VLOOKUP('Données projet'!$B$13,Paramètres!$A$1:$I$89,3,0)*0.475*44/12</f>
        <v>2.0991810788306051E-8</v>
      </c>
      <c r="DI92" s="24">
        <f t="shared" si="69"/>
        <v>1.9011861802879346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5.4</v>
      </c>
      <c r="DO92" s="13">
        <f>IF('Données projet'!$A$166&gt;35,DO91+DN92-DW91,IF(A92&lt;'Données projet'!$A$166,$DL$205^A92,IF(A92='Données projet'!$A$166,'Données projet'!$B$166,DO91+DN92-DW91)))</f>
        <v>290.60000000000008</v>
      </c>
      <c r="DP92" s="18">
        <f>DO92*VLOOKUP('Données projet'!$B$14,Paramètres!$A$1:$I$89,3,0)*VLOOKUP('Données projet'!$B$14,Paramètres!$A$1:$I$89,5,0)</f>
        <v>276.53496000000007</v>
      </c>
      <c r="DQ92" s="14">
        <f t="shared" si="97"/>
        <v>66.234216476296396</v>
      </c>
      <c r="DR92" s="22">
        <f t="shared" si="70"/>
        <v>596.9896490295497</v>
      </c>
      <c r="DS92" s="62">
        <f t="shared" si="71"/>
        <v>890.32298236288307</v>
      </c>
      <c r="DT92" s="62">
        <f ca="1">AVERAGE(OFFSET($DS$3,0,0,'Données projet'!$E$14+1,1))-AVERAGE(OFFSET($H$3,0,0,'Données projet'!$E$14+1,1))</f>
        <v>404.20764079465965</v>
      </c>
      <c r="DU92" s="62">
        <f t="shared" si="98"/>
        <v>243.23852967152732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2.6506193251802965E-8</v>
      </c>
      <c r="ED92" s="24">
        <f t="shared" si="72"/>
        <v>2.6506193251802965E-8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439.06700232017681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1.7298950190304168</v>
      </c>
      <c r="AB93" s="23">
        <f>EXP(-LN(2)/2)*AB92+(1-EXP(-LN(2)/2))/(LN(2)/2)*V93*Y93*VLOOKUP('Données projet'!$B$9,Paramètres!$A$1:$I$89,3,0)*0.475*44/12</f>
        <v>1.3885809708906019E-8</v>
      </c>
      <c r="AC93" s="24">
        <f t="shared" si="57"/>
        <v>1.7298950329162264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396.92963589781414</v>
      </c>
      <c r="AO93" s="62">
        <f t="shared" si="90"/>
        <v>294.38852181137639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4.4337866711430253E-14</v>
      </c>
      <c r="BF93" s="14">
        <f t="shared" si="91"/>
        <v>7.3222115536967035E-13</v>
      </c>
      <c r="BG93" s="22">
        <f t="shared" si="61"/>
        <v>1.3525069634579169E-12</v>
      </c>
      <c r="BH93" s="62">
        <f t="shared" si="62"/>
        <v>293.33333333333468</v>
      </c>
      <c r="BI93" s="62">
        <f ca="1">AVERAGE(OFFSET($BH$3,0,0,'Données projet'!$E$11+1,1))-AVERAGE(OFFSET($H$3,0,0,'Données projet'!$E$11+1,1))</f>
        <v>288.82868507674738</v>
      </c>
      <c r="BJ93" s="62">
        <f t="shared" si="92"/>
        <v>283.48738729114024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1.3157475588851648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1.3157475588851648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405.09126081846171</v>
      </c>
      <c r="CE93" s="62">
        <f t="shared" si="94"/>
        <v>534.22295841722166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0.73326144835971663</v>
      </c>
      <c r="CL93" s="23">
        <f>EXP(-LN(2)/25)*CL92+(1-EXP(-LN(2)/25))/(LN(2)/25)*Calculateur!CG93*Calculateur!CI93*VLOOKUP('Données projet'!$B$12,Paramètres!$A$1:$I$89,3,0)*0.475*44/12</f>
        <v>1.6515845188339231</v>
      </c>
      <c r="CM93" s="23">
        <f>EXP(-LN(2)/2)*CM92+(1-EXP(-LN(2)/2))/(LN(2)/2)*CG93*CJ93*VLOOKUP('Données projet'!$B$12,Paramètres!$A$1:$I$89,3,0)*0.475*44/12</f>
        <v>3.445523460688126E-10</v>
      </c>
      <c r="CN93" s="24">
        <f t="shared" si="66"/>
        <v>2.3848459675381921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330</v>
      </c>
      <c r="CR93" s="13">
        <f>VLOOKUP(A93,'Données projet'!$A$139:$I$159,9,0)</f>
        <v>6.4</v>
      </c>
      <c r="CS93" s="13">
        <f t="array" ref="CS93">INDEX(CR:CR,MIN(IF(ISNUMBER(CR93:CR289),ROW(CR93:CR289),"")))</f>
        <v>6.4</v>
      </c>
      <c r="CT93" s="13">
        <f>IF('Données projet'!$A$140&gt;35,CT92+CS93-DB92,IF(A93&lt;'Données projet'!$A$140,$CQ$205^A93,IF(A93='Données projet'!$A$140,'Données projet'!$B$140,CT92+CS93-DB92)))</f>
        <v>329.99999999999994</v>
      </c>
      <c r="CU93" s="18">
        <f>CT93*VLOOKUP('Données projet'!$B$13,Paramètres!$A$1:$I$89,3,0)*VLOOKUP('Données projet'!$B$13,Paramètres!$A$1:$I$89,5,0)</f>
        <v>319.17599999999993</v>
      </c>
      <c r="CV93" s="14">
        <f t="shared" si="95"/>
        <v>75.181878718947672</v>
      </c>
      <c r="CW93" s="22">
        <f t="shared" si="67"/>
        <v>686.83997210216705</v>
      </c>
      <c r="CX93" s="62">
        <f t="shared" si="68"/>
        <v>980.17330543550042</v>
      </c>
      <c r="CY93" s="62">
        <f ca="1">AVERAGE(OFFSET($CX$3,0,0,'Données projet'!$E$13+1,1))-AVERAGE(OFFSET($H$3,0,0,'Données projet'!$E$13+1,1))</f>
        <v>466.4945858005575</v>
      </c>
      <c r="CZ93" s="62">
        <f t="shared" si="96"/>
        <v>294.45557293177131</v>
      </c>
      <c r="DA93" s="16">
        <f>IF(ISNA(VLOOKUP(A93,'Données projet'!$A$139:$I$159,3,0)),0,VLOOKUP(A93,'Données projet'!$A$139:$I$159,3,0))</f>
        <v>15</v>
      </c>
      <c r="DB93" s="16">
        <f>IF(ISNA(VLOOKUP(A93,'Données projet'!$A$139:$I$159,4,0)),0,VLOOKUP(A93,'Données projet'!$A$139:$I$159,4,0))</f>
        <v>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1.8491981237911366</v>
      </c>
      <c r="DH93" s="23">
        <f>EXP(-LN(2)/2)*DH92+(1-EXP(-LN(2)/2))/(LN(2)/2)*DB93*DE93*VLOOKUP('Données projet'!$B$13,Paramètres!$A$1:$I$89,3,0)*0.475*44/12</f>
        <v>1.4843451757796136E-8</v>
      </c>
      <c r="DI93" s="24">
        <f t="shared" si="69"/>
        <v>1.8491981386345884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5.4</v>
      </c>
      <c r="DN93" s="13">
        <f t="array" ref="DN93">INDEX(DM:DM,MIN(IF(ISNUMBER(DM93:DM289),ROW(DM93:DM289),"")))</f>
        <v>5.4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281.67360000000008</v>
      </c>
      <c r="DQ93" s="14">
        <f t="shared" si="97"/>
        <v>67.320565909728884</v>
      </c>
      <c r="DR93" s="22">
        <f t="shared" si="70"/>
        <v>607.83150562611127</v>
      </c>
      <c r="DS93" s="62">
        <f t="shared" si="71"/>
        <v>901.16483895944452</v>
      </c>
      <c r="DT93" s="62">
        <f ca="1">AVERAGE(OFFSET($DS$3,0,0,'Données projet'!$E$14+1,1))-AVERAGE(OFFSET($H$3,0,0,'Données projet'!$E$14+1,1))</f>
        <v>404.20764079465965</v>
      </c>
      <c r="DU93" s="62">
        <f t="shared" si="98"/>
        <v>243.23852967152732</v>
      </c>
      <c r="DV93" s="16">
        <f>IF(ISNA(VLOOKUP(A93,'Données projet'!$A$165:$I$185,3,0)),0,VLOOKUP(A93,'Données projet'!$A$165:$I$185,3,0))</f>
        <v>14</v>
      </c>
      <c r="DW93" s="16">
        <f>IF(ISNA(VLOOKUP(A93,'Données projet'!$A$165:$I$185,4,0)),0,VLOOKUP(A93,'Données projet'!$A$165:$I$185,4,0))</f>
        <v>21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1.8742708991790981E-8</v>
      </c>
      <c r="ED93" s="24">
        <f t="shared" si="72"/>
        <v>1.8742708991790981E-8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439.06700232017681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1.6825909487638047</v>
      </c>
      <c r="AB94" s="23">
        <f>EXP(-LN(2)/2)*AB93+(1-EXP(-LN(2)/2))/(LN(2)/2)*V94*Y94*VLOOKUP('Données projet'!$B$9,Paramètres!$A$1:$I$89,3,0)*0.475*44/12</f>
        <v>9.8187502074334452E-9</v>
      </c>
      <c r="AC94" s="24">
        <f t="shared" si="57"/>
        <v>1.6825909585825549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396.92963589781414</v>
      </c>
      <c r="AO94" s="62">
        <f t="shared" si="90"/>
        <v>294.38852181137639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4.4337866711430253E-14</v>
      </c>
      <c r="BF94" s="14">
        <f t="shared" si="91"/>
        <v>7.3222115536967035E-13</v>
      </c>
      <c r="BG94" s="22">
        <f t="shared" si="61"/>
        <v>1.3525069634579169E-12</v>
      </c>
      <c r="BH94" s="62">
        <f t="shared" si="62"/>
        <v>293.33333333333468</v>
      </c>
      <c r="BI94" s="62">
        <f ca="1">AVERAGE(OFFSET($BH$3,0,0,'Données projet'!$E$11+1,1))-AVERAGE(OFFSET($H$3,0,0,'Données projet'!$E$11+1,1))</f>
        <v>288.82868507674738</v>
      </c>
      <c r="BJ94" s="62">
        <f t="shared" si="92"/>
        <v>283.48738729114024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1.2797683726952931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1.2797683726952931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405.09126081846171</v>
      </c>
      <c r="CE94" s="62">
        <f t="shared" si="94"/>
        <v>534.22295841722166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0.71888263860270429</v>
      </c>
      <c r="CL94" s="23">
        <f>EXP(-LN(2)/25)*CL93+(1-EXP(-LN(2)/25))/(LN(2)/25)*Calculateur!CG94*Calculateur!CI94*VLOOKUP('Données projet'!$B$12,Paramètres!$A$1:$I$89,3,0)*0.475*44/12</f>
        <v>1.6064218533133543</v>
      </c>
      <c r="CM94" s="23">
        <f>EXP(-LN(2)/2)*CM93+(1-EXP(-LN(2)/2))/(LN(2)/2)*CG94*CJ94*VLOOKUP('Données projet'!$B$12,Paramètres!$A$1:$I$89,3,0)*0.475*44/12</f>
        <v>2.4363530037899146E-10</v>
      </c>
      <c r="CN94" s="24">
        <f t="shared" si="66"/>
        <v>2.3253044921596939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</v>
      </c>
      <c r="CT94" s="13">
        <f>IF('Données projet'!$A$140&gt;35,CT93+CS94-DB93,IF(A94&lt;'Données projet'!$A$140,$CQ$205^A94,IF(A94='Données projet'!$A$140,'Données projet'!$B$140,CT93+CS94-DB93)))</f>
        <v>307.99999999999994</v>
      </c>
      <c r="CU94" s="18">
        <f>CT94*VLOOKUP('Données projet'!$B$13,Paramètres!$A$1:$I$89,3,0)*VLOOKUP('Données projet'!$B$13,Paramètres!$A$1:$I$89,5,0)</f>
        <v>297.89759999999995</v>
      </c>
      <c r="CV94" s="14">
        <f t="shared" si="95"/>
        <v>70.735539446826479</v>
      </c>
      <c r="CW94" s="22">
        <f t="shared" si="67"/>
        <v>642.03605120322266</v>
      </c>
      <c r="CX94" s="62">
        <f t="shared" si="68"/>
        <v>935.36938453655603</v>
      </c>
      <c r="CY94" s="62">
        <f ca="1">AVERAGE(OFFSET($CX$3,0,0,'Données projet'!$E$13+1,1))-AVERAGE(OFFSET($H$3,0,0,'Données projet'!$E$13+1,1))</f>
        <v>466.4945858005575</v>
      </c>
      <c r="CZ94" s="62">
        <f t="shared" si="96"/>
        <v>294.45557293177131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1.7986317038509649</v>
      </c>
      <c r="DH94" s="23">
        <f>EXP(-LN(2)/2)*DH93+(1-EXP(-LN(2)/2))/(LN(2)/2)*DB94*DE94*VLOOKUP('Données projet'!$B$13,Paramètres!$A$1:$I$89,3,0)*0.475*44/12</f>
        <v>1.0495905394153027E-8</v>
      </c>
      <c r="DI94" s="24">
        <f t="shared" si="69"/>
        <v>1.7986317143468704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</v>
      </c>
      <c r="DO94" s="13">
        <f>IF('Données projet'!$A$166&gt;35,DO93+DN94-DW93,IF(A94&lt;'Données projet'!$A$166,$DL$205^A94,IF(A94='Données projet'!$A$166,'Données projet'!$B$166,DO93+DN94-DW93)))</f>
        <v>280.00000000000006</v>
      </c>
      <c r="DP94" s="18">
        <f>DO94*VLOOKUP('Données projet'!$B$14,Paramètres!$A$1:$I$89,3,0)*VLOOKUP('Données projet'!$B$14,Paramètres!$A$1:$I$89,5,0)</f>
        <v>266.44800000000009</v>
      </c>
      <c r="DQ94" s="14">
        <f t="shared" si="97"/>
        <v>64.094865228054687</v>
      </c>
      <c r="DR94" s="22">
        <f t="shared" si="70"/>
        <v>575.69549027219546</v>
      </c>
      <c r="DS94" s="62">
        <f t="shared" si="71"/>
        <v>869.02882360552871</v>
      </c>
      <c r="DT94" s="62">
        <f ca="1">AVERAGE(OFFSET($DS$3,0,0,'Données projet'!$E$14+1,1))-AVERAGE(OFFSET($H$3,0,0,'Données projet'!$E$14+1,1))</f>
        <v>404.20764079465965</v>
      </c>
      <c r="DU94" s="62">
        <f t="shared" si="98"/>
        <v>243.23852967152732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1.3253096625901482E-8</v>
      </c>
      <c r="ED94" s="24">
        <f t="shared" si="72"/>
        <v>1.3253096625901482E-8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439.06700232017681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1.6365804107862461</v>
      </c>
      <c r="AB95" s="23">
        <f>EXP(-LN(2)/2)*AB94+(1-EXP(-LN(2)/2))/(LN(2)/2)*V95*Y95*VLOOKUP('Données projet'!$B$9,Paramètres!$A$1:$I$89,3,0)*0.475*44/12</f>
        <v>6.9429048544530093E-9</v>
      </c>
      <c r="AC95" s="24">
        <f t="shared" si="57"/>
        <v>1.636580417729151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396.92963589781414</v>
      </c>
      <c r="AO95" s="62">
        <f t="shared" si="90"/>
        <v>294.38852181137639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4.4337866711430253E-14</v>
      </c>
      <c r="BF95" s="14">
        <f t="shared" si="91"/>
        <v>7.3222115536967035E-13</v>
      </c>
      <c r="BG95" s="22">
        <f t="shared" si="61"/>
        <v>1.3525069634579169E-12</v>
      </c>
      <c r="BH95" s="62">
        <f t="shared" si="62"/>
        <v>293.33333333333468</v>
      </c>
      <c r="BI95" s="62">
        <f ca="1">AVERAGE(OFFSET($BH$3,0,0,'Données projet'!$E$11+1,1))-AVERAGE(OFFSET($H$3,0,0,'Données projet'!$E$11+1,1))</f>
        <v>288.82868507674738</v>
      </c>
      <c r="BJ95" s="62">
        <f t="shared" si="92"/>
        <v>283.48738729114024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1.2447730392438465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1.2447730392438465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405.09126081846171</v>
      </c>
      <c r="CE95" s="62">
        <f t="shared" si="94"/>
        <v>534.22295841722166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0.70478578853481899</v>
      </c>
      <c r="CL95" s="23">
        <f>EXP(-LN(2)/25)*CL94+(1-EXP(-LN(2)/25))/(LN(2)/25)*Calculateur!CG95*Calculateur!CI95*VLOOKUP('Données projet'!$B$12,Paramètres!$A$1:$I$89,3,0)*0.475*44/12</f>
        <v>1.5624941632564469</v>
      </c>
      <c r="CM95" s="23">
        <f>EXP(-LN(2)/2)*CM94+(1-EXP(-LN(2)/2))/(LN(2)/2)*CG95*CJ95*VLOOKUP('Données projet'!$B$12,Paramètres!$A$1:$I$89,3,0)*0.475*44/12</f>
        <v>1.722761730344063E-10</v>
      </c>
      <c r="CN95" s="24">
        <f t="shared" si="66"/>
        <v>2.2672799519635416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</v>
      </c>
      <c r="CT95" s="13">
        <f>IF('Données projet'!$A$140&gt;35,CT94+CS95-DB94,IF(A95&lt;'Données projet'!$A$140,$CQ$205^A95,IF(A95='Données projet'!$A$140,'Données projet'!$B$140,CT94+CS95-DB94)))</f>
        <v>313.99999999999994</v>
      </c>
      <c r="CU95" s="18">
        <f>CT95*VLOOKUP('Données projet'!$B$13,Paramètres!$A$1:$I$89,3,0)*VLOOKUP('Données projet'!$B$13,Paramètres!$A$1:$I$89,5,0)</f>
        <v>303.70079999999996</v>
      </c>
      <c r="CV95" s="14">
        <f t="shared" si="95"/>
        <v>71.951738834397148</v>
      </c>
      <c r="CW95" s="22">
        <f t="shared" si="67"/>
        <v>654.26150513657501</v>
      </c>
      <c r="CX95" s="62">
        <f t="shared" si="68"/>
        <v>947.59483846990838</v>
      </c>
      <c r="CY95" s="62">
        <f ca="1">AVERAGE(OFFSET($CX$3,0,0,'Données projet'!$E$13+1,1))-AVERAGE(OFFSET($H$3,0,0,'Données projet'!$E$13+1,1))</f>
        <v>466.4945858005575</v>
      </c>
      <c r="CZ95" s="62">
        <f t="shared" si="96"/>
        <v>294.45557293177131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1.7494480253232298</v>
      </c>
      <c r="DH95" s="23">
        <f>EXP(-LN(2)/2)*DH94+(1-EXP(-LN(2)/2))/(LN(2)/2)*DB95*DE95*VLOOKUP('Données projet'!$B$13,Paramètres!$A$1:$I$89,3,0)*0.475*44/12</f>
        <v>7.4217258788980689E-9</v>
      </c>
      <c r="DI95" s="24">
        <f t="shared" si="69"/>
        <v>1.7494480327449557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</v>
      </c>
      <c r="DO95" s="13">
        <f>IF('Données projet'!$A$166&gt;35,DO94+DN95-DW94,IF(A95&lt;'Données projet'!$A$166,$DL$205^A95,IF(A95='Données projet'!$A$166,'Données projet'!$B$166,DO94+DN95-DW94)))</f>
        <v>285.00000000000006</v>
      </c>
      <c r="DP95" s="18">
        <f>DO95*VLOOKUP('Données projet'!$B$14,Paramètres!$A$1:$I$89,3,0)*VLOOKUP('Données projet'!$B$14,Paramètres!$A$1:$I$89,5,0)</f>
        <v>271.20600000000002</v>
      </c>
      <c r="DQ95" s="14">
        <f t="shared" si="97"/>
        <v>65.105146500462041</v>
      </c>
      <c r="DR95" s="22">
        <f t="shared" si="70"/>
        <v>585.7419134883047</v>
      </c>
      <c r="DS95" s="62">
        <f t="shared" si="71"/>
        <v>879.07524682163807</v>
      </c>
      <c r="DT95" s="62">
        <f ca="1">AVERAGE(OFFSET($DS$3,0,0,'Données projet'!$E$14+1,1))-AVERAGE(OFFSET($H$3,0,0,'Données projet'!$E$14+1,1))</f>
        <v>404.20764079465965</v>
      </c>
      <c r="DU95" s="62">
        <f t="shared" si="98"/>
        <v>243.23852967152732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9.3713544958954906E-9</v>
      </c>
      <c r="ED95" s="24">
        <f t="shared" si="72"/>
        <v>9.3713544958954906E-9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439.06700232017681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1.5918280333892727</v>
      </c>
      <c r="AB96" s="23">
        <f>EXP(-LN(2)/2)*AB95+(1-EXP(-LN(2)/2))/(LN(2)/2)*V96*Y96*VLOOKUP('Données projet'!$B$9,Paramètres!$A$1:$I$89,3,0)*0.475*44/12</f>
        <v>4.9093751037167226E-9</v>
      </c>
      <c r="AC96" s="24">
        <f t="shared" si="57"/>
        <v>1.5918280382986478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396.92963589781414</v>
      </c>
      <c r="AO96" s="62">
        <f t="shared" si="90"/>
        <v>294.38852181137639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4.4337866711430253E-14</v>
      </c>
      <c r="BF96" s="14">
        <f t="shared" si="91"/>
        <v>7.3222115536967035E-13</v>
      </c>
      <c r="BG96" s="22">
        <f t="shared" si="61"/>
        <v>1.3525069634579169E-12</v>
      </c>
      <c r="BH96" s="62">
        <f t="shared" si="62"/>
        <v>293.33333333333468</v>
      </c>
      <c r="BI96" s="62">
        <f ca="1">AVERAGE(OFFSET($BH$3,0,0,'Données projet'!$E$11+1,1))-AVERAGE(OFFSET($H$3,0,0,'Données projet'!$E$11+1,1))</f>
        <v>288.82868507674738</v>
      </c>
      <c r="BJ96" s="62">
        <f t="shared" si="92"/>
        <v>283.48738729114024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1.2107346550259543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1.2107346550259543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405.09126081846171</v>
      </c>
      <c r="CE96" s="62">
        <f t="shared" si="94"/>
        <v>534.22295841722166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0.69096536909853534</v>
      </c>
      <c r="CL96" s="23">
        <f>EXP(-LN(2)/25)*CL95+(1-EXP(-LN(2)/25))/(LN(2)/25)*Calculateur!CG96*Calculateur!CI96*VLOOKUP('Données projet'!$B$12,Paramètres!$A$1:$I$89,3,0)*0.475*44/12</f>
        <v>1.5197676781942024</v>
      </c>
      <c r="CM96" s="23">
        <f>EXP(-LN(2)/2)*CM95+(1-EXP(-LN(2)/2))/(LN(2)/2)*CG96*CJ96*VLOOKUP('Données projet'!$B$12,Paramètres!$A$1:$I$89,3,0)*0.475*44/12</f>
        <v>1.2181765018949573E-10</v>
      </c>
      <c r="CN96" s="24">
        <f t="shared" si="66"/>
        <v>2.2107330474145557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</v>
      </c>
      <c r="CT96" s="13">
        <f>IF('Données projet'!$A$140&gt;35,CT95+CS96-DB95,IF(A96&lt;'Données projet'!$A$140,$CQ$205^A96,IF(A96='Données projet'!$A$140,'Données projet'!$B$140,CT95+CS96-DB95)))</f>
        <v>319.99999999999994</v>
      </c>
      <c r="CU96" s="18">
        <f>CT96*VLOOKUP('Données projet'!$B$13,Paramètres!$A$1:$I$89,3,0)*VLOOKUP('Données projet'!$B$13,Paramètres!$A$1:$I$89,5,0)</f>
        <v>309.50399999999996</v>
      </c>
      <c r="CV96" s="14">
        <f t="shared" si="95"/>
        <v>73.165235978896504</v>
      </c>
      <c r="CW96" s="22">
        <f t="shared" si="67"/>
        <v>666.48225266324471</v>
      </c>
      <c r="CX96" s="62">
        <f t="shared" si="68"/>
        <v>959.81558599657797</v>
      </c>
      <c r="CY96" s="62">
        <f ca="1">AVERAGE(OFFSET($CX$3,0,0,'Données projet'!$E$13+1,1))-AVERAGE(OFFSET($H$3,0,0,'Données projet'!$E$13+1,1))</f>
        <v>466.4945858005575</v>
      </c>
      <c r="CZ96" s="62">
        <f t="shared" si="96"/>
        <v>294.45557293177131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1.7016092770712929</v>
      </c>
      <c r="DH96" s="23">
        <f>EXP(-LN(2)/2)*DH95+(1-EXP(-LN(2)/2))/(LN(2)/2)*DB96*DE96*VLOOKUP('Données projet'!$B$13,Paramètres!$A$1:$I$89,3,0)*0.475*44/12</f>
        <v>5.2479526970765145E-9</v>
      </c>
      <c r="DI96" s="24">
        <f t="shared" si="69"/>
        <v>1.7016092823192457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</v>
      </c>
      <c r="DO96" s="13">
        <f>IF('Données projet'!$A$166&gt;35,DO95+DN96-DW95,IF(A96&lt;'Données projet'!$A$166,$DL$205^A96,IF(A96='Données projet'!$A$166,'Données projet'!$B$166,DO95+DN96-DW95)))</f>
        <v>290.00000000000006</v>
      </c>
      <c r="DP96" s="18">
        <f>DO96*VLOOKUP('Données projet'!$B$14,Paramètres!$A$1:$I$89,3,0)*VLOOKUP('Données projet'!$B$14,Paramètres!$A$1:$I$89,5,0)</f>
        <v>275.96400000000006</v>
      </c>
      <c r="DQ96" s="14">
        <f t="shared" si="97"/>
        <v>66.113366665488911</v>
      </c>
      <c r="DR96" s="22">
        <f t="shared" si="70"/>
        <v>595.78474694239321</v>
      </c>
      <c r="DS96" s="62">
        <f t="shared" si="71"/>
        <v>889.11808027572647</v>
      </c>
      <c r="DT96" s="62">
        <f ca="1">AVERAGE(OFFSET($DS$3,0,0,'Données projet'!$E$14+1,1))-AVERAGE(OFFSET($H$3,0,0,'Données projet'!$E$14+1,1))</f>
        <v>404.20764079465965</v>
      </c>
      <c r="DU96" s="62">
        <f t="shared" si="98"/>
        <v>243.23852967152732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6.6265483129507412E-9</v>
      </c>
      <c r="ED96" s="24">
        <f t="shared" si="72"/>
        <v>6.6265483129507412E-9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439.06700232017681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1.548299412105645</v>
      </c>
      <c r="AB97" s="23">
        <f>EXP(-LN(2)/2)*AB96+(1-EXP(-LN(2)/2))/(LN(2)/2)*V97*Y97*VLOOKUP('Données projet'!$B$9,Paramètres!$A$1:$I$89,3,0)*0.475*44/12</f>
        <v>3.4714524272265047E-9</v>
      </c>
      <c r="AC97" s="24">
        <f t="shared" si="57"/>
        <v>1.5482994155770975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396.92963589781414</v>
      </c>
      <c r="AO97" s="62">
        <f t="shared" si="90"/>
        <v>294.38852181137639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4.4337866711430253E-14</v>
      </c>
      <c r="BF97" s="14">
        <f t="shared" si="91"/>
        <v>7.3222115536967035E-13</v>
      </c>
      <c r="BG97" s="22">
        <f t="shared" si="61"/>
        <v>1.3525069634579169E-12</v>
      </c>
      <c r="BH97" s="62">
        <f t="shared" si="62"/>
        <v>293.33333333333468</v>
      </c>
      <c r="BI97" s="62">
        <f ca="1">AVERAGE(OFFSET($BH$3,0,0,'Données projet'!$E$11+1,1))-AVERAGE(OFFSET($H$3,0,0,'Données projet'!$E$11+1,1))</f>
        <v>288.82868507674738</v>
      </c>
      <c r="BJ97" s="62">
        <f t="shared" si="92"/>
        <v>283.48738729114024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1.1776270522145014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1.1776270522145014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405.09126081846171</v>
      </c>
      <c r="CE97" s="62">
        <f t="shared" si="94"/>
        <v>534.22295841722166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0.67741595965777379</v>
      </c>
      <c r="CL97" s="23">
        <f>EXP(-LN(2)/25)*CL96+(1-EXP(-LN(2)/25))/(LN(2)/25)*Calculateur!CG97*Calculateur!CI97*VLOOKUP('Données projet'!$B$12,Paramètres!$A$1:$I$89,3,0)*0.475*44/12</f>
        <v>1.4782095511128732</v>
      </c>
      <c r="CM97" s="23">
        <f>EXP(-LN(2)/2)*CM96+(1-EXP(-LN(2)/2))/(LN(2)/2)*CG97*CJ97*VLOOKUP('Données projet'!$B$12,Paramètres!$A$1:$I$89,3,0)*0.475*44/12</f>
        <v>8.613808651720315E-11</v>
      </c>
      <c r="CN97" s="24">
        <f t="shared" si="66"/>
        <v>2.155625510856785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</v>
      </c>
      <c r="CT97" s="13">
        <f>IF('Données projet'!$A$140&gt;35,CT96+CS97-DB96,IF(A97&lt;'Données projet'!$A$140,$CQ$205^A97,IF(A97='Données projet'!$A$140,'Données projet'!$B$140,CT96+CS97-DB96)))</f>
        <v>325.99999999999994</v>
      </c>
      <c r="CU97" s="18">
        <f>CT97*VLOOKUP('Données projet'!$B$13,Paramètres!$A$1:$I$89,3,0)*VLOOKUP('Données projet'!$B$13,Paramètres!$A$1:$I$89,5,0)</f>
        <v>315.30719999999997</v>
      </c>
      <c r="CV97" s="14">
        <f t="shared" si="95"/>
        <v>74.376087390025049</v>
      </c>
      <c r="CW97" s="22">
        <f t="shared" si="67"/>
        <v>678.69839220429355</v>
      </c>
      <c r="CX97" s="62">
        <f t="shared" si="68"/>
        <v>972.03172553762693</v>
      </c>
      <c r="CY97" s="62">
        <f ca="1">AVERAGE(OFFSET($CX$3,0,0,'Données projet'!$E$13+1,1))-AVERAGE(OFFSET($H$3,0,0,'Données projet'!$E$13+1,1))</f>
        <v>466.4945858005575</v>
      </c>
      <c r="CZ97" s="62">
        <f t="shared" si="96"/>
        <v>294.45557293177131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1.6550786819060357</v>
      </c>
      <c r="DH97" s="23">
        <f>EXP(-LN(2)/2)*DH96+(1-EXP(-LN(2)/2))/(LN(2)/2)*DB97*DE97*VLOOKUP('Données projet'!$B$13,Paramètres!$A$1:$I$89,3,0)*0.475*44/12</f>
        <v>3.7108629394490353E-9</v>
      </c>
      <c r="DI97" s="24">
        <f t="shared" si="69"/>
        <v>1.6550786856168986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</v>
      </c>
      <c r="DO97" s="13">
        <f>IF('Données projet'!$A$166&gt;35,DO96+DN97-DW96,IF(A97&lt;'Données projet'!$A$166,$DL$205^A97,IF(A97='Données projet'!$A$166,'Données projet'!$B$166,DO96+DN97-DW96)))</f>
        <v>295.00000000000006</v>
      </c>
      <c r="DP97" s="18">
        <f>DO97*VLOOKUP('Données projet'!$B$14,Paramètres!$A$1:$I$89,3,0)*VLOOKUP('Données projet'!$B$14,Paramètres!$A$1:$I$89,5,0)</f>
        <v>280.72200000000004</v>
      </c>
      <c r="DQ97" s="14">
        <f t="shared" si="97"/>
        <v>67.119565360074162</v>
      </c>
      <c r="DR97" s="22">
        <f t="shared" si="70"/>
        <v>605.82405966879583</v>
      </c>
      <c r="DS97" s="62">
        <f t="shared" si="71"/>
        <v>899.15739300212908</v>
      </c>
      <c r="DT97" s="62">
        <f ca="1">AVERAGE(OFFSET($DS$3,0,0,'Données projet'!$E$14+1,1))-AVERAGE(OFFSET($H$3,0,0,'Données projet'!$E$14+1,1))</f>
        <v>404.20764079465965</v>
      </c>
      <c r="DU97" s="62">
        <f t="shared" si="98"/>
        <v>243.23852967152732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4.6856772479477453E-9</v>
      </c>
      <c r="ED97" s="24">
        <f t="shared" si="72"/>
        <v>4.6856772479477453E-9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439.06700232017681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1.5059610832600887</v>
      </c>
      <c r="AB98" s="23">
        <f>EXP(-LN(2)/2)*AB97+(1-EXP(-LN(2)/2))/(LN(2)/2)*V98*Y98*VLOOKUP('Données projet'!$B$9,Paramètres!$A$1:$I$89,3,0)*0.475*44/12</f>
        <v>2.4546875518583613E-9</v>
      </c>
      <c r="AC98" s="24">
        <f t="shared" si="57"/>
        <v>1.5059610857147763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396.92963589781414</v>
      </c>
      <c r="AO98" s="62">
        <f t="shared" si="90"/>
        <v>294.38852181137639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4.4337866711430253E-14</v>
      </c>
      <c r="BF98" s="14">
        <f t="shared" si="91"/>
        <v>7.3222115536967035E-13</v>
      </c>
      <c r="BG98" s="22">
        <f t="shared" si="61"/>
        <v>1.3525069634579169E-12</v>
      </c>
      <c r="BH98" s="62">
        <f t="shared" si="62"/>
        <v>293.33333333333468</v>
      </c>
      <c r="BI98" s="62">
        <f ca="1">AVERAGE(OFFSET($BH$3,0,0,'Données projet'!$E$11+1,1))-AVERAGE(OFFSET($H$3,0,0,'Données projet'!$E$11+1,1))</f>
        <v>288.82868507674738</v>
      </c>
      <c r="BJ98" s="62">
        <f t="shared" si="92"/>
        <v>283.48738729114024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1.1454247785429807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1.1454247785429807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405.09126081846171</v>
      </c>
      <c r="CE98" s="62">
        <f t="shared" si="94"/>
        <v>534.22295841722166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0.66413224587182185</v>
      </c>
      <c r="CL98" s="23">
        <f>EXP(-LN(2)/25)*CL97+(1-EXP(-LN(2)/25))/(LN(2)/25)*Calculateur!CG98*Calculateur!CI98*VLOOKUP('Données projet'!$B$12,Paramètres!$A$1:$I$89,3,0)*0.475*44/12</f>
        <v>1.43778783320203</v>
      </c>
      <c r="CM98" s="23">
        <f>EXP(-LN(2)/2)*CM97+(1-EXP(-LN(2)/2))/(LN(2)/2)*CG98*CJ98*VLOOKUP('Données projet'!$B$12,Paramètres!$A$1:$I$89,3,0)*0.475*44/12</f>
        <v>6.0908825094747865E-11</v>
      </c>
      <c r="CN98" s="24">
        <f t="shared" si="66"/>
        <v>2.1019200791347603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332</v>
      </c>
      <c r="CR98" s="13">
        <f>VLOOKUP(A98,'Données projet'!$A$139:$I$159,9,0)</f>
        <v>6</v>
      </c>
      <c r="CS98" s="13">
        <f t="array" ref="CS98">INDEX(CR:CR,MIN(IF(ISNUMBER(CR98:CR294),ROW(CR98:CR294),"")))</f>
        <v>6</v>
      </c>
      <c r="CT98" s="13">
        <f>IF('Données projet'!$A$140&gt;35,CT97+CS98-DB97,IF(A98&lt;'Données projet'!$A$140,$CQ$205^A98,IF(A98='Données projet'!$A$140,'Données projet'!$B$140,CT97+CS98-DB97)))</f>
        <v>331.99999999999994</v>
      </c>
      <c r="CU98" s="18">
        <f>CT98*VLOOKUP('Données projet'!$B$13,Paramètres!$A$1:$I$89,3,0)*VLOOKUP('Données projet'!$B$13,Paramètres!$A$1:$I$89,5,0)</f>
        <v>321.11039999999997</v>
      </c>
      <c r="CV98" s="14">
        <f t="shared" si="95"/>
        <v>75.584347378293316</v>
      </c>
      <c r="CW98" s="22">
        <f t="shared" si="67"/>
        <v>690.91001835052748</v>
      </c>
      <c r="CX98" s="62">
        <f t="shared" si="68"/>
        <v>984.24335168386074</v>
      </c>
      <c r="CY98" s="62">
        <f ca="1">AVERAGE(OFFSET($CX$3,0,0,'Données projet'!$E$13+1,1))-AVERAGE(OFFSET($H$3,0,0,'Données projet'!$E$13+1,1))</f>
        <v>466.4945858005575</v>
      </c>
      <c r="CZ98" s="62">
        <f t="shared" si="96"/>
        <v>294.45557293177131</v>
      </c>
      <c r="DA98" s="16">
        <f>IF(ISNA(VLOOKUP(A98,'Données projet'!$A$139:$I$159,3,0)),0,VLOOKUP(A98,'Données projet'!$A$139:$I$159,3,0))</f>
        <v>16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1.6098204683125099</v>
      </c>
      <c r="DH98" s="23">
        <f>EXP(-LN(2)/2)*DH97+(1-EXP(-LN(2)/2))/(LN(2)/2)*DB98*DE98*VLOOKUP('Données projet'!$B$13,Paramètres!$A$1:$I$89,3,0)*0.475*44/12</f>
        <v>2.6239763485382577E-9</v>
      </c>
      <c r="DI98" s="24">
        <f t="shared" si="69"/>
        <v>1.6098204709364863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300</v>
      </c>
      <c r="DM98" s="13">
        <f>VLOOKUP(A98,'Données projet'!$A$165:$I$185,9,0)</f>
        <v>5</v>
      </c>
      <c r="DN98" s="13">
        <f t="array" ref="DN98">INDEX(DM:DM,MIN(IF(ISNUMBER(DM98:DM294),ROW(DM98:DM294),"")))</f>
        <v>5</v>
      </c>
      <c r="DO98" s="13">
        <f>IF('Données projet'!$A$166&gt;35,DO97+DN98-DW97,IF(A98&lt;'Données projet'!$A$166,$DL$205^A98,IF(A98='Données projet'!$A$166,'Données projet'!$B$166,DO97+DN98-DW97)))</f>
        <v>300.00000000000006</v>
      </c>
      <c r="DP98" s="18">
        <f>DO98*VLOOKUP('Données projet'!$B$14,Paramètres!$A$1:$I$89,3,0)*VLOOKUP('Données projet'!$B$14,Paramètres!$A$1:$I$89,5,0)</f>
        <v>285.48000000000008</v>
      </c>
      <c r="DQ98" s="14">
        <f t="shared" si="97"/>
        <v>68.123780800530767</v>
      </c>
      <c r="DR98" s="22">
        <f t="shared" si="70"/>
        <v>615.85991822759115</v>
      </c>
      <c r="DS98" s="62">
        <f t="shared" si="71"/>
        <v>909.19325156092441</v>
      </c>
      <c r="DT98" s="62">
        <f ca="1">AVERAGE(OFFSET($DS$3,0,0,'Données projet'!$E$14+1,1))-AVERAGE(OFFSET($H$3,0,0,'Données projet'!$E$14+1,1))</f>
        <v>404.20764079465965</v>
      </c>
      <c r="DU98" s="62">
        <f t="shared" si="98"/>
        <v>243.23852967152732</v>
      </c>
      <c r="DV98" s="16">
        <f>IF(ISNA(VLOOKUP(A98,'Données projet'!$A$165:$I$185,3,0)),0,VLOOKUP(A98,'Données projet'!$A$165:$I$185,3,0))</f>
        <v>15</v>
      </c>
      <c r="DW98" s="16">
        <f>IF(ISNA(VLOOKUP(A98,'Données projet'!$A$165:$I$185,4,0)),0,VLOOKUP(A98,'Données projet'!$A$165:$I$185,4,0))</f>
        <v>21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3.3132741564753706E-9</v>
      </c>
      <c r="ED98" s="24">
        <f t="shared" si="72"/>
        <v>3.3132741564753706E-9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439.06700232017681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1.4647804982432902</v>
      </c>
      <c r="AB99" s="23">
        <f>EXP(-LN(2)/2)*AB98+(1-EXP(-LN(2)/2))/(LN(2)/2)*V99*Y99*VLOOKUP('Données projet'!$B$9,Paramètres!$A$1:$I$89,3,0)*0.475*44/12</f>
        <v>1.7357262136132523E-9</v>
      </c>
      <c r="AC99" s="24">
        <f t="shared" si="57"/>
        <v>1.4647804999790164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396.92963589781414</v>
      </c>
      <c r="AO99" s="62">
        <f t="shared" si="90"/>
        <v>294.38852181137639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4.4337866711430253E-14</v>
      </c>
      <c r="BF99" s="14">
        <f t="shared" si="91"/>
        <v>7.3222115536967035E-13</v>
      </c>
      <c r="BG99" s="22">
        <f t="shared" si="61"/>
        <v>1.3525069634579169E-12</v>
      </c>
      <c r="BH99" s="62">
        <f t="shared" si="62"/>
        <v>293.33333333333468</v>
      </c>
      <c r="BI99" s="62">
        <f ca="1">AVERAGE(OFFSET($BH$3,0,0,'Données projet'!$E$11+1,1))-AVERAGE(OFFSET($H$3,0,0,'Données projet'!$E$11+1,1))</f>
        <v>288.82868507674738</v>
      </c>
      <c r="BJ99" s="62">
        <f t="shared" si="92"/>
        <v>283.48738729114024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1.1141030777384517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1.1141030777384517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405.09126081846171</v>
      </c>
      <c r="CE99" s="62">
        <f t="shared" si="94"/>
        <v>534.22295841722166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0.65110901761094697</v>
      </c>
      <c r="CL99" s="23">
        <f>EXP(-LN(2)/25)*CL98+(1-EXP(-LN(2)/25))/(LN(2)/25)*Calculateur!CG99*Calculateur!CI99*VLOOKUP('Données projet'!$B$12,Paramètres!$A$1:$I$89,3,0)*0.475*44/12</f>
        <v>1.3984714492931445</v>
      </c>
      <c r="CM99" s="23">
        <f>EXP(-LN(2)/2)*CM98+(1-EXP(-LN(2)/2))/(LN(2)/2)*CG99*CJ99*VLOOKUP('Données projet'!$B$12,Paramètres!$A$1:$I$89,3,0)*0.475*44/12</f>
        <v>4.3069043258601575E-11</v>
      </c>
      <c r="CN99" s="24">
        <f t="shared" si="66"/>
        <v>2.0495804669471607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5.8</v>
      </c>
      <c r="CT99" s="13">
        <f>IF('Données projet'!$A$140&gt;35,CT98+CS99-DB98,IF(A99&lt;'Données projet'!$A$140,$CQ$205^A99,IF(A99='Données projet'!$A$140,'Données projet'!$B$140,CT98+CS99-DB98)))</f>
        <v>309.79999999999995</v>
      </c>
      <c r="CU99" s="18">
        <f>CT99*VLOOKUP('Données projet'!$B$13,Paramètres!$A$1:$I$89,3,0)*VLOOKUP('Données projet'!$B$13,Paramètres!$A$1:$I$89,5,0)</f>
        <v>299.63855999999998</v>
      </c>
      <c r="CV99" s="14">
        <f t="shared" si="95"/>
        <v>71.100686453177502</v>
      </c>
      <c r="CW99" s="22">
        <f t="shared" si="67"/>
        <v>645.70418757261734</v>
      </c>
      <c r="CX99" s="62">
        <f t="shared" si="68"/>
        <v>939.03752090595071</v>
      </c>
      <c r="CY99" s="62">
        <f ca="1">AVERAGE(OFFSET($CX$3,0,0,'Données projet'!$E$13+1,1))-AVERAGE(OFFSET($H$3,0,0,'Données projet'!$E$13+1,1))</f>
        <v>466.4945858005575</v>
      </c>
      <c r="CZ99" s="62">
        <f t="shared" si="96"/>
        <v>294.45557293177131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1.5657998429497253</v>
      </c>
      <c r="DH99" s="23">
        <f>EXP(-LN(2)/2)*DH98+(1-EXP(-LN(2)/2))/(LN(2)/2)*DB99*DE99*VLOOKUP('Données projet'!$B$13,Paramètres!$A$1:$I$89,3,0)*0.475*44/12</f>
        <v>1.8554314697245178E-9</v>
      </c>
      <c r="DI99" s="24">
        <f t="shared" si="69"/>
        <v>1.5657998448051567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4.8</v>
      </c>
      <c r="DO99" s="13">
        <f>IF('Données projet'!$A$166&gt;35,DO98+DN99-DW98,IF(A99&lt;'Données projet'!$A$166,$DL$205^A99,IF(A99='Données projet'!$A$166,'Données projet'!$B$166,DO98+DN99-DW98)))</f>
        <v>283.80000000000007</v>
      </c>
      <c r="DP99" s="18">
        <f>DO99*VLOOKUP('Données projet'!$B$14,Paramètres!$A$1:$I$89,3,0)*VLOOKUP('Données projet'!$B$14,Paramètres!$A$1:$I$89,5,0)</f>
        <v>270.0640800000001</v>
      </c>
      <c r="DQ99" s="14">
        <f t="shared" si="97"/>
        <v>64.86286849328026</v>
      </c>
      <c r="DR99" s="22">
        <f t="shared" si="70"/>
        <v>583.33110195913002</v>
      </c>
      <c r="DS99" s="62">
        <f t="shared" si="71"/>
        <v>876.66443529246339</v>
      </c>
      <c r="DT99" s="62">
        <f ca="1">AVERAGE(OFFSET($DS$3,0,0,'Données projet'!$E$14+1,1))-AVERAGE(OFFSET($H$3,0,0,'Données projet'!$E$14+1,1))</f>
        <v>404.20764079465965</v>
      </c>
      <c r="DU99" s="62">
        <f t="shared" si="98"/>
        <v>243.23852967152732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2.3428386239738727E-9</v>
      </c>
      <c r="ED99" s="24">
        <f t="shared" si="72"/>
        <v>2.3428386239738727E-9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439.06700232017681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1.4247259984893688</v>
      </c>
      <c r="AB100" s="23">
        <f>EXP(-LN(2)/2)*AB99+(1-EXP(-LN(2)/2))/(LN(2)/2)*V100*Y100*VLOOKUP('Données projet'!$B$9,Paramètres!$A$1:$I$89,3,0)*0.475*44/12</f>
        <v>1.2273437759291807E-9</v>
      </c>
      <c r="AC100" s="24">
        <f t="shared" si="57"/>
        <v>1.4247259997167125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396.92963589781414</v>
      </c>
      <c r="AO100" s="62">
        <f t="shared" si="90"/>
        <v>294.38852181137639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4.4337866711430253E-14</v>
      </c>
      <c r="BF100" s="14">
        <f t="shared" si="91"/>
        <v>7.3222115536967035E-13</v>
      </c>
      <c r="BG100" s="22">
        <f t="shared" si="61"/>
        <v>1.3525069634579169E-12</v>
      </c>
      <c r="BH100" s="62">
        <f t="shared" si="62"/>
        <v>293.33333333333468</v>
      </c>
      <c r="BI100" s="62">
        <f ca="1">AVERAGE(OFFSET($BH$3,0,0,'Données projet'!$E$11+1,1))-AVERAGE(OFFSET($H$3,0,0,'Données projet'!$E$11+1,1))</f>
        <v>288.82868507674738</v>
      </c>
      <c r="BJ100" s="62">
        <f t="shared" si="92"/>
        <v>283.48738729114024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1.0836378704895593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1.0836378704895593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405.09126081846171</v>
      </c>
      <c r="CE100" s="62">
        <f t="shared" si="94"/>
        <v>534.22295841722166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0.63834116691288301</v>
      </c>
      <c r="CL100" s="23">
        <f>EXP(-LN(2)/25)*CL99+(1-EXP(-LN(2)/25))/(LN(2)/25)*Calculateur!CG100*Calculateur!CI100*VLOOKUP('Données projet'!$B$12,Paramètres!$A$1:$I$89,3,0)*0.475*44/12</f>
        <v>1.3602301739698062</v>
      </c>
      <c r="CM100" s="23">
        <f>EXP(-LN(2)/2)*CM99+(1-EXP(-LN(2)/2))/(LN(2)/2)*CG100*CJ100*VLOOKUP('Données projet'!$B$12,Paramètres!$A$1:$I$89,3,0)*0.475*44/12</f>
        <v>3.0454412547373933E-11</v>
      </c>
      <c r="CN100" s="24">
        <f t="shared" si="66"/>
        <v>1.9985713409131436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5.8</v>
      </c>
      <c r="CT100" s="13">
        <f>IF('Données projet'!$A$140&gt;35,CT99+CS100-DB99,IF(A100&lt;'Données projet'!$A$140,$CQ$205^A100,IF(A100='Données projet'!$A$140,'Données projet'!$B$140,CT99+CS100-DB99)))</f>
        <v>315.59999999999997</v>
      </c>
      <c r="CU100" s="18">
        <f>CT100*VLOOKUP('Données projet'!$B$13,Paramètres!$A$1:$I$89,3,0)*VLOOKUP('Données projet'!$B$13,Paramètres!$A$1:$I$89,5,0)</f>
        <v>305.24831999999998</v>
      </c>
      <c r="CV100" s="14">
        <f t="shared" si="95"/>
        <v>72.275599918697424</v>
      </c>
      <c r="CW100" s="22">
        <f t="shared" si="67"/>
        <v>657.5208271917312</v>
      </c>
      <c r="CX100" s="62">
        <f t="shared" si="68"/>
        <v>950.85416052506457</v>
      </c>
      <c r="CY100" s="62">
        <f ca="1">AVERAGE(OFFSET($CX$3,0,0,'Données projet'!$E$13+1,1))-AVERAGE(OFFSET($H$3,0,0,'Données projet'!$E$13+1,1))</f>
        <v>466.4945858005575</v>
      </c>
      <c r="CZ100" s="62">
        <f t="shared" si="96"/>
        <v>294.45557293177131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1.5229829639024299</v>
      </c>
      <c r="DH100" s="23">
        <f>EXP(-LN(2)/2)*DH99+(1-EXP(-LN(2)/2))/(LN(2)/2)*DB100*DE100*VLOOKUP('Données projet'!$B$13,Paramètres!$A$1:$I$89,3,0)*0.475*44/12</f>
        <v>1.311988174269129E-9</v>
      </c>
      <c r="DI100" s="24">
        <f t="shared" si="69"/>
        <v>1.522982965214418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4.8</v>
      </c>
      <c r="DO100" s="13">
        <f>IF('Données projet'!$A$166&gt;35,DO99+DN100-DW99,IF(A100&lt;'Données projet'!$A$166,$DL$205^A100,IF(A100='Données projet'!$A$166,'Données projet'!$B$166,DO99+DN100-DW99)))</f>
        <v>288.60000000000008</v>
      </c>
      <c r="DP100" s="18">
        <f>DO100*VLOOKUP('Données projet'!$B$14,Paramètres!$A$1:$I$89,3,0)*VLOOKUP('Données projet'!$B$14,Paramètres!$A$1:$I$89,5,0)</f>
        <v>274.6317600000001</v>
      </c>
      <c r="DQ100" s="14">
        <f t="shared" si="97"/>
        <v>65.831270461289193</v>
      </c>
      <c r="DR100" s="22">
        <f t="shared" si="70"/>
        <v>592.97311138674547</v>
      </c>
      <c r="DS100" s="62">
        <f t="shared" si="71"/>
        <v>886.30644472007884</v>
      </c>
      <c r="DT100" s="62">
        <f ca="1">AVERAGE(OFFSET($DS$3,0,0,'Données projet'!$E$14+1,1))-AVERAGE(OFFSET($H$3,0,0,'Données projet'!$E$14+1,1))</f>
        <v>404.20764079465965</v>
      </c>
      <c r="DU100" s="62">
        <f t="shared" si="98"/>
        <v>243.23852967152732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1.6566370782376853E-9</v>
      </c>
      <c r="ED100" s="24">
        <f t="shared" si="72"/>
        <v>1.6566370782376853E-9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439.06700232017681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1.385766791137593</v>
      </c>
      <c r="AB101" s="23">
        <f>EXP(-LN(2)/2)*AB100+(1-EXP(-LN(2)/2))/(LN(2)/2)*V101*Y101*VLOOKUP('Données projet'!$B$9,Paramètres!$A$1:$I$89,3,0)*0.475*44/12</f>
        <v>8.6786310680662617E-10</v>
      </c>
      <c r="AC101" s="24">
        <f t="shared" si="57"/>
        <v>1.3857667920054562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396.92963589781414</v>
      </c>
      <c r="AO101" s="62">
        <f t="shared" si="90"/>
        <v>294.38852181137639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4.4337866711430253E-14</v>
      </c>
      <c r="BF101" s="14">
        <f t="shared" si="91"/>
        <v>7.3222115536967035E-13</v>
      </c>
      <c r="BG101" s="22">
        <f t="shared" si="61"/>
        <v>1.3525069634579169E-12</v>
      </c>
      <c r="BH101" s="62">
        <f t="shared" si="62"/>
        <v>293.33333333333468</v>
      </c>
      <c r="BI101" s="62">
        <f ca="1">AVERAGE(OFFSET($BH$3,0,0,'Données projet'!$E$11+1,1))-AVERAGE(OFFSET($H$3,0,0,'Données projet'!$E$11+1,1))</f>
        <v>288.82868507674738</v>
      </c>
      <c r="BJ101" s="62">
        <f t="shared" si="92"/>
        <v>283.48738729114024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1.0540057359349833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1.0540057359349833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405.09126081846171</v>
      </c>
      <c r="CE101" s="62">
        <f t="shared" si="94"/>
        <v>534.22295841722166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0.62582368597938809</v>
      </c>
      <c r="CL101" s="23">
        <f>EXP(-LN(2)/25)*CL100+(1-EXP(-LN(2)/25))/(LN(2)/25)*Calculateur!CG101*Calculateur!CI101*VLOOKUP('Données projet'!$B$12,Paramètres!$A$1:$I$89,3,0)*0.475*44/12</f>
        <v>1.3230346083312059</v>
      </c>
      <c r="CM101" s="23">
        <f>EXP(-LN(2)/2)*CM100+(1-EXP(-LN(2)/2))/(LN(2)/2)*CG101*CJ101*VLOOKUP('Données projet'!$B$12,Paramètres!$A$1:$I$89,3,0)*0.475*44/12</f>
        <v>2.1534521629300787E-11</v>
      </c>
      <c r="CN101" s="24">
        <f t="shared" si="66"/>
        <v>1.9488582943321286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5.8</v>
      </c>
      <c r="CT101" s="13">
        <f>IF('Données projet'!$A$140&gt;35,CT100+CS101-DB100,IF(A101&lt;'Données projet'!$A$140,$CQ$205^A101,IF(A101='Données projet'!$A$140,'Données projet'!$B$140,CT100+CS101-DB100)))</f>
        <v>321.39999999999998</v>
      </c>
      <c r="CU101" s="18">
        <f>CT101*VLOOKUP('Données projet'!$B$13,Paramètres!$A$1:$I$89,3,0)*VLOOKUP('Données projet'!$B$13,Paramètres!$A$1:$I$89,5,0)</f>
        <v>310.85807999999997</v>
      </c>
      <c r="CV101" s="14">
        <f t="shared" si="95"/>
        <v>73.448002589106309</v>
      </c>
      <c r="CW101" s="22">
        <f t="shared" si="67"/>
        <v>669.33309384269342</v>
      </c>
      <c r="CX101" s="62">
        <f t="shared" si="68"/>
        <v>962.66642717602667</v>
      </c>
      <c r="CY101" s="62">
        <f ca="1">AVERAGE(OFFSET($CX$3,0,0,'Données projet'!$E$13+1,1))-AVERAGE(OFFSET($H$3,0,0,'Données projet'!$E$13+1,1))</f>
        <v>466.4945858005575</v>
      </c>
      <c r="CZ101" s="62">
        <f t="shared" si="96"/>
        <v>294.45557293177131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1.4813369146643247</v>
      </c>
      <c r="DH101" s="23">
        <f>EXP(-LN(2)/2)*DH100+(1-EXP(-LN(2)/2))/(LN(2)/2)*DB101*DE101*VLOOKUP('Données projet'!$B$13,Paramètres!$A$1:$I$89,3,0)*0.475*44/12</f>
        <v>9.2771573486225902E-10</v>
      </c>
      <c r="DI101" s="24">
        <f t="shared" si="69"/>
        <v>1.4813369155920404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4.8</v>
      </c>
      <c r="DO101" s="13">
        <f>IF('Données projet'!$A$166&gt;35,DO100+DN101-DW100,IF(A101&lt;'Données projet'!$A$166,$DL$205^A101,IF(A101='Données projet'!$A$166,'Données projet'!$B$166,DO100+DN101-DW100)))</f>
        <v>293.40000000000009</v>
      </c>
      <c r="DP101" s="18">
        <f>DO101*VLOOKUP('Données projet'!$B$14,Paramètres!$A$1:$I$89,3,0)*VLOOKUP('Données projet'!$B$14,Paramètres!$A$1:$I$89,5,0)</f>
        <v>279.1994400000001</v>
      </c>
      <c r="DQ101" s="14">
        <f t="shared" si="97"/>
        <v>66.797799357600155</v>
      </c>
      <c r="DR101" s="22">
        <f t="shared" si="70"/>
        <v>602.61185854782047</v>
      </c>
      <c r="DS101" s="62">
        <f t="shared" si="71"/>
        <v>895.94519188115373</v>
      </c>
      <c r="DT101" s="62">
        <f ca="1">AVERAGE(OFFSET($DS$3,0,0,'Données projet'!$E$14+1,1))-AVERAGE(OFFSET($H$3,0,0,'Données projet'!$E$14+1,1))</f>
        <v>404.20764079465965</v>
      </c>
      <c r="DU101" s="62">
        <f t="shared" si="98"/>
        <v>243.23852967152732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1.1714193119869363E-9</v>
      </c>
      <c r="ED101" s="24">
        <f t="shared" si="72"/>
        <v>1.1714193119869363E-9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439.06700232017681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1.3478729253596273</v>
      </c>
      <c r="AB102" s="23">
        <f>EXP(-LN(2)/2)*AB101+(1-EXP(-LN(2)/2))/(LN(2)/2)*V102*Y102*VLOOKUP('Données projet'!$B$9,Paramètres!$A$1:$I$89,3,0)*0.475*44/12</f>
        <v>6.1367188796459033E-10</v>
      </c>
      <c r="AC102" s="24">
        <f t="shared" si="57"/>
        <v>1.3478729259732991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396.92963589781414</v>
      </c>
      <c r="AO102" s="62">
        <f t="shared" si="90"/>
        <v>294.38852181137639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4.4337866711430253E-14</v>
      </c>
      <c r="BF102" s="14">
        <f t="shared" si="91"/>
        <v>7.3222115536967035E-13</v>
      </c>
      <c r="BG102" s="22">
        <f t="shared" si="61"/>
        <v>1.3525069634579169E-12</v>
      </c>
      <c r="BH102" s="62">
        <f t="shared" si="62"/>
        <v>293.33333333333468</v>
      </c>
      <c r="BI102" s="62">
        <f ca="1">AVERAGE(OFFSET($BH$3,0,0,'Données projet'!$E$11+1,1))-AVERAGE(OFFSET($H$3,0,0,'Données projet'!$E$11+1,1))</f>
        <v>288.82868507674738</v>
      </c>
      <c r="BJ102" s="62">
        <f t="shared" si="92"/>
        <v>283.48738729114024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1.0251838936580884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1.0251838936580884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405.09126081846171</v>
      </c>
      <c r="CE102" s="62">
        <f t="shared" si="94"/>
        <v>534.22295841722166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0.61355166521208948</v>
      </c>
      <c r="CL102" s="23">
        <f>EXP(-LN(2)/25)*CL101+(1-EXP(-LN(2)/25))/(LN(2)/25)*Calculateur!CG102*Calculateur!CI102*VLOOKUP('Données projet'!$B$12,Paramètres!$A$1:$I$89,3,0)*0.475*44/12</f>
        <v>1.2868561573910229</v>
      </c>
      <c r="CM102" s="23">
        <f>EXP(-LN(2)/2)*CM101+(1-EXP(-LN(2)/2))/(LN(2)/2)*CG102*CJ102*VLOOKUP('Données projet'!$B$12,Paramètres!$A$1:$I$89,3,0)*0.475*44/12</f>
        <v>1.5227206273686966E-11</v>
      </c>
      <c r="CN102" s="24">
        <f t="shared" si="66"/>
        <v>1.9004078226183394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5.8</v>
      </c>
      <c r="CT102" s="13">
        <f>IF('Données projet'!$A$140&gt;35,CT101+CS102-DB101,IF(A102&lt;'Données projet'!$A$140,$CQ$205^A102,IF(A102='Données projet'!$A$140,'Données projet'!$B$140,CT101+CS102-DB101)))</f>
        <v>327.2</v>
      </c>
      <c r="CU102" s="18">
        <f>CT102*VLOOKUP('Données projet'!$B$13,Paramètres!$A$1:$I$89,3,0)*VLOOKUP('Données projet'!$B$13,Paramètres!$A$1:$I$89,5,0)</f>
        <v>316.46784000000002</v>
      </c>
      <c r="CV102" s="14">
        <f t="shared" si="95"/>
        <v>74.617945000851194</v>
      </c>
      <c r="CW102" s="22">
        <f t="shared" si="67"/>
        <v>681.14107554314921</v>
      </c>
      <c r="CX102" s="62">
        <f t="shared" si="68"/>
        <v>974.47440887648258</v>
      </c>
      <c r="CY102" s="62">
        <f ca="1">AVERAGE(OFFSET($CX$3,0,0,'Données projet'!$E$13+1,1))-AVERAGE(OFFSET($H$3,0,0,'Données projet'!$E$13+1,1))</f>
        <v>466.4945858005575</v>
      </c>
      <c r="CZ102" s="62">
        <f t="shared" si="96"/>
        <v>294.45557293177131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1.440829678832706</v>
      </c>
      <c r="DH102" s="23">
        <f>EXP(-LN(2)/2)*DH101+(1-EXP(-LN(2)/2))/(LN(2)/2)*DB102*DE102*VLOOKUP('Données projet'!$B$13,Paramètres!$A$1:$I$89,3,0)*0.475*44/12</f>
        <v>6.5599408713456462E-10</v>
      </c>
      <c r="DI102" s="24">
        <f t="shared" si="69"/>
        <v>1.4408296794887001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4.8</v>
      </c>
      <c r="DO102" s="13">
        <f>IF('Données projet'!$A$166&gt;35,DO101+DN102-DW101,IF(A102&lt;'Données projet'!$A$166,$DL$205^A102,IF(A102='Données projet'!$A$166,'Données projet'!$B$166,DO101+DN102-DW101)))</f>
        <v>298.2000000000001</v>
      </c>
      <c r="DP102" s="18">
        <f>DO102*VLOOKUP('Données projet'!$B$14,Paramètres!$A$1:$I$89,3,0)*VLOOKUP('Données projet'!$B$14,Paramètres!$A$1:$I$89,5,0)</f>
        <v>283.76712000000015</v>
      </c>
      <c r="DQ102" s="14">
        <f t="shared" si="97"/>
        <v>67.762489362912575</v>
      </c>
      <c r="DR102" s="22">
        <f t="shared" si="70"/>
        <v>612.24740297373967</v>
      </c>
      <c r="DS102" s="62">
        <f t="shared" si="71"/>
        <v>905.58073630707304</v>
      </c>
      <c r="DT102" s="62">
        <f ca="1">AVERAGE(OFFSET($DS$3,0,0,'Données projet'!$E$14+1,1))-AVERAGE(OFFSET($H$3,0,0,'Données projet'!$E$14+1,1))</f>
        <v>404.20764079465965</v>
      </c>
      <c r="DU102" s="62">
        <f t="shared" si="98"/>
        <v>243.23852967152732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8.2831853911884265E-10</v>
      </c>
      <c r="ED102" s="24">
        <f t="shared" si="72"/>
        <v>8.2831853911884265E-10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439.06700232017681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1.3110152693341117</v>
      </c>
      <c r="AB103" s="23">
        <f>EXP(-LN(2)/2)*AB102+(1-EXP(-LN(2)/2))/(LN(2)/2)*V103*Y103*VLOOKUP('Données projet'!$B$9,Paramètres!$A$1:$I$89,3,0)*0.475*44/12</f>
        <v>4.3393155340331308E-10</v>
      </c>
      <c r="AC103" s="24">
        <f t="shared" si="57"/>
        <v>1.3110152697680433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396.92963589781414</v>
      </c>
      <c r="AO103" s="62">
        <f t="shared" si="90"/>
        <v>294.38852181137639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4.4337866711430253E-14</v>
      </c>
      <c r="BF103" s="14">
        <f t="shared" si="91"/>
        <v>7.3222115536967035E-13</v>
      </c>
      <c r="BG103" s="22">
        <f t="shared" si="61"/>
        <v>1.3525069634579169E-12</v>
      </c>
      <c r="BH103" s="62">
        <f t="shared" si="62"/>
        <v>293.33333333333468</v>
      </c>
      <c r="BI103" s="62">
        <f ca="1">AVERAGE(OFFSET($BH$3,0,0,'Données projet'!$E$11+1,1))-AVERAGE(OFFSET($H$3,0,0,'Données projet'!$E$11+1,1))</f>
        <v>288.82868507674738</v>
      </c>
      <c r="BJ103" s="62">
        <f t="shared" si="92"/>
        <v>283.48738729114024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0.99715018617393003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0.99715018617393003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405.09126081846171</v>
      </c>
      <c r="CE103" s="62">
        <f t="shared" si="94"/>
        <v>534.22295841722166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0.60152029128684403</v>
      </c>
      <c r="CL103" s="23">
        <f>EXP(-LN(2)/25)*CL102+(1-EXP(-LN(2)/25))/(LN(2)/25)*Calculateur!CG103*Calculateur!CI103*VLOOKUP('Données projet'!$B$12,Paramètres!$A$1:$I$89,3,0)*0.475*44/12</f>
        <v>1.2516670080943413</v>
      </c>
      <c r="CM103" s="23">
        <f>EXP(-LN(2)/2)*CM102+(1-EXP(-LN(2)/2))/(LN(2)/2)*CG103*CJ103*VLOOKUP('Données projet'!$B$12,Paramètres!$A$1:$I$89,3,0)*0.475*44/12</f>
        <v>1.0767260814650394E-11</v>
      </c>
      <c r="CN103" s="24">
        <f t="shared" si="66"/>
        <v>1.8531872993919525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333</v>
      </c>
      <c r="CR103" s="13">
        <f>VLOOKUP(A103,'Données projet'!$A$139:$I$159,9,0)</f>
        <v>5.8</v>
      </c>
      <c r="CS103" s="13">
        <f t="array" ref="CS103">INDEX(CR:CR,MIN(IF(ISNUMBER(CR103:CR299),ROW(CR103:CR299),"")))</f>
        <v>5.8</v>
      </c>
      <c r="CT103" s="13">
        <f>IF('Données projet'!$A$140&gt;35,CT102+CS103-DB102,IF(A103&lt;'Données projet'!$A$140,$CQ$205^A103,IF(A103='Données projet'!$A$140,'Données projet'!$B$140,CT102+CS103-DB102)))</f>
        <v>333</v>
      </c>
      <c r="CU103" s="18">
        <f>CT103*VLOOKUP('Données projet'!$B$13,Paramètres!$A$1:$I$89,3,0)*VLOOKUP('Données projet'!$B$13,Paramètres!$A$1:$I$89,5,0)</f>
        <v>322.07760000000002</v>
      </c>
      <c r="CV103" s="14">
        <f t="shared" si="95"/>
        <v>75.785475796129461</v>
      </c>
      <c r="CW103" s="22">
        <f t="shared" si="67"/>
        <v>692.94485701159203</v>
      </c>
      <c r="CX103" s="62">
        <f t="shared" si="68"/>
        <v>986.27819034492541</v>
      </c>
      <c r="CY103" s="62">
        <f ca="1">AVERAGE(OFFSET($CX$3,0,0,'Données projet'!$E$13+1,1))-AVERAGE(OFFSET($H$3,0,0,'Données projet'!$E$13+1,1))</f>
        <v>466.4945858005575</v>
      </c>
      <c r="CZ103" s="62">
        <f t="shared" si="96"/>
        <v>294.45557293177131</v>
      </c>
      <c r="DA103" s="16">
        <f>IF(ISNA(VLOOKUP(A103,'Données projet'!$A$139:$I$159,3,0)),0,VLOOKUP(A103,'Données projet'!$A$139:$I$159,3,0))</f>
        <v>17</v>
      </c>
      <c r="DB103" s="16">
        <f>IF(ISNA(VLOOKUP(A103,'Données projet'!$A$139:$I$159,4,0)),0,VLOOKUP(A103,'Données projet'!$A$139:$I$159,4,0))</f>
        <v>27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1.4014301154950859</v>
      </c>
      <c r="DH103" s="23">
        <f>EXP(-LN(2)/2)*DH102+(1-EXP(-LN(2)/2))/(LN(2)/2)*DB103*DE103*VLOOKUP('Données projet'!$B$13,Paramètres!$A$1:$I$89,3,0)*0.475*44/12</f>
        <v>4.6385786743112962E-10</v>
      </c>
      <c r="DI103" s="24">
        <f t="shared" si="69"/>
        <v>1.4014301159589437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4.8</v>
      </c>
      <c r="DN103" s="13">
        <f t="array" ref="DN103">INDEX(DM:DM,MIN(IF(ISNUMBER(DM103:DM299),ROW(DM103:DM299),"")))</f>
        <v>4.8</v>
      </c>
      <c r="DO103" s="13">
        <f>IF('Données projet'!$A$166&gt;35,DO102+DN103-DW102,IF(A103&lt;'Données projet'!$A$166,$DL$205^A103,IF(A103='Données projet'!$A$166,'Données projet'!$B$166,DO102+DN103-DW102)))</f>
        <v>303.00000000000011</v>
      </c>
      <c r="DP103" s="18">
        <f>DO103*VLOOKUP('Données projet'!$B$14,Paramètres!$A$1:$I$89,3,0)*VLOOKUP('Données projet'!$B$14,Paramètres!$A$1:$I$89,5,0)</f>
        <v>288.33480000000014</v>
      </c>
      <c r="DQ103" s="14">
        <f t="shared" si="97"/>
        <v>68.725373494438969</v>
      </c>
      <c r="DR103" s="22">
        <f t="shared" si="70"/>
        <v>621.87980216948142</v>
      </c>
      <c r="DS103" s="62">
        <f t="shared" si="71"/>
        <v>915.21313550281479</v>
      </c>
      <c r="DT103" s="62">
        <f ca="1">AVERAGE(OFFSET($DS$3,0,0,'Données projet'!$E$14+1,1))-AVERAGE(OFFSET($H$3,0,0,'Données projet'!$E$14+1,1))</f>
        <v>404.20764079465965</v>
      </c>
      <c r="DU103" s="62">
        <f t="shared" si="98"/>
        <v>243.23852967152732</v>
      </c>
      <c r="DV103" s="16">
        <f>IF(ISNA(VLOOKUP(A103,'Données projet'!$A$165:$I$185,3,0)),0,VLOOKUP(A103,'Données projet'!$A$165:$I$185,3,0))</f>
        <v>16</v>
      </c>
      <c r="DW103" s="16">
        <f>IF(ISNA(VLOOKUP(A103,'Données projet'!$A$165:$I$185,4,0)),0,VLOOKUP(A103,'Données projet'!$A$165:$I$185,4,0))</f>
        <v>21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5.8570965599346816E-10</v>
      </c>
      <c r="ED103" s="24">
        <f t="shared" si="72"/>
        <v>5.8570965599346816E-10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439.06700232017681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1.2751654878508738</v>
      </c>
      <c r="AB104" s="23">
        <f>EXP(-LN(2)/2)*AB103+(1-EXP(-LN(2)/2))/(LN(2)/2)*V104*Y104*VLOOKUP('Données projet'!$B$9,Paramètres!$A$1:$I$89,3,0)*0.475*44/12</f>
        <v>3.0683594398229516E-10</v>
      </c>
      <c r="AC104" s="24">
        <f t="shared" si="57"/>
        <v>1.2751654881577097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396.92963589781414</v>
      </c>
      <c r="AO104" s="62">
        <f t="shared" si="90"/>
        <v>294.38852181137639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4.4337866711430253E-14</v>
      </c>
      <c r="BF104" s="14">
        <f t="shared" si="91"/>
        <v>7.3222115536967035E-13</v>
      </c>
      <c r="BG104" s="22">
        <f t="shared" si="61"/>
        <v>1.3525069634579169E-12</v>
      </c>
      <c r="BH104" s="62">
        <f t="shared" si="62"/>
        <v>293.33333333333468</v>
      </c>
      <c r="BI104" s="62">
        <f ca="1">AVERAGE(OFFSET($BH$3,0,0,'Données projet'!$E$11+1,1))-AVERAGE(OFFSET($H$3,0,0,'Données projet'!$E$11+1,1))</f>
        <v>288.82868507674738</v>
      </c>
      <c r="BJ104" s="62">
        <f t="shared" si="92"/>
        <v>283.48738729114024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0.96988306189515461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0.96988306189515461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405.09126081846171</v>
      </c>
      <c r="CE104" s="62">
        <f t="shared" si="94"/>
        <v>534.22295841722166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0.58972484526585922</v>
      </c>
      <c r="CL104" s="23">
        <f>EXP(-LN(2)/25)*CL103+(1-EXP(-LN(2)/25))/(LN(2)/25)*Calculateur!CG104*Calculateur!CI104*VLOOKUP('Données projet'!$B$12,Paramètres!$A$1:$I$89,3,0)*0.475*44/12</f>
        <v>1.2174401079356942</v>
      </c>
      <c r="CM104" s="23">
        <f>EXP(-LN(2)/2)*CM103+(1-EXP(-LN(2)/2))/(LN(2)/2)*CG104*CJ104*VLOOKUP('Données projet'!$B$12,Paramètres!$A$1:$I$89,3,0)*0.475*44/12</f>
        <v>7.6136031368434831E-12</v>
      </c>
      <c r="CN104" s="24">
        <f t="shared" si="66"/>
        <v>1.8071649532091671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311.39999999999998</v>
      </c>
      <c r="CU104" s="18">
        <f>CT104*VLOOKUP('Données projet'!$B$13,Paramètres!$A$1:$I$89,3,0)*VLOOKUP('Données projet'!$B$13,Paramètres!$A$1:$I$89,5,0)</f>
        <v>301.18608</v>
      </c>
      <c r="CV104" s="14">
        <f t="shared" si="95"/>
        <v>71.425054271756295</v>
      </c>
      <c r="CW104" s="22">
        <f t="shared" si="67"/>
        <v>648.96439218997557</v>
      </c>
      <c r="CX104" s="62">
        <f t="shared" si="68"/>
        <v>942.29772552330883</v>
      </c>
      <c r="CY104" s="62">
        <f ca="1">AVERAGE(OFFSET($CX$3,0,0,'Données projet'!$E$13+1,1))-AVERAGE(OFFSET($H$3,0,0,'Données projet'!$E$13+1,1))</f>
        <v>466.4945858005575</v>
      </c>
      <c r="CZ104" s="62">
        <f t="shared" si="96"/>
        <v>294.45557293177131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1.363107935288866</v>
      </c>
      <c r="DH104" s="23">
        <f>EXP(-LN(2)/2)*DH103+(1-EXP(-LN(2)/2))/(LN(2)/2)*DB104*DE104*VLOOKUP('Données projet'!$B$13,Paramètres!$A$1:$I$89,3,0)*0.475*44/12</f>
        <v>3.2799704356728236E-10</v>
      </c>
      <c r="DI104" s="24">
        <f t="shared" si="69"/>
        <v>1.3631079356168629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286.40000000000009</v>
      </c>
      <c r="DP104" s="18">
        <f>DO104*VLOOKUP('Données projet'!$B$14,Paramètres!$A$1:$I$89,3,0)*VLOOKUP('Données projet'!$B$14,Paramètres!$A$1:$I$89,5,0)</f>
        <v>272.53824000000009</v>
      </c>
      <c r="DQ104" s="14">
        <f t="shared" si="97"/>
        <v>65.387654174541169</v>
      </c>
      <c r="DR104" s="22">
        <f t="shared" si="70"/>
        <v>588.55426568732605</v>
      </c>
      <c r="DS104" s="62">
        <f t="shared" si="71"/>
        <v>881.88759902065931</v>
      </c>
      <c r="DT104" s="62">
        <f ca="1">AVERAGE(OFFSET($DS$3,0,0,'Données projet'!$E$14+1,1))-AVERAGE(OFFSET($H$3,0,0,'Données projet'!$E$14+1,1))</f>
        <v>404.20764079465965</v>
      </c>
      <c r="DU104" s="62">
        <f t="shared" si="98"/>
        <v>243.23852967152732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4.1415926955942132E-10</v>
      </c>
      <c r="ED104" s="24">
        <f t="shared" si="72"/>
        <v>4.1415926955942132E-10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439.06700232017681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1.2402960205275531</v>
      </c>
      <c r="AB105" s="23">
        <f>EXP(-LN(2)/2)*AB104+(1-EXP(-LN(2)/2))/(LN(2)/2)*V105*Y105*VLOOKUP('Données projet'!$B$9,Paramètres!$A$1:$I$89,3,0)*0.475*44/12</f>
        <v>2.1696577670165654E-10</v>
      </c>
      <c r="AC105" s="24">
        <f t="shared" si="57"/>
        <v>1.2402960207445188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396.92963589781414</v>
      </c>
      <c r="AO105" s="62">
        <f t="shared" si="90"/>
        <v>294.38852181137639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4.4337866711430253E-14</v>
      </c>
      <c r="BF105" s="14">
        <f t="shared" si="91"/>
        <v>7.3222115536967035E-13</v>
      </c>
      <c r="BG105" s="22">
        <f t="shared" si="61"/>
        <v>1.3525069634579169E-12</v>
      </c>
      <c r="BH105" s="62">
        <f t="shared" si="62"/>
        <v>293.33333333333468</v>
      </c>
      <c r="BI105" s="62">
        <f ca="1">AVERAGE(OFFSET($BH$3,0,0,'Données projet'!$E$11+1,1))-AVERAGE(OFFSET($H$3,0,0,'Données projet'!$E$11+1,1))</f>
        <v>288.82868507674738</v>
      </c>
      <c r="BJ105" s="62">
        <f t="shared" si="92"/>
        <v>283.48738729114024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0.94336155856369808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0.94336155856369808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405.09126081846171</v>
      </c>
      <c r="CE105" s="62">
        <f t="shared" si="94"/>
        <v>534.22295841722166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0.57816070074683423</v>
      </c>
      <c r="CL105" s="23">
        <f>EXP(-LN(2)/25)*CL104+(1-EXP(-LN(2)/25))/(LN(2)/25)*Calculateur!CG105*Calculateur!CI105*VLOOKUP('Données projet'!$B$12,Paramètres!$A$1:$I$89,3,0)*0.475*44/12</f>
        <v>1.1841491441617999</v>
      </c>
      <c r="CM105" s="23">
        <f>EXP(-LN(2)/2)*CM104+(1-EXP(-LN(2)/2))/(LN(2)/2)*CG105*CJ105*VLOOKUP('Données projet'!$B$12,Paramètres!$A$1:$I$89,3,0)*0.475*44/12</f>
        <v>5.3836304073251969E-12</v>
      </c>
      <c r="CN105" s="24">
        <f t="shared" si="66"/>
        <v>1.762309844914018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316.79999999999995</v>
      </c>
      <c r="CU105" s="18">
        <f>CT105*VLOOKUP('Données projet'!$B$13,Paramètres!$A$1:$I$89,3,0)*VLOOKUP('Données projet'!$B$13,Paramètres!$A$1:$I$89,5,0)</f>
        <v>306.40895999999998</v>
      </c>
      <c r="CV105" s="14">
        <f t="shared" si="95"/>
        <v>72.518370290127464</v>
      </c>
      <c r="CW105" s="22">
        <f t="shared" si="67"/>
        <v>659.96510025530517</v>
      </c>
      <c r="CX105" s="62">
        <f t="shared" si="68"/>
        <v>953.29843358863855</v>
      </c>
      <c r="CY105" s="62">
        <f ca="1">AVERAGE(OFFSET($CX$3,0,0,'Données projet'!$E$13+1,1))-AVERAGE(OFFSET($H$3,0,0,'Données projet'!$E$13+1,1))</f>
        <v>466.4945858005575</v>
      </c>
      <c r="CZ105" s="62">
        <f t="shared" si="96"/>
        <v>294.45557293177131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1.3258336771156611</v>
      </c>
      <c r="DH105" s="23">
        <f>EXP(-LN(2)/2)*DH104+(1-EXP(-LN(2)/2))/(LN(2)/2)*DB105*DE105*VLOOKUP('Données projet'!$B$13,Paramètres!$A$1:$I$89,3,0)*0.475*44/12</f>
        <v>2.3192893371556483E-10</v>
      </c>
      <c r="DI105" s="24">
        <f t="shared" si="69"/>
        <v>1.3258336773475901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290.80000000000007</v>
      </c>
      <c r="DP105" s="18">
        <f>DO105*VLOOKUP('Données projet'!$B$14,Paramètres!$A$1:$I$89,3,0)*VLOOKUP('Données projet'!$B$14,Paramètres!$A$1:$I$89,5,0)</f>
        <v>276.72528000000005</v>
      </c>
      <c r="DQ105" s="14">
        <f t="shared" si="97"/>
        <v>66.274493289836741</v>
      </c>
      <c r="DR105" s="22">
        <f t="shared" si="70"/>
        <v>597.39127181313245</v>
      </c>
      <c r="DS105" s="62">
        <f t="shared" si="71"/>
        <v>890.72460514646582</v>
      </c>
      <c r="DT105" s="62">
        <f ca="1">AVERAGE(OFFSET($DS$3,0,0,'Données projet'!$E$14+1,1))-AVERAGE(OFFSET($H$3,0,0,'Données projet'!$E$14+1,1))</f>
        <v>404.20764079465965</v>
      </c>
      <c r="DU105" s="62">
        <f t="shared" si="98"/>
        <v>243.23852967152732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2.9285482799673408E-10</v>
      </c>
      <c r="ED105" s="24">
        <f t="shared" si="72"/>
        <v>2.9285482799673408E-10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439.06700232017681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1.2063800606218942</v>
      </c>
      <c r="AB106" s="23">
        <f>EXP(-LN(2)/2)*AB105+(1-EXP(-LN(2)/2))/(LN(2)/2)*V106*Y106*VLOOKUP('Données projet'!$B$9,Paramètres!$A$1:$I$89,3,0)*0.475*44/12</f>
        <v>1.5341797199114758E-10</v>
      </c>
      <c r="AC106" s="24">
        <f t="shared" si="57"/>
        <v>1.2063800607753121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396.92963589781414</v>
      </c>
      <c r="AO106" s="62">
        <f t="shared" si="90"/>
        <v>294.38852181137639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4.4337866711430253E-14</v>
      </c>
      <c r="BF106" s="14">
        <f t="shared" si="91"/>
        <v>7.3222115536967035E-13</v>
      </c>
      <c r="BG106" s="22">
        <f t="shared" si="61"/>
        <v>1.3525069634579169E-12</v>
      </c>
      <c r="BH106" s="62">
        <f t="shared" si="62"/>
        <v>293.33333333333468</v>
      </c>
      <c r="BI106" s="62">
        <f ca="1">AVERAGE(OFFSET($BH$3,0,0,'Données projet'!$E$11+1,1))-AVERAGE(OFFSET($H$3,0,0,'Données projet'!$E$11+1,1))</f>
        <v>288.82868507674738</v>
      </c>
      <c r="BJ106" s="62">
        <f t="shared" si="92"/>
        <v>283.48738729114024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0.91756528713554542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0.91756528713554542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405.09126081846171</v>
      </c>
      <c r="CE106" s="62">
        <f t="shared" si="94"/>
        <v>534.22295841722166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0.56682332204839569</v>
      </c>
      <c r="CL106" s="23">
        <f>EXP(-LN(2)/25)*CL105+(1-EXP(-LN(2)/25))/(LN(2)/25)*Calculateur!CG106*Calculateur!CI106*VLOOKUP('Données projet'!$B$12,Paramètres!$A$1:$I$89,3,0)*0.475*44/12</f>
        <v>1.1517685235429984</v>
      </c>
      <c r="CM106" s="23">
        <f>EXP(-LN(2)/2)*CM105+(1-EXP(-LN(2)/2))/(LN(2)/2)*CG106*CJ106*VLOOKUP('Données projet'!$B$12,Paramètres!$A$1:$I$89,3,0)*0.475*44/12</f>
        <v>3.8068015684217416E-12</v>
      </c>
      <c r="CN106" s="24">
        <f t="shared" si="66"/>
        <v>1.718591845595201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322.19999999999993</v>
      </c>
      <c r="CU106" s="18">
        <f>CT106*VLOOKUP('Données projet'!$B$13,Paramètres!$A$1:$I$89,3,0)*VLOOKUP('Données projet'!$B$13,Paramètres!$A$1:$I$89,5,0)</f>
        <v>311.63183999999995</v>
      </c>
      <c r="CV106" s="14">
        <f t="shared" si="95"/>
        <v>73.609519109735089</v>
      </c>
      <c r="CW106" s="22">
        <f t="shared" si="67"/>
        <v>670.96203378278858</v>
      </c>
      <c r="CX106" s="62">
        <f t="shared" si="68"/>
        <v>964.29536711612195</v>
      </c>
      <c r="CY106" s="62">
        <f ca="1">AVERAGE(OFFSET($CX$3,0,0,'Données projet'!$E$13+1,1))-AVERAGE(OFFSET($H$3,0,0,'Données projet'!$E$13+1,1))</f>
        <v>466.4945858005575</v>
      </c>
      <c r="CZ106" s="62">
        <f t="shared" si="96"/>
        <v>294.45557293177131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1.2895786854923705</v>
      </c>
      <c r="DH106" s="23">
        <f>EXP(-LN(2)/2)*DH105+(1-EXP(-LN(2)/2))/(LN(2)/2)*DB106*DE106*VLOOKUP('Données projet'!$B$13,Paramètres!$A$1:$I$89,3,0)*0.475*44/12</f>
        <v>1.6399852178364121E-10</v>
      </c>
      <c r="DI106" s="24">
        <f t="shared" si="69"/>
        <v>1.2895786856563691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295.20000000000005</v>
      </c>
      <c r="DP106" s="18">
        <f>DO106*VLOOKUP('Données projet'!$B$14,Paramètres!$A$1:$I$89,3,0)*VLOOKUP('Données projet'!$B$14,Paramètres!$A$1:$I$89,5,0)</f>
        <v>280.91232000000008</v>
      </c>
      <c r="DQ106" s="14">
        <f t="shared" si="97"/>
        <v>67.159771806470673</v>
      </c>
      <c r="DR106" s="22">
        <f t="shared" si="70"/>
        <v>606.22555989626994</v>
      </c>
      <c r="DS106" s="62">
        <f t="shared" si="71"/>
        <v>899.5588932296032</v>
      </c>
      <c r="DT106" s="62">
        <f ca="1">AVERAGE(OFFSET($DS$3,0,0,'Données projet'!$E$14+1,1))-AVERAGE(OFFSET($H$3,0,0,'Données projet'!$E$14+1,1))</f>
        <v>404.20764079465965</v>
      </c>
      <c r="DU106" s="62">
        <f t="shared" si="98"/>
        <v>243.23852967152732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2.0707963477971066E-10</v>
      </c>
      <c r="ED106" s="24">
        <f t="shared" si="72"/>
        <v>2.0707963477971066E-10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439.06700232017681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1.1733915344234183</v>
      </c>
      <c r="AB107" s="23">
        <f>EXP(-LN(2)/2)*AB106+(1-EXP(-LN(2)/2))/(LN(2)/2)*V107*Y107*VLOOKUP('Données projet'!$B$9,Paramètres!$A$1:$I$89,3,0)*0.475*44/12</f>
        <v>1.0848288835082827E-10</v>
      </c>
      <c r="AC107" s="24">
        <f t="shared" si="57"/>
        <v>1.173391534531901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396.92963589781414</v>
      </c>
      <c r="AO107" s="62">
        <f t="shared" si="90"/>
        <v>294.38852181137639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4.4337866711430253E-14</v>
      </c>
      <c r="BF107" s="14">
        <f t="shared" si="91"/>
        <v>7.3222115536967035E-13</v>
      </c>
      <c r="BG107" s="22">
        <f t="shared" si="61"/>
        <v>1.3525069634579169E-12</v>
      </c>
      <c r="BH107" s="62">
        <f t="shared" si="62"/>
        <v>293.33333333333468</v>
      </c>
      <c r="BI107" s="62">
        <f ca="1">AVERAGE(OFFSET($BH$3,0,0,'Données projet'!$E$11+1,1))-AVERAGE(OFFSET($H$3,0,0,'Données projet'!$E$11+1,1))</f>
        <v>288.82868507674738</v>
      </c>
      <c r="BJ107" s="62">
        <f t="shared" si="92"/>
        <v>283.48738729114024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0.89247441610616263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0.89247441610616263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405.09126081846171</v>
      </c>
      <c r="CE107" s="62">
        <f t="shared" si="94"/>
        <v>534.22295841722166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0.55570826243111526</v>
      </c>
      <c r="CL107" s="23">
        <f>EXP(-LN(2)/25)*CL106+(1-EXP(-LN(2)/25))/(LN(2)/25)*Calculateur!CG107*Calculateur!CI107*VLOOKUP('Données projet'!$B$12,Paramètres!$A$1:$I$89,3,0)*0.475*44/12</f>
        <v>1.1202733526978408</v>
      </c>
      <c r="CM107" s="23">
        <f>EXP(-LN(2)/2)*CM106+(1-EXP(-LN(2)/2))/(LN(2)/2)*CG107*CJ107*VLOOKUP('Données projet'!$B$12,Paramètres!$A$1:$I$89,3,0)*0.475*44/12</f>
        <v>2.6918152036625984E-12</v>
      </c>
      <c r="CN107" s="24">
        <f t="shared" si="66"/>
        <v>1.6759816151316478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327.59999999999991</v>
      </c>
      <c r="CU107" s="18">
        <f>CT107*VLOOKUP('Données projet'!$B$13,Paramètres!$A$1:$I$89,3,0)*VLOOKUP('Données projet'!$B$13,Paramètres!$A$1:$I$89,5,0)</f>
        <v>316.85471999999993</v>
      </c>
      <c r="CV107" s="14">
        <f t="shared" si="95"/>
        <v>74.698541244494848</v>
      </c>
      <c r="CW107" s="22">
        <f t="shared" si="67"/>
        <v>681.95526333416171</v>
      </c>
      <c r="CX107" s="62">
        <f t="shared" si="68"/>
        <v>975.28859666749509</v>
      </c>
      <c r="CY107" s="62">
        <f ca="1">AVERAGE(OFFSET($CX$3,0,0,'Données projet'!$E$13+1,1))-AVERAGE(OFFSET($H$3,0,0,'Données projet'!$E$13+1,1))</f>
        <v>466.4945858005575</v>
      </c>
      <c r="CZ107" s="62">
        <f t="shared" si="96"/>
        <v>294.45557293177131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1.2543150885215859</v>
      </c>
      <c r="DH107" s="23">
        <f>EXP(-LN(2)/2)*DH106+(1-EXP(-LN(2)/2))/(LN(2)/2)*DB107*DE107*VLOOKUP('Données projet'!$B$13,Paramètres!$A$1:$I$89,3,0)*0.475*44/12</f>
        <v>1.1596446685778244E-10</v>
      </c>
      <c r="DI107" s="24">
        <f t="shared" si="69"/>
        <v>1.2543150886375505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299.60000000000002</v>
      </c>
      <c r="DP107" s="18">
        <f>DO107*VLOOKUP('Données projet'!$B$14,Paramètres!$A$1:$I$89,3,0)*VLOOKUP('Données projet'!$B$14,Paramètres!$A$1:$I$89,5,0)</f>
        <v>285.09935999999999</v>
      </c>
      <c r="DQ107" s="14">
        <f t="shared" si="97"/>
        <v>68.043515672394108</v>
      </c>
      <c r="DR107" s="22">
        <f t="shared" si="70"/>
        <v>615.05717512941965</v>
      </c>
      <c r="DS107" s="62">
        <f t="shared" si="71"/>
        <v>908.3905084627529</v>
      </c>
      <c r="DT107" s="62">
        <f ca="1">AVERAGE(OFFSET($DS$3,0,0,'Données projet'!$E$14+1,1))-AVERAGE(OFFSET($H$3,0,0,'Données projet'!$E$14+1,1))</f>
        <v>404.20764079465965</v>
      </c>
      <c r="DU107" s="62">
        <f t="shared" si="98"/>
        <v>243.23852967152732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1.4642741399836704E-10</v>
      </c>
      <c r="ED107" s="24">
        <f t="shared" si="72"/>
        <v>1.4642741399836704E-10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439.06700232017681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1.1413050812086309</v>
      </c>
      <c r="AB108" s="23">
        <f>EXP(-LN(2)/2)*AB107+(1-EXP(-LN(2)/2))/(LN(2)/2)*V108*Y108*VLOOKUP('Données projet'!$B$9,Paramètres!$A$1:$I$89,3,0)*0.475*44/12</f>
        <v>7.6708985995573791E-11</v>
      </c>
      <c r="AC108" s="24">
        <f t="shared" si="57"/>
        <v>1.14130508128534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396.92963589781414</v>
      </c>
      <c r="AO108" s="62">
        <f t="shared" si="90"/>
        <v>294.38852181137639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4.4337866711430253E-14</v>
      </c>
      <c r="BF108" s="14">
        <f t="shared" si="91"/>
        <v>7.3222115536967035E-13</v>
      </c>
      <c r="BG108" s="22">
        <f t="shared" si="61"/>
        <v>1.3525069634579169E-12</v>
      </c>
      <c r="BH108" s="62">
        <f t="shared" si="62"/>
        <v>293.33333333333468</v>
      </c>
      <c r="BI108" s="62">
        <f ca="1">AVERAGE(OFFSET($BH$3,0,0,'Données projet'!$E$11+1,1))-AVERAGE(OFFSET($H$3,0,0,'Données projet'!$E$11+1,1))</f>
        <v>288.82868507674738</v>
      </c>
      <c r="BJ108" s="62">
        <f t="shared" si="92"/>
        <v>283.48738729114024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0.86806965626454979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0.86806965626454979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405.09126081846171</v>
      </c>
      <c r="CE108" s="62">
        <f t="shared" si="94"/>
        <v>534.22295841722166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0.54481116235341276</v>
      </c>
      <c r="CL108" s="23">
        <f>EXP(-LN(2)/25)*CL107+(1-EXP(-LN(2)/25))/(LN(2)/25)*Calculateur!CG108*Calculateur!CI108*VLOOKUP('Données projet'!$B$12,Paramètres!$A$1:$I$89,3,0)*0.475*44/12</f>
        <v>1.089639418955703</v>
      </c>
      <c r="CM108" s="23">
        <f>EXP(-LN(2)/2)*CM107+(1-EXP(-LN(2)/2))/(LN(2)/2)*CG108*CJ108*VLOOKUP('Données projet'!$B$12,Paramètres!$A$1:$I$89,3,0)*0.475*44/12</f>
        <v>1.9034007842108708E-12</v>
      </c>
      <c r="CN108" s="24">
        <f t="shared" si="66"/>
        <v>1.6344505813110191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333</v>
      </c>
      <c r="CR108" s="13">
        <f>VLOOKUP(A108,'Données projet'!$A$139:$I$159,9,0)</f>
        <v>5.4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332.99999999999989</v>
      </c>
      <c r="CU108" s="18">
        <f>CT108*VLOOKUP('Données projet'!$B$13,Paramètres!$A$1:$I$89,3,0)*VLOOKUP('Données projet'!$B$13,Paramètres!$A$1:$I$89,5,0)</f>
        <v>322.0775999999999</v>
      </c>
      <c r="CV108" s="14">
        <f t="shared" si="95"/>
        <v>75.785475796129404</v>
      </c>
      <c r="CW108" s="22">
        <f t="shared" si="67"/>
        <v>692.94485701159181</v>
      </c>
      <c r="CX108" s="62">
        <f t="shared" si="68"/>
        <v>986.27819034492518</v>
      </c>
      <c r="CY108" s="62">
        <f ca="1">AVERAGE(OFFSET($CX$3,0,0,'Données projet'!$E$13+1,1))-AVERAGE(OFFSET($H$3,0,0,'Données projet'!$E$13+1,1))</f>
        <v>466.4945858005575</v>
      </c>
      <c r="CZ108" s="62">
        <f t="shared" si="96"/>
        <v>294.45557293177131</v>
      </c>
      <c r="DA108" s="16">
        <f>IF(ISNA(VLOOKUP(A108,'Données projet'!$A$139:$I$159,3,0)),0,VLOOKUP(A108,'Données projet'!$A$139:$I$159,3,0))</f>
        <v>18</v>
      </c>
      <c r="DB108" s="16">
        <f>IF(ISNA(VLOOKUP(A108,'Données projet'!$A$139:$I$159,4,0)),0,VLOOKUP(A108,'Données projet'!$A$139:$I$159,4,0))</f>
        <v>26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1.2200157764643995</v>
      </c>
      <c r="DH108" s="23">
        <f>EXP(-LN(2)/2)*DH107+(1-EXP(-LN(2)/2))/(LN(2)/2)*DB108*DE108*VLOOKUP('Données projet'!$B$13,Paramètres!$A$1:$I$89,3,0)*0.475*44/12</f>
        <v>8.1999260891820616E-11</v>
      </c>
      <c r="DI108" s="24">
        <f t="shared" si="69"/>
        <v>1.2200157765463988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304</v>
      </c>
      <c r="DM108" s="13">
        <f>VLOOKUP(A108,'Données projet'!$A$165:$I$185,9,0)</f>
        <v>4.4000000000000004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304</v>
      </c>
      <c r="DP108" s="18">
        <f>DO108*VLOOKUP('Données projet'!$B$14,Paramètres!$A$1:$I$89,3,0)*VLOOKUP('Données projet'!$B$14,Paramètres!$A$1:$I$89,5,0)</f>
        <v>289.28640000000001</v>
      </c>
      <c r="DQ108" s="14">
        <f t="shared" si="97"/>
        <v>68.925750029647361</v>
      </c>
      <c r="DR108" s="22">
        <f t="shared" si="70"/>
        <v>623.88616130163575</v>
      </c>
      <c r="DS108" s="62">
        <f t="shared" si="71"/>
        <v>917.21949463496912</v>
      </c>
      <c r="DT108" s="62">
        <f ca="1">AVERAGE(OFFSET($DS$3,0,0,'Données projet'!$E$14+1,1))-AVERAGE(OFFSET($H$3,0,0,'Données projet'!$E$14+1,1))</f>
        <v>404.20764079465965</v>
      </c>
      <c r="DU108" s="62">
        <f t="shared" si="98"/>
        <v>243.23852967152732</v>
      </c>
      <c r="DV108" s="16">
        <f>IF(ISNA(VLOOKUP(A108,'Données projet'!$A$165:$I$185,3,0)),0,VLOOKUP(A108,'Données projet'!$A$165:$I$185,3,0))</f>
        <v>17</v>
      </c>
      <c r="DW108" s="16">
        <f>IF(ISNA(VLOOKUP(A108,'Données projet'!$A$165:$I$185,4,0)),0,VLOOKUP(A108,'Données projet'!$A$165:$I$185,4,0))</f>
        <v>20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1.0353981738985533E-10</v>
      </c>
      <c r="ED108" s="24">
        <f t="shared" si="72"/>
        <v>1.0353981738985533E-10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439.06700232017681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1.1100960337443553</v>
      </c>
      <c r="AB109" s="23">
        <f>EXP(-LN(2)/2)*AB108+(1-EXP(-LN(2)/2))/(LN(2)/2)*V109*Y109*VLOOKUP('Données projet'!$B$9,Paramètres!$A$1:$I$89,3,0)*0.475*44/12</f>
        <v>5.4241444175414136E-11</v>
      </c>
      <c r="AC109" s="24">
        <f t="shared" si="57"/>
        <v>1.1100960337985968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396.92963589781414</v>
      </c>
      <c r="AO109" s="62">
        <f t="shared" si="90"/>
        <v>294.38852181137639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4.4337866711430253E-14</v>
      </c>
      <c r="BF109" s="14">
        <f t="shared" si="91"/>
        <v>7.3222115536967035E-13</v>
      </c>
      <c r="BG109" s="22">
        <f t="shared" si="61"/>
        <v>1.3525069634579169E-12</v>
      </c>
      <c r="BH109" s="62">
        <f t="shared" si="62"/>
        <v>293.33333333333468</v>
      </c>
      <c r="BI109" s="62">
        <f ca="1">AVERAGE(OFFSET($BH$3,0,0,'Données projet'!$E$11+1,1))-AVERAGE(OFFSET($H$3,0,0,'Données projet'!$E$11+1,1))</f>
        <v>288.82868507674738</v>
      </c>
      <c r="BJ109" s="62">
        <f t="shared" si="92"/>
        <v>283.48738729114024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0.84433224586419642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0.84433224586419642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405.09126081846171</v>
      </c>
      <c r="CE109" s="62">
        <f t="shared" si="94"/>
        <v>534.22295841722166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0.53412774776165928</v>
      </c>
      <c r="CL109" s="23">
        <f>EXP(-LN(2)/25)*CL108+(1-EXP(-LN(2)/25))/(LN(2)/25)*Calculateur!CG109*Calculateur!CI109*VLOOKUP('Données projet'!$B$12,Paramètres!$A$1:$I$89,3,0)*0.475*44/12</f>
        <v>1.0598431717427128</v>
      </c>
      <c r="CM109" s="23">
        <f>EXP(-LN(2)/2)*CM108+(1-EXP(-LN(2)/2))/(LN(2)/2)*CG109*CJ109*VLOOKUP('Données projet'!$B$12,Paramètres!$A$1:$I$89,3,0)*0.475*44/12</f>
        <v>1.3459076018312992E-12</v>
      </c>
      <c r="CN109" s="24">
        <f t="shared" si="66"/>
        <v>1.5939709195057179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</v>
      </c>
      <c r="CT109" s="13">
        <f>IF('Données projet'!$A$140&gt;35,CT108+CS109-DB108,IF(A109&lt;'Données projet'!$A$140,$CQ$205^A109,IF(A109='Données projet'!$A$140,'Données projet'!$B$140,CT108+CS109-DB108)))</f>
        <v>311.99999999999989</v>
      </c>
      <c r="CU109" s="18">
        <f>CT109*VLOOKUP('Données projet'!$B$13,Paramètres!$A$1:$I$89,3,0)*VLOOKUP('Données projet'!$B$13,Paramètres!$A$1:$I$89,5,0)</f>
        <v>301.76639999999992</v>
      </c>
      <c r="CV109" s="14">
        <f t="shared" si="95"/>
        <v>71.546642144235292</v>
      </c>
      <c r="CW109" s="22">
        <f t="shared" si="67"/>
        <v>650.18688173454302</v>
      </c>
      <c r="CX109" s="62">
        <f t="shared" si="68"/>
        <v>943.52021506787628</v>
      </c>
      <c r="CY109" s="62">
        <f ca="1">AVERAGE(OFFSET($CX$3,0,0,'Données projet'!$E$13+1,1))-AVERAGE(OFFSET($H$3,0,0,'Données projet'!$E$13+1,1))</f>
        <v>466.4945858005575</v>
      </c>
      <c r="CZ109" s="62">
        <f t="shared" si="96"/>
        <v>294.45557293177131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1.1866543808991392</v>
      </c>
      <c r="DH109" s="23">
        <f>EXP(-LN(2)/2)*DH108+(1-EXP(-LN(2)/2))/(LN(2)/2)*DB109*DE109*VLOOKUP('Données projet'!$B$13,Paramètres!$A$1:$I$89,3,0)*0.475*44/12</f>
        <v>5.7982233428891228E-11</v>
      </c>
      <c r="DI109" s="24">
        <f t="shared" si="69"/>
        <v>1.1866543809571215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4.2</v>
      </c>
      <c r="DO109" s="13">
        <f>IF('Données projet'!$A$166&gt;35,DO108+DN109-DW108,IF(A109&lt;'Données projet'!$A$166,$DL$205^A109,IF(A109='Données projet'!$A$166,'Données projet'!$B$166,DO108+DN109-DW108)))</f>
        <v>288.2</v>
      </c>
      <c r="DP109" s="18">
        <f>DO109*VLOOKUP('Données projet'!$B$14,Paramètres!$A$1:$I$89,3,0)*VLOOKUP('Données projet'!$B$14,Paramètres!$A$1:$I$89,5,0)</f>
        <v>274.25112000000001</v>
      </c>
      <c r="DQ109" s="14">
        <f t="shared" si="97"/>
        <v>65.750642318280555</v>
      </c>
      <c r="DR109" s="22">
        <f t="shared" si="70"/>
        <v>592.16973603767201</v>
      </c>
      <c r="DS109" s="62">
        <f t="shared" si="71"/>
        <v>885.50306937100527</v>
      </c>
      <c r="DT109" s="62">
        <f ca="1">AVERAGE(OFFSET($DS$3,0,0,'Données projet'!$E$14+1,1))-AVERAGE(OFFSET($H$3,0,0,'Données projet'!$E$14+1,1))</f>
        <v>404.20764079465965</v>
      </c>
      <c r="DU109" s="62">
        <f t="shared" si="98"/>
        <v>243.23852967152732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7.321370699918352E-11</v>
      </c>
      <c r="ED109" s="24">
        <f t="shared" si="72"/>
        <v>7.321370699918352E-11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439.06700232017681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1.0797403993242027</v>
      </c>
      <c r="AB110" s="23">
        <f>EXP(-LN(2)/2)*AB109+(1-EXP(-LN(2)/2))/(LN(2)/2)*V110*Y110*VLOOKUP('Données projet'!$B$9,Paramètres!$A$1:$I$89,3,0)*0.475*44/12</f>
        <v>3.8354492997786895E-11</v>
      </c>
      <c r="AC110" s="24">
        <f t="shared" si="57"/>
        <v>1.0797403993625572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396.92963589781414</v>
      </c>
      <c r="AO110" s="62">
        <f t="shared" si="90"/>
        <v>294.38852181137639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4.4337866711430253E-14</v>
      </c>
      <c r="BF110" s="14">
        <f t="shared" si="91"/>
        <v>7.3222115536967035E-13</v>
      </c>
      <c r="BG110" s="22">
        <f t="shared" si="61"/>
        <v>1.3525069634579169E-12</v>
      </c>
      <c r="BH110" s="62">
        <f t="shared" si="62"/>
        <v>293.33333333333468</v>
      </c>
      <c r="BI110" s="62">
        <f ca="1">AVERAGE(OFFSET($BH$3,0,0,'Données projet'!$E$11+1,1))-AVERAGE(OFFSET($H$3,0,0,'Données projet'!$E$11+1,1))</f>
        <v>288.82868507674738</v>
      </c>
      <c r="BJ110" s="62">
        <f t="shared" si="92"/>
        <v>283.48738729114024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0.82124393619953695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0.82124393619953695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405.09126081846171</v>
      </c>
      <c r="CE110" s="62">
        <f t="shared" si="94"/>
        <v>534.22295841722166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0.52365382841381058</v>
      </c>
      <c r="CL110" s="23">
        <f>EXP(-LN(2)/25)*CL109+(1-EXP(-LN(2)/25))/(LN(2)/25)*Calculateur!CG110*Calculateur!CI110*VLOOKUP('Données projet'!$B$12,Paramètres!$A$1:$I$89,3,0)*0.475*44/12</f>
        <v>1.0308617044766781</v>
      </c>
      <c r="CM110" s="23">
        <f>EXP(-LN(2)/2)*CM109+(1-EXP(-LN(2)/2))/(LN(2)/2)*CG110*CJ110*VLOOKUP('Données projet'!$B$12,Paramètres!$A$1:$I$89,3,0)*0.475*44/12</f>
        <v>9.5170039210543539E-13</v>
      </c>
      <c r="CN110" s="24">
        <f t="shared" si="66"/>
        <v>1.5545155328914404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</v>
      </c>
      <c r="CT110" s="13">
        <f>IF('Données projet'!$A$140&gt;35,CT109+CS110-DB109,IF(A110&lt;'Données projet'!$A$140,$CQ$205^A110,IF(A110='Données projet'!$A$140,'Données projet'!$B$140,CT109+CS110-DB109)))</f>
        <v>316.99999999999989</v>
      </c>
      <c r="CU110" s="18">
        <f>CT110*VLOOKUP('Données projet'!$B$13,Paramètres!$A$1:$I$89,3,0)*VLOOKUP('Données projet'!$B$13,Paramètres!$A$1:$I$89,5,0)</f>
        <v>306.60239999999993</v>
      </c>
      <c r="CV110" s="14">
        <f t="shared" si="95"/>
        <v>72.558821602115088</v>
      </c>
      <c r="CW110" s="22">
        <f t="shared" si="67"/>
        <v>660.37246095701687</v>
      </c>
      <c r="CX110" s="62">
        <f t="shared" si="68"/>
        <v>953.70579429035024</v>
      </c>
      <c r="CY110" s="62">
        <f ca="1">AVERAGE(OFFSET($CX$3,0,0,'Données projet'!$E$13+1,1))-AVERAGE(OFFSET($H$3,0,0,'Données projet'!$E$13+1,1))</f>
        <v>466.4945858005575</v>
      </c>
      <c r="CZ110" s="62">
        <f t="shared" si="96"/>
        <v>294.45557293177131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1.1542052544500105</v>
      </c>
      <c r="DH110" s="23">
        <f>EXP(-LN(2)/2)*DH109+(1-EXP(-LN(2)/2))/(LN(2)/2)*DB110*DE110*VLOOKUP('Données projet'!$B$13,Paramètres!$A$1:$I$89,3,0)*0.475*44/12</f>
        <v>4.0999630445910315E-11</v>
      </c>
      <c r="DI110" s="24">
        <f t="shared" si="69"/>
        <v>1.1542052544910102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4.2</v>
      </c>
      <c r="DO110" s="13">
        <f>IF('Données projet'!$A$166&gt;35,DO109+DN110-DW109,IF(A110&lt;'Données projet'!$A$166,$DL$205^A110,IF(A110='Données projet'!$A$166,'Données projet'!$B$166,DO109+DN110-DW109)))</f>
        <v>292.39999999999998</v>
      </c>
      <c r="DP110" s="18">
        <f>DO110*VLOOKUP('Données projet'!$B$14,Paramètres!$A$1:$I$89,3,0)*VLOOKUP('Données projet'!$B$14,Paramètres!$A$1:$I$89,5,0)</f>
        <v>278.24784</v>
      </c>
      <c r="DQ110" s="14">
        <f t="shared" si="97"/>
        <v>66.596591933143088</v>
      </c>
      <c r="DR110" s="22">
        <f t="shared" si="70"/>
        <v>600.60405228355751</v>
      </c>
      <c r="DS110" s="62">
        <f t="shared" si="71"/>
        <v>893.93738561689088</v>
      </c>
      <c r="DT110" s="62">
        <f ca="1">AVERAGE(OFFSET($DS$3,0,0,'Données projet'!$E$14+1,1))-AVERAGE(OFFSET($H$3,0,0,'Données projet'!$E$14+1,1))</f>
        <v>404.20764079465965</v>
      </c>
      <c r="DU110" s="62">
        <f t="shared" si="98"/>
        <v>243.23852967152732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5.1769908694927665E-11</v>
      </c>
      <c r="ED110" s="24">
        <f t="shared" si="72"/>
        <v>5.1769908694927665E-11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439.06700232017681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1.0502148413236025</v>
      </c>
      <c r="AB111" s="23">
        <f>EXP(-LN(2)/2)*AB110+(1-EXP(-LN(2)/2))/(LN(2)/2)*V111*Y111*VLOOKUP('Données projet'!$B$9,Paramètres!$A$1:$I$89,3,0)*0.475*44/12</f>
        <v>2.7120722087707068E-11</v>
      </c>
      <c r="AC111" s="24">
        <f t="shared" si="57"/>
        <v>1.0502148413507233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396.92963589781414</v>
      </c>
      <c r="AO111" s="62">
        <f t="shared" si="90"/>
        <v>294.38852181137639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4.4337866711430253E-14</v>
      </c>
      <c r="BF111" s="14">
        <f t="shared" si="91"/>
        <v>7.3222115536967035E-13</v>
      </c>
      <c r="BG111" s="22">
        <f t="shared" si="61"/>
        <v>1.3525069634579169E-12</v>
      </c>
      <c r="BH111" s="62">
        <f t="shared" si="62"/>
        <v>293.33333333333468</v>
      </c>
      <c r="BI111" s="62">
        <f ca="1">AVERAGE(OFFSET($BH$3,0,0,'Données projet'!$E$11+1,1))-AVERAGE(OFFSET($H$3,0,0,'Données projet'!$E$11+1,1))</f>
        <v>288.82868507674738</v>
      </c>
      <c r="BJ111" s="62">
        <f t="shared" si="92"/>
        <v>283.48738729114024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0.79878697757681894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0.79878697757681894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405.09126081846171</v>
      </c>
      <c r="CE111" s="62">
        <f t="shared" si="94"/>
        <v>534.22295841722166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0.51338529623591322</v>
      </c>
      <c r="CL111" s="23">
        <f>EXP(-LN(2)/25)*CL110+(1-EXP(-LN(2)/25))/(LN(2)/25)*Calculateur!CG111*Calculateur!CI111*VLOOKUP('Données projet'!$B$12,Paramètres!$A$1:$I$89,3,0)*0.475*44/12</f>
        <v>1.0026727369571025</v>
      </c>
      <c r="CM111" s="23">
        <f>EXP(-LN(2)/2)*CM110+(1-EXP(-LN(2)/2))/(LN(2)/2)*CG111*CJ111*VLOOKUP('Données projet'!$B$12,Paramètres!$A$1:$I$89,3,0)*0.475*44/12</f>
        <v>6.7295380091564961E-13</v>
      </c>
      <c r="CN111" s="24">
        <f t="shared" si="66"/>
        <v>1.5160580331936886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</v>
      </c>
      <c r="CT111" s="13">
        <f>IF('Données projet'!$A$140&gt;35,CT110+CS111-DB110,IF(A111&lt;'Données projet'!$A$140,$CQ$205^A111,IF(A111='Données projet'!$A$140,'Données projet'!$B$140,CT110+CS111-DB110)))</f>
        <v>321.99999999999989</v>
      </c>
      <c r="CU111" s="18">
        <f>CT111*VLOOKUP('Données projet'!$B$13,Paramètres!$A$1:$I$89,3,0)*VLOOKUP('Données projet'!$B$13,Paramètres!$A$1:$I$89,5,0)</f>
        <v>311.43839999999989</v>
      </c>
      <c r="CV111" s="14">
        <f t="shared" si="95"/>
        <v>73.569144360291361</v>
      </c>
      <c r="CW111" s="22">
        <f t="shared" si="67"/>
        <v>670.55480642750729</v>
      </c>
      <c r="CX111" s="62">
        <f t="shared" si="68"/>
        <v>963.88813976084066</v>
      </c>
      <c r="CY111" s="62">
        <f ca="1">AVERAGE(OFFSET($CX$3,0,0,'Données projet'!$E$13+1,1))-AVERAGE(OFFSET($H$3,0,0,'Données projet'!$E$13+1,1))</f>
        <v>466.4945858005575</v>
      </c>
      <c r="CZ111" s="62">
        <f t="shared" si="96"/>
        <v>294.45557293177131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1.1226434510700587</v>
      </c>
      <c r="DH111" s="23">
        <f>EXP(-LN(2)/2)*DH110+(1-EXP(-LN(2)/2))/(LN(2)/2)*DB111*DE111*VLOOKUP('Données projet'!$B$13,Paramètres!$A$1:$I$89,3,0)*0.475*44/12</f>
        <v>2.8991116714445617E-11</v>
      </c>
      <c r="DI111" s="24">
        <f t="shared" si="69"/>
        <v>1.1226434510990497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4.2</v>
      </c>
      <c r="DO111" s="13">
        <f>IF('Données projet'!$A$166&gt;35,DO110+DN111-DW110,IF(A111&lt;'Données projet'!$A$166,$DL$205^A111,IF(A111='Données projet'!$A$166,'Données projet'!$B$166,DO110+DN111-DW110)))</f>
        <v>296.59999999999997</v>
      </c>
      <c r="DP111" s="18">
        <f>DO111*VLOOKUP('Données projet'!$B$14,Paramètres!$A$1:$I$89,3,0)*VLOOKUP('Données projet'!$B$14,Paramètres!$A$1:$I$89,5,0)</f>
        <v>282.24455999999998</v>
      </c>
      <c r="DQ111" s="14">
        <f t="shared" si="97"/>
        <v>67.441128287637042</v>
      </c>
      <c r="DR111" s="22">
        <f t="shared" si="70"/>
        <v>609.03590710096785</v>
      </c>
      <c r="DS111" s="62">
        <f t="shared" si="71"/>
        <v>902.36924043430122</v>
      </c>
      <c r="DT111" s="62">
        <f ca="1">AVERAGE(OFFSET($DS$3,0,0,'Données projet'!$E$14+1,1))-AVERAGE(OFFSET($H$3,0,0,'Données projet'!$E$14+1,1))</f>
        <v>404.20764079465965</v>
      </c>
      <c r="DU111" s="62">
        <f t="shared" si="98"/>
        <v>243.23852967152732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3.660685349959176E-11</v>
      </c>
      <c r="ED111" s="24">
        <f t="shared" si="72"/>
        <v>3.660685349959176E-11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439.06700232017681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1.0214966612592105</v>
      </c>
      <c r="AB112" s="23">
        <f>EXP(-LN(2)/2)*AB111+(1-EXP(-LN(2)/2))/(LN(2)/2)*V112*Y112*VLOOKUP('Données projet'!$B$9,Paramètres!$A$1:$I$89,3,0)*0.475*44/12</f>
        <v>1.9177246498893448E-11</v>
      </c>
      <c r="AC112" s="24">
        <f t="shared" si="57"/>
        <v>1.0214966612783878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396.92963589781414</v>
      </c>
      <c r="AO112" s="62">
        <f t="shared" si="90"/>
        <v>294.38852181137639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4.4337866711430253E-14</v>
      </c>
      <c r="BF112" s="14">
        <f t="shared" si="91"/>
        <v>7.3222115536967035E-13</v>
      </c>
      <c r="BG112" s="22">
        <f t="shared" si="61"/>
        <v>1.3525069634579169E-12</v>
      </c>
      <c r="BH112" s="62">
        <f t="shared" si="62"/>
        <v>293.33333333333468</v>
      </c>
      <c r="BI112" s="62">
        <f ca="1">AVERAGE(OFFSET($BH$3,0,0,'Données projet'!$E$11+1,1))-AVERAGE(OFFSET($H$3,0,0,'Données projet'!$E$11+1,1))</f>
        <v>288.82868507674738</v>
      </c>
      <c r="BJ112" s="62">
        <f t="shared" si="92"/>
        <v>283.48738729114024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0.77694410566859928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0.77694410566859928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405.09126081846171</v>
      </c>
      <c r="CE112" s="62">
        <f t="shared" si="94"/>
        <v>534.22295841722166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0.50331812371083828</v>
      </c>
      <c r="CL112" s="23">
        <f>EXP(-LN(2)/25)*CL111+(1-EXP(-LN(2)/25))/(LN(2)/25)*Calculateur!CG112*Calculateur!CI112*VLOOKUP('Données projet'!$B$12,Paramètres!$A$1:$I$89,3,0)*0.475*44/12</f>
        <v>0.97525459823674288</v>
      </c>
      <c r="CM112" s="23">
        <f>EXP(-LN(2)/2)*CM111+(1-EXP(-LN(2)/2))/(LN(2)/2)*CG112*CJ112*VLOOKUP('Données projet'!$B$12,Paramètres!$A$1:$I$89,3,0)*0.475*44/12</f>
        <v>4.758501960527177E-13</v>
      </c>
      <c r="CN112" s="24">
        <f t="shared" si="66"/>
        <v>1.4785727219480569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</v>
      </c>
      <c r="CT112" s="13">
        <f>IF('Données projet'!$A$140&gt;35,CT111+CS112-DB111,IF(A112&lt;'Données projet'!$A$140,$CQ$205^A112,IF(A112='Données projet'!$A$140,'Données projet'!$B$140,CT111+CS112-DB111)))</f>
        <v>326.99999999999989</v>
      </c>
      <c r="CU112" s="18">
        <f>CT112*VLOOKUP('Données projet'!$B$13,Paramètres!$A$1:$I$89,3,0)*VLOOKUP('Données projet'!$B$13,Paramètres!$A$1:$I$89,5,0)</f>
        <v>316.2743999999999</v>
      </c>
      <c r="CV112" s="14">
        <f t="shared" si="95"/>
        <v>74.577642578935567</v>
      </c>
      <c r="CW112" s="22">
        <f t="shared" si="67"/>
        <v>680.73397415831266</v>
      </c>
      <c r="CX112" s="62">
        <f t="shared" si="68"/>
        <v>974.06730749164603</v>
      </c>
      <c r="CY112" s="62">
        <f ca="1">AVERAGE(OFFSET($CX$3,0,0,'Données projet'!$E$13+1,1))-AVERAGE(OFFSET($H$3,0,0,'Données projet'!$E$13+1,1))</f>
        <v>466.4945858005575</v>
      </c>
      <c r="CZ112" s="62">
        <f t="shared" si="96"/>
        <v>294.45557293177131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1.0919447068632946</v>
      </c>
      <c r="DH112" s="23">
        <f>EXP(-LN(2)/2)*DH111+(1-EXP(-LN(2)/2))/(LN(2)/2)*DB112*DE112*VLOOKUP('Données projet'!$B$13,Paramètres!$A$1:$I$89,3,0)*0.475*44/12</f>
        <v>2.0499815222955161E-11</v>
      </c>
      <c r="DI112" s="24">
        <f t="shared" si="69"/>
        <v>1.0919447068837944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4.2</v>
      </c>
      <c r="DO112" s="13">
        <f>IF('Données projet'!$A$166&gt;35,DO111+DN112-DW111,IF(A112&lt;'Données projet'!$A$166,$DL$205^A112,IF(A112='Données projet'!$A$166,'Données projet'!$B$166,DO111+DN112-DW111)))</f>
        <v>300.79999999999995</v>
      </c>
      <c r="DP112" s="18">
        <f>DO112*VLOOKUP('Données projet'!$B$14,Paramètres!$A$1:$I$89,3,0)*VLOOKUP('Données projet'!$B$14,Paramètres!$A$1:$I$89,5,0)</f>
        <v>286.24127999999996</v>
      </c>
      <c r="DQ112" s="14">
        <f t="shared" si="97"/>
        <v>68.284273706763784</v>
      </c>
      <c r="DR112" s="22">
        <f t="shared" si="70"/>
        <v>617.46533937261358</v>
      </c>
      <c r="DS112" s="62">
        <f t="shared" si="71"/>
        <v>910.79867270594696</v>
      </c>
      <c r="DT112" s="62">
        <f ca="1">AVERAGE(OFFSET($DS$3,0,0,'Données projet'!$E$14+1,1))-AVERAGE(OFFSET($H$3,0,0,'Données projet'!$E$14+1,1))</f>
        <v>404.20764079465965</v>
      </c>
      <c r="DU112" s="62">
        <f t="shared" si="98"/>
        <v>243.23852967152732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2.5884954347463833E-11</v>
      </c>
      <c r="ED112" s="24">
        <f t="shared" si="72"/>
        <v>2.5884954347463833E-11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439.06700232017681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0.99356378133890255</v>
      </c>
      <c r="AB113" s="23">
        <f>EXP(-LN(2)/2)*AB112+(1-EXP(-LN(2)/2))/(LN(2)/2)*V113*Y113*VLOOKUP('Données projet'!$B$9,Paramètres!$A$1:$I$89,3,0)*0.475*44/12</f>
        <v>1.3560361043853534E-11</v>
      </c>
      <c r="AC113" s="24">
        <f t="shared" si="57"/>
        <v>0.99356378135246293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396.92963589781414</v>
      </c>
      <c r="AO113" s="62">
        <f t="shared" si="90"/>
        <v>294.38852181137639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4.4337866711430253E-14</v>
      </c>
      <c r="BF113" s="14">
        <f t="shared" si="91"/>
        <v>7.3222115536967035E-13</v>
      </c>
      <c r="BG113" s="22">
        <f t="shared" si="61"/>
        <v>1.3525069634579169E-12</v>
      </c>
      <c r="BH113" s="62">
        <f t="shared" si="62"/>
        <v>293.33333333333468</v>
      </c>
      <c r="BI113" s="62">
        <f ca="1">AVERAGE(OFFSET($BH$3,0,0,'Données projet'!$E$11+1,1))-AVERAGE(OFFSET($H$3,0,0,'Données projet'!$E$11+1,1))</f>
        <v>288.82868507674738</v>
      </c>
      <c r="BJ113" s="62">
        <f t="shared" si="92"/>
        <v>283.48738729114024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0.75569852824137662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0.75569852824137662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405.09126081846171</v>
      </c>
      <c r="CE113" s="62">
        <f t="shared" si="94"/>
        <v>534.22295841722166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0.49344836229861111</v>
      </c>
      <c r="CL113" s="23">
        <f>EXP(-LN(2)/25)*CL112+(1-EXP(-LN(2)/25))/(LN(2)/25)*Calculateur!CG113*Calculateur!CI113*VLOOKUP('Données projet'!$B$12,Paramètres!$A$1:$I$89,3,0)*0.475*44/12</f>
        <v>0.94858620996154874</v>
      </c>
      <c r="CM113" s="23">
        <f>EXP(-LN(2)/2)*CM112+(1-EXP(-LN(2)/2))/(LN(2)/2)*CG113*CJ113*VLOOKUP('Données projet'!$B$12,Paramètres!$A$1:$I$89,3,0)*0.475*44/12</f>
        <v>3.364769004578248E-13</v>
      </c>
      <c r="CN113" s="24">
        <f t="shared" si="66"/>
        <v>1.4420345722604961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332</v>
      </c>
      <c r="CR113" s="13">
        <f>VLOOKUP(A113,'Données projet'!$A$139:$I$159,9,0)</f>
        <v>5</v>
      </c>
      <c r="CS113" s="13">
        <f t="array" ref="CS113">INDEX(CR:CR,MIN(IF(ISNUMBER(CR113:CR309),ROW(CR113:CR309),"")))</f>
        <v>5</v>
      </c>
      <c r="CT113" s="13">
        <f>IF('Données projet'!$A$140&gt;35,CT112+CS113-DB112,IF(A113&lt;'Données projet'!$A$140,$CQ$205^A113,IF(A113='Données projet'!$A$140,'Données projet'!$B$140,CT112+CS113-DB112)))</f>
        <v>331.99999999999989</v>
      </c>
      <c r="CU113" s="18">
        <f>CT113*VLOOKUP('Données projet'!$B$13,Paramètres!$A$1:$I$89,3,0)*VLOOKUP('Données projet'!$B$13,Paramètres!$A$1:$I$89,5,0)</f>
        <v>321.11039999999986</v>
      </c>
      <c r="CV113" s="14">
        <f t="shared" si="95"/>
        <v>75.584347378293316</v>
      </c>
      <c r="CW113" s="22">
        <f t="shared" si="67"/>
        <v>690.91001835052737</v>
      </c>
      <c r="CX113" s="62">
        <f t="shared" si="68"/>
        <v>984.24335168386074</v>
      </c>
      <c r="CY113" s="62">
        <f ca="1">AVERAGE(OFFSET($CX$3,0,0,'Données projet'!$E$13+1,1))-AVERAGE(OFFSET($H$3,0,0,'Données projet'!$E$13+1,1))</f>
        <v>466.4945858005575</v>
      </c>
      <c r="CZ113" s="62">
        <f t="shared" si="96"/>
        <v>294.45557293177131</v>
      </c>
      <c r="DA113" s="16">
        <f>IF(ISNA(VLOOKUP(A113,'Données projet'!$A$139:$I$159,3,0)),0,VLOOKUP(A113,'Données projet'!$A$139:$I$159,3,0))</f>
        <v>19</v>
      </c>
      <c r="DB113" s="16">
        <f>IF(ISNA(VLOOKUP(A113,'Données projet'!$A$139:$I$159,4,0)),0,VLOOKUP(A113,'Données projet'!$A$139:$I$159,4,0))</f>
        <v>25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1.0620854214312414</v>
      </c>
      <c r="DH113" s="23">
        <f>EXP(-LN(2)/2)*DH112+(1-EXP(-LN(2)/2))/(LN(2)/2)*DB113*DE113*VLOOKUP('Données projet'!$B$13,Paramètres!$A$1:$I$89,3,0)*0.475*44/12</f>
        <v>1.4495558357222812E-11</v>
      </c>
      <c r="DI113" s="24">
        <f t="shared" si="69"/>
        <v>1.0620854214457369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4.2</v>
      </c>
      <c r="DN113" s="13">
        <f t="array" ref="DN113">INDEX(DM:DM,MIN(IF(ISNUMBER(DM113:DM309),ROW(DM113:DM309),"")))</f>
        <v>4.2</v>
      </c>
      <c r="DO113" s="13">
        <f>IF('Données projet'!$A$166&gt;35,DO112+DN113-DW112,IF(A113&lt;'Données projet'!$A$166,$DL$205^A113,IF(A113='Données projet'!$A$166,'Données projet'!$B$166,DO112+DN113-DW112)))</f>
        <v>304.99999999999994</v>
      </c>
      <c r="DP113" s="18">
        <f>DO113*VLOOKUP('Données projet'!$B$14,Paramètres!$A$1:$I$89,3,0)*VLOOKUP('Données projet'!$B$14,Paramètres!$A$1:$I$89,5,0)</f>
        <v>290.23799999999994</v>
      </c>
      <c r="DQ113" s="14">
        <f t="shared" si="97"/>
        <v>69.12604985627523</v>
      </c>
      <c r="DR113" s="22">
        <f t="shared" si="70"/>
        <v>625.89238683301267</v>
      </c>
      <c r="DS113" s="62">
        <f t="shared" si="71"/>
        <v>919.22572016634604</v>
      </c>
      <c r="DT113" s="62">
        <f ca="1">AVERAGE(OFFSET($DS$3,0,0,'Données projet'!$E$14+1,1))-AVERAGE(OFFSET($H$3,0,0,'Données projet'!$E$14+1,1))</f>
        <v>404.20764079465965</v>
      </c>
      <c r="DU113" s="62">
        <f t="shared" si="98"/>
        <v>243.23852967152732</v>
      </c>
      <c r="DV113" s="16">
        <f>IF(ISNA(VLOOKUP(A113,'Données projet'!$A$165:$I$185,3,0)),0,VLOOKUP(A113,'Données projet'!$A$165:$I$185,3,0))</f>
        <v>18</v>
      </c>
      <c r="DW113" s="16">
        <f>IF(ISNA(VLOOKUP(A113,'Données projet'!$A$165:$I$185,4,0)),0,VLOOKUP(A113,'Données projet'!$A$165:$I$185,4,0))</f>
        <v>19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1.830342674979588E-11</v>
      </c>
      <c r="ED113" s="24">
        <f t="shared" si="72"/>
        <v>1.830342674979588E-11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439.06700232017681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0.96639472748894184</v>
      </c>
      <c r="AB114" s="23">
        <f>EXP(-LN(2)/2)*AB113+(1-EXP(-LN(2)/2))/(LN(2)/2)*V114*Y114*VLOOKUP('Données projet'!$B$9,Paramètres!$A$1:$I$89,3,0)*0.475*44/12</f>
        <v>9.5886232494467239E-12</v>
      </c>
      <c r="AC114" s="24">
        <f t="shared" si="57"/>
        <v>0.9663947274985305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396.92963589781414</v>
      </c>
      <c r="AO114" s="62">
        <f t="shared" si="90"/>
        <v>294.38852181137639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4.4337866711430253E-14</v>
      </c>
      <c r="BF114" s="14">
        <f t="shared" si="91"/>
        <v>7.3222115536967035E-13</v>
      </c>
      <c r="BG114" s="22">
        <f t="shared" si="61"/>
        <v>1.3525069634579169E-12</v>
      </c>
      <c r="BH114" s="62">
        <f t="shared" si="62"/>
        <v>293.33333333333468</v>
      </c>
      <c r="BI114" s="62">
        <f ca="1">AVERAGE(OFFSET($BH$3,0,0,'Données projet'!$E$11+1,1))-AVERAGE(OFFSET($H$3,0,0,'Données projet'!$E$11+1,1))</f>
        <v>288.82868507674738</v>
      </c>
      <c r="BJ114" s="62">
        <f t="shared" si="92"/>
        <v>283.48738729114024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0.73503391224615777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0.73503391224615777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405.09126081846171</v>
      </c>
      <c r="CE114" s="62">
        <f t="shared" si="94"/>
        <v>534.22295841722166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0.48377214088771764</v>
      </c>
      <c r="CL114" s="23">
        <f>EXP(-LN(2)/25)*CL113+(1-EXP(-LN(2)/25))/(LN(2)/25)*Calculateur!CG114*Calculateur!CI114*VLOOKUP('Données projet'!$B$12,Paramètres!$A$1:$I$89,3,0)*0.475*44/12</f>
        <v>0.92264707016616943</v>
      </c>
      <c r="CM114" s="23">
        <f>EXP(-LN(2)/2)*CM113+(1-EXP(-LN(2)/2))/(LN(2)/2)*CG114*CJ114*VLOOKUP('Données projet'!$B$12,Paramètres!$A$1:$I$89,3,0)*0.475*44/12</f>
        <v>2.3792509802635885E-13</v>
      </c>
      <c r="CN114" s="24">
        <f t="shared" si="66"/>
        <v>1.4064192110541252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4.5999999999999996</v>
      </c>
      <c r="CT114" s="13">
        <f>IF('Données projet'!$A$140&gt;35,CT113+CS114-DB113,IF(A114&lt;'Données projet'!$A$140,$CQ$205^A114,IF(A114='Données projet'!$A$140,'Données projet'!$B$140,CT113+CS114-DB113)))</f>
        <v>311.59999999999991</v>
      </c>
      <c r="CU114" s="18">
        <f>CT114*VLOOKUP('Données projet'!$B$13,Paramètres!$A$1:$I$89,3,0)*VLOOKUP('Données projet'!$B$13,Paramètres!$A$1:$I$89,5,0)</f>
        <v>301.37951999999996</v>
      </c>
      <c r="CV114" s="14">
        <f t="shared" si="95"/>
        <v>71.465586589963848</v>
      </c>
      <c r="CW114" s="22">
        <f t="shared" si="67"/>
        <v>649.37189397752024</v>
      </c>
      <c r="CX114" s="62">
        <f t="shared" si="68"/>
        <v>942.70522731085362</v>
      </c>
      <c r="CY114" s="62">
        <f ca="1">AVERAGE(OFFSET($CX$3,0,0,'Données projet'!$E$13+1,1))-AVERAGE(OFFSET($H$3,0,0,'Données projet'!$E$13+1,1))</f>
        <v>466.4945858005575</v>
      </c>
      <c r="CZ114" s="62">
        <f t="shared" si="96"/>
        <v>294.45557293177131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1.0330426397295591</v>
      </c>
      <c r="DH114" s="23">
        <f>EXP(-LN(2)/2)*DH113+(1-EXP(-LN(2)/2))/(LN(2)/2)*DB114*DE114*VLOOKUP('Données projet'!$B$13,Paramètres!$A$1:$I$89,3,0)*0.475*44/12</f>
        <v>1.0249907611477582E-11</v>
      </c>
      <c r="DI114" s="24">
        <f t="shared" si="69"/>
        <v>1.0330426397398089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3.8</v>
      </c>
      <c r="DO114" s="13">
        <f>IF('Données projet'!$A$166&gt;35,DO113+DN114-DW113,IF(A114&lt;'Données projet'!$A$166,$DL$205^A114,IF(A114='Données projet'!$A$166,'Données projet'!$B$166,DO113+DN114-DW113)))</f>
        <v>289.79999999999995</v>
      </c>
      <c r="DP114" s="18">
        <f>DO114*VLOOKUP('Données projet'!$B$14,Paramètres!$A$1:$I$89,3,0)*VLOOKUP('Données projet'!$B$14,Paramètres!$A$1:$I$89,5,0)</f>
        <v>275.77367999999996</v>
      </c>
      <c r="DQ114" s="14">
        <f t="shared" si="97"/>
        <v>66.073076930208813</v>
      </c>
      <c r="DR114" s="22">
        <f t="shared" si="70"/>
        <v>595.38310165344683</v>
      </c>
      <c r="DS114" s="62">
        <f t="shared" si="71"/>
        <v>888.71643498678009</v>
      </c>
      <c r="DT114" s="62">
        <f ca="1">AVERAGE(OFFSET($DS$3,0,0,'Données projet'!$E$14+1,1))-AVERAGE(OFFSET($H$3,0,0,'Données projet'!$E$14+1,1))</f>
        <v>404.20764079465965</v>
      </c>
      <c r="DU114" s="62">
        <f t="shared" si="98"/>
        <v>243.23852967152732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1.2942477173731916E-11</v>
      </c>
      <c r="ED114" s="24">
        <f t="shared" si="72"/>
        <v>1.2942477173731916E-11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439.06700232017681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0.93996861284526678</v>
      </c>
      <c r="AB115" s="23">
        <f>EXP(-LN(2)/2)*AB114+(1-EXP(-LN(2)/2))/(LN(2)/2)*V115*Y115*VLOOKUP('Données projet'!$B$9,Paramètres!$A$1:$I$89,3,0)*0.475*44/12</f>
        <v>6.7801805219267669E-12</v>
      </c>
      <c r="AC115" s="24">
        <f t="shared" si="57"/>
        <v>0.93996861285204691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396.92963589781414</v>
      </c>
      <c r="AO115" s="62">
        <f t="shared" si="90"/>
        <v>294.38852181137639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4.4337866711430253E-14</v>
      </c>
      <c r="BF115" s="14">
        <f t="shared" si="91"/>
        <v>7.3222115536967035E-13</v>
      </c>
      <c r="BG115" s="22">
        <f t="shared" si="61"/>
        <v>1.3525069634579169E-12</v>
      </c>
      <c r="BH115" s="62">
        <f t="shared" si="62"/>
        <v>293.33333333333468</v>
      </c>
      <c r="BI115" s="62">
        <f ca="1">AVERAGE(OFFSET($BH$3,0,0,'Données projet'!$E$11+1,1))-AVERAGE(OFFSET($H$3,0,0,'Données projet'!$E$11+1,1))</f>
        <v>288.82868507674738</v>
      </c>
      <c r="BJ115" s="62">
        <f t="shared" si="92"/>
        <v>283.48738729114024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0.71493437126203307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0.71493437126203307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405.09126081846171</v>
      </c>
      <c r="CE115" s="62">
        <f t="shared" si="94"/>
        <v>534.22295841722166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0.47428566427677948</v>
      </c>
      <c r="CL115" s="23">
        <f>EXP(-LN(2)/25)*CL114+(1-EXP(-LN(2)/25))/(LN(2)/25)*Calculateur!CG115*Calculateur!CI115*VLOOKUP('Données projet'!$B$12,Paramètres!$A$1:$I$89,3,0)*0.475*44/12</f>
        <v>0.89741723751257485</v>
      </c>
      <c r="CM115" s="23">
        <f>EXP(-LN(2)/2)*CM114+(1-EXP(-LN(2)/2))/(LN(2)/2)*CG115*CJ115*VLOOKUP('Données projet'!$B$12,Paramètres!$A$1:$I$89,3,0)*0.475*44/12</f>
        <v>1.682384502289124E-13</v>
      </c>
      <c r="CN115" s="24">
        <f t="shared" si="66"/>
        <v>1.3717029017895226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4.5999999999999996</v>
      </c>
      <c r="CT115" s="13">
        <f>IF('Données projet'!$A$140&gt;35,CT114+CS115-DB114,IF(A115&lt;'Données projet'!$A$140,$CQ$205^A115,IF(A115='Données projet'!$A$140,'Données projet'!$B$140,CT114+CS115-DB114)))</f>
        <v>316.19999999999993</v>
      </c>
      <c r="CU115" s="18">
        <f>CT115*VLOOKUP('Données projet'!$B$13,Paramètres!$A$1:$I$89,3,0)*VLOOKUP('Données projet'!$B$13,Paramètres!$A$1:$I$89,5,0)</f>
        <v>305.82863999999995</v>
      </c>
      <c r="CV115" s="14">
        <f t="shared" si="95"/>
        <v>72.396998509767741</v>
      </c>
      <c r="CW115" s="22">
        <f t="shared" si="67"/>
        <v>658.74298707117862</v>
      </c>
      <c r="CX115" s="62">
        <f t="shared" si="68"/>
        <v>952.07632040451199</v>
      </c>
      <c r="CY115" s="62">
        <f ca="1">AVERAGE(OFFSET($CX$3,0,0,'Données projet'!$E$13+1,1))-AVERAGE(OFFSET($H$3,0,0,'Données projet'!$E$13+1,1))</f>
        <v>466.4945858005575</v>
      </c>
      <c r="CZ115" s="62">
        <f t="shared" si="96"/>
        <v>294.45557293177131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1.0047940344208031</v>
      </c>
      <c r="DH115" s="23">
        <f>EXP(-LN(2)/2)*DH114+(1-EXP(-LN(2)/2))/(LN(2)/2)*DB115*DE115*VLOOKUP('Données projet'!$B$13,Paramètres!$A$1:$I$89,3,0)*0.475*44/12</f>
        <v>7.2477791786114067E-12</v>
      </c>
      <c r="DI115" s="24">
        <f t="shared" si="69"/>
        <v>1.0047940344280508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3.8</v>
      </c>
      <c r="DO115" s="13">
        <f>IF('Données projet'!$A$166&gt;35,DO114+DN115-DW114,IF(A115&lt;'Données projet'!$A$166,$DL$205^A115,IF(A115='Données projet'!$A$166,'Données projet'!$B$166,DO114+DN115-DW114)))</f>
        <v>293.59999999999997</v>
      </c>
      <c r="DP115" s="18">
        <f>DO115*VLOOKUP('Données projet'!$B$14,Paramètres!$A$1:$I$89,3,0)*VLOOKUP('Données projet'!$B$14,Paramètres!$A$1:$I$89,5,0)</f>
        <v>279.38975999999997</v>
      </c>
      <c r="DQ115" s="14">
        <f t="shared" si="97"/>
        <v>66.838031255702887</v>
      </c>
      <c r="DR115" s="22">
        <f t="shared" si="70"/>
        <v>603.01340310368244</v>
      </c>
      <c r="DS115" s="62">
        <f t="shared" si="71"/>
        <v>896.34673643701581</v>
      </c>
      <c r="DT115" s="62">
        <f ca="1">AVERAGE(OFFSET($DS$3,0,0,'Données projet'!$E$14+1,1))-AVERAGE(OFFSET($H$3,0,0,'Données projet'!$E$14+1,1))</f>
        <v>404.20764079465965</v>
      </c>
      <c r="DU115" s="62">
        <f t="shared" si="98"/>
        <v>243.23852967152732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9.15171337489794E-12</v>
      </c>
      <c r="ED115" s="24">
        <f t="shared" si="72"/>
        <v>9.15171337489794E-12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439.06700232017681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0.91426512169621199</v>
      </c>
      <c r="AB116" s="23">
        <f>EXP(-LN(2)/2)*AB115+(1-EXP(-LN(2)/2))/(LN(2)/2)*V116*Y116*VLOOKUP('Données projet'!$B$9,Paramètres!$A$1:$I$89,3,0)*0.475*44/12</f>
        <v>4.7943116247233619E-12</v>
      </c>
      <c r="AC116" s="24">
        <f t="shared" si="57"/>
        <v>0.91426512170100627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396.92963589781414</v>
      </c>
      <c r="AO116" s="62">
        <f t="shared" si="90"/>
        <v>294.38852181137639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4.4337866711430253E-14</v>
      </c>
      <c r="BF116" s="14">
        <f t="shared" si="91"/>
        <v>7.3222115536967035E-13</v>
      </c>
      <c r="BG116" s="22">
        <f t="shared" si="61"/>
        <v>1.3525069634579169E-12</v>
      </c>
      <c r="BH116" s="62">
        <f t="shared" si="62"/>
        <v>293.33333333333468</v>
      </c>
      <c r="BI116" s="62">
        <f ca="1">AVERAGE(OFFSET($BH$3,0,0,'Données projet'!$E$11+1,1))-AVERAGE(OFFSET($H$3,0,0,'Données projet'!$E$11+1,1))</f>
        <v>288.82868507674738</v>
      </c>
      <c r="BJ116" s="62">
        <f t="shared" si="92"/>
        <v>283.48738729114024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0.69538445328310816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0.69538445328310816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405.09126081846171</v>
      </c>
      <c r="CE116" s="62">
        <f t="shared" si="94"/>
        <v>534.22295841722166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0.46498521168600243</v>
      </c>
      <c r="CL116" s="23">
        <f>EXP(-LN(2)/25)*CL115+(1-EXP(-LN(2)/25))/(LN(2)/25)*Calculateur!CG116*Calculateur!CI116*VLOOKUP('Données projet'!$B$12,Paramètres!$A$1:$I$89,3,0)*0.475*44/12</f>
        <v>0.872877315959672</v>
      </c>
      <c r="CM116" s="23">
        <f>EXP(-LN(2)/2)*CM115+(1-EXP(-LN(2)/2))/(LN(2)/2)*CG116*CJ116*VLOOKUP('Données projet'!$B$12,Paramètres!$A$1:$I$89,3,0)*0.475*44/12</f>
        <v>1.1896254901317942E-13</v>
      </c>
      <c r="CN116" s="24">
        <f t="shared" si="66"/>
        <v>1.3378625276457934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4.5999999999999996</v>
      </c>
      <c r="CT116" s="13">
        <f>IF('Données projet'!$A$140&gt;35,CT115+CS116-DB115,IF(A116&lt;'Données projet'!$A$140,$CQ$205^A116,IF(A116='Données projet'!$A$140,'Données projet'!$B$140,CT115+CS116-DB115)))</f>
        <v>320.79999999999995</v>
      </c>
      <c r="CU116" s="18">
        <f>CT116*VLOOKUP('Données projet'!$B$13,Paramètres!$A$1:$I$89,3,0)*VLOOKUP('Données projet'!$B$13,Paramètres!$A$1:$I$89,5,0)</f>
        <v>310.27775999999994</v>
      </c>
      <c r="CV116" s="14">
        <f t="shared" si="95"/>
        <v>73.326834491020819</v>
      </c>
      <c r="CW116" s="22">
        <f t="shared" si="67"/>
        <v>668.11133540519438</v>
      </c>
      <c r="CX116" s="62">
        <f t="shared" si="68"/>
        <v>961.44466873852775</v>
      </c>
      <c r="CY116" s="62">
        <f ca="1">AVERAGE(OFFSET($CX$3,0,0,'Données projet'!$E$13+1,1))-AVERAGE(OFFSET($H$3,0,0,'Données projet'!$E$13+1,1))</f>
        <v>466.4945858005575</v>
      </c>
      <c r="CZ116" s="62">
        <f t="shared" si="96"/>
        <v>294.45557293177131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0.97731788870974445</v>
      </c>
      <c r="DH116" s="23">
        <f>EXP(-LN(2)/2)*DH115+(1-EXP(-LN(2)/2))/(LN(2)/2)*DB116*DE116*VLOOKUP('Données projet'!$B$13,Paramètres!$A$1:$I$89,3,0)*0.475*44/12</f>
        <v>5.1249538057387917E-12</v>
      </c>
      <c r="DI116" s="24">
        <f t="shared" si="69"/>
        <v>0.97731788871486935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3.8</v>
      </c>
      <c r="DO116" s="13">
        <f>IF('Données projet'!$A$166&gt;35,DO115+DN116-DW115,IF(A116&lt;'Données projet'!$A$166,$DL$205^A116,IF(A116='Données projet'!$A$166,'Données projet'!$B$166,DO115+DN116-DW115)))</f>
        <v>297.39999999999998</v>
      </c>
      <c r="DP116" s="18">
        <f>DO116*VLOOKUP('Données projet'!$B$14,Paramètres!$A$1:$I$89,3,0)*VLOOKUP('Données projet'!$B$14,Paramètres!$A$1:$I$89,5,0)</f>
        <v>283.00583999999998</v>
      </c>
      <c r="DQ116" s="14">
        <f t="shared" si="97"/>
        <v>67.601833980941635</v>
      </c>
      <c r="DR116" s="22">
        <f t="shared" si="70"/>
        <v>610.64169885013996</v>
      </c>
      <c r="DS116" s="62">
        <f t="shared" si="71"/>
        <v>903.97503218347333</v>
      </c>
      <c r="DT116" s="62">
        <f ca="1">AVERAGE(OFFSET($DS$3,0,0,'Données projet'!$E$14+1,1))-AVERAGE(OFFSET($H$3,0,0,'Données projet'!$E$14+1,1))</f>
        <v>404.20764079465965</v>
      </c>
      <c r="DU116" s="62">
        <f t="shared" si="98"/>
        <v>243.23852967152732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6.4712385868659582E-12</v>
      </c>
      <c r="ED116" s="24">
        <f t="shared" si="72"/>
        <v>6.4712385868659582E-12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439.06700232017681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0.88926449386431594</v>
      </c>
      <c r="AB117" s="23">
        <f>EXP(-LN(2)/2)*AB116+(1-EXP(-LN(2)/2))/(LN(2)/2)*V117*Y117*VLOOKUP('Données projet'!$B$9,Paramètres!$A$1:$I$89,3,0)*0.475*44/12</f>
        <v>3.3900902609633835E-12</v>
      </c>
      <c r="AC117" s="24">
        <f t="shared" si="57"/>
        <v>0.88926449386770601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396.92963589781414</v>
      </c>
      <c r="AO117" s="62">
        <f t="shared" si="90"/>
        <v>294.38852181137639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4.4337866711430253E-14</v>
      </c>
      <c r="BF117" s="14">
        <f t="shared" si="91"/>
        <v>7.3222115536967035E-13</v>
      </c>
      <c r="BG117" s="22">
        <f t="shared" si="61"/>
        <v>1.3525069634579169E-12</v>
      </c>
      <c r="BH117" s="62">
        <f t="shared" si="62"/>
        <v>293.33333333333468</v>
      </c>
      <c r="BI117" s="62">
        <f ca="1">AVERAGE(OFFSET($BH$3,0,0,'Données projet'!$E$11+1,1))-AVERAGE(OFFSET($H$3,0,0,'Données projet'!$E$11+1,1))</f>
        <v>288.82868507674738</v>
      </c>
      <c r="BJ117" s="62">
        <f t="shared" si="92"/>
        <v>283.48738729114024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0.67636912883940248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0.67636912883940248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405.09126081846171</v>
      </c>
      <c r="CE117" s="62">
        <f t="shared" si="94"/>
        <v>534.22295841722166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0.45586713529781459</v>
      </c>
      <c r="CL117" s="23">
        <f>EXP(-LN(2)/25)*CL116+(1-EXP(-LN(2)/25))/(LN(2)/25)*Calculateur!CG117*Calculateur!CI117*VLOOKUP('Données projet'!$B$12,Paramètres!$A$1:$I$89,3,0)*0.475*44/12</f>
        <v>0.8490084398521317</v>
      </c>
      <c r="CM117" s="23">
        <f>EXP(-LN(2)/2)*CM116+(1-EXP(-LN(2)/2))/(LN(2)/2)*CG117*CJ117*VLOOKUP('Données projet'!$B$12,Paramètres!$A$1:$I$89,3,0)*0.475*44/12</f>
        <v>8.4119225114456201E-14</v>
      </c>
      <c r="CN117" s="24">
        <f t="shared" si="66"/>
        <v>1.3048755751500305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4.5999999999999996</v>
      </c>
      <c r="CT117" s="13">
        <f>IF('Données projet'!$A$140&gt;35,CT116+CS117-DB116,IF(A117&lt;'Données projet'!$A$140,$CQ$205^A117,IF(A117='Données projet'!$A$140,'Données projet'!$B$140,CT116+CS117-DB116)))</f>
        <v>325.39999999999998</v>
      </c>
      <c r="CU117" s="18">
        <f>CT117*VLOOKUP('Données projet'!$B$13,Paramètres!$A$1:$I$89,3,0)*VLOOKUP('Données projet'!$B$13,Paramètres!$A$1:$I$89,5,0)</f>
        <v>314.72687999999999</v>
      </c>
      <c r="CV117" s="14">
        <f t="shared" si="95"/>
        <v>74.255119742405697</v>
      </c>
      <c r="CW117" s="22">
        <f t="shared" si="67"/>
        <v>677.47698288468996</v>
      </c>
      <c r="CX117" s="62">
        <f t="shared" si="68"/>
        <v>970.81031621802322</v>
      </c>
      <c r="CY117" s="62">
        <f ca="1">AVERAGE(OFFSET($CX$3,0,0,'Données projet'!$E$13+1,1))-AVERAGE(OFFSET($H$3,0,0,'Données projet'!$E$13+1,1))</f>
        <v>466.4945858005575</v>
      </c>
      <c r="CZ117" s="62">
        <f t="shared" si="96"/>
        <v>294.45557293177131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0.95059307964806239</v>
      </c>
      <c r="DH117" s="23">
        <f>EXP(-LN(2)/2)*DH116+(1-EXP(-LN(2)/2))/(LN(2)/2)*DB117*DE117*VLOOKUP('Données projet'!$B$13,Paramètres!$A$1:$I$89,3,0)*0.475*44/12</f>
        <v>3.6238895893057042E-12</v>
      </c>
      <c r="DI117" s="24">
        <f t="shared" si="69"/>
        <v>0.95059307965168627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3.8</v>
      </c>
      <c r="DO117" s="13">
        <f>IF('Données projet'!$A$166&gt;35,DO116+DN117-DW116,IF(A117&lt;'Données projet'!$A$166,$DL$205^A117,IF(A117='Données projet'!$A$166,'Données projet'!$B$166,DO116+DN117-DW116)))</f>
        <v>301.2</v>
      </c>
      <c r="DP117" s="18">
        <f>DO117*VLOOKUP('Données projet'!$B$14,Paramètres!$A$1:$I$89,3,0)*VLOOKUP('Données projet'!$B$14,Paramètres!$A$1:$I$89,5,0)</f>
        <v>286.62191999999999</v>
      </c>
      <c r="DQ117" s="14">
        <f t="shared" si="97"/>
        <v>68.364501521838832</v>
      </c>
      <c r="DR117" s="22">
        <f t="shared" si="70"/>
        <v>618.26801748386913</v>
      </c>
      <c r="DS117" s="62">
        <f t="shared" si="71"/>
        <v>911.6013508172025</v>
      </c>
      <c r="DT117" s="62">
        <f ca="1">AVERAGE(OFFSET($DS$3,0,0,'Données projet'!$E$14+1,1))-AVERAGE(OFFSET($H$3,0,0,'Données projet'!$E$14+1,1))</f>
        <v>404.20764079465965</v>
      </c>
      <c r="DU117" s="62">
        <f t="shared" si="98"/>
        <v>243.23852967152732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4.57585668744897E-12</v>
      </c>
      <c r="ED117" s="24">
        <f t="shared" si="72"/>
        <v>4.57585668744897E-12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439.06700232017681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0.86494750951520893</v>
      </c>
      <c r="AB118" s="23">
        <f>EXP(-LN(2)/2)*AB117+(1-EXP(-LN(2)/2))/(LN(2)/2)*V118*Y118*VLOOKUP('Données projet'!$B$9,Paramètres!$A$1:$I$89,3,0)*0.475*44/12</f>
        <v>2.397155812361681E-12</v>
      </c>
      <c r="AC118" s="24">
        <f t="shared" si="57"/>
        <v>0.86494750951760613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396.92963589781414</v>
      </c>
      <c r="AO118" s="62">
        <f t="shared" si="90"/>
        <v>294.38852181137639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4.4337866711430253E-14</v>
      </c>
      <c r="BF118" s="14">
        <f t="shared" si="91"/>
        <v>7.3222115536967035E-13</v>
      </c>
      <c r="BG118" s="22">
        <f t="shared" si="61"/>
        <v>1.3525069634579169E-12</v>
      </c>
      <c r="BH118" s="62">
        <f t="shared" si="62"/>
        <v>293.33333333333468</v>
      </c>
      <c r="BI118" s="62">
        <f ca="1">AVERAGE(OFFSET($BH$3,0,0,'Données projet'!$E$11+1,1))-AVERAGE(OFFSET($H$3,0,0,'Données projet'!$E$11+1,1))</f>
        <v>288.82868507674738</v>
      </c>
      <c r="BJ118" s="62">
        <f t="shared" si="92"/>
        <v>283.48738729114024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0.65787377944258241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0.65787377944258241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405.09126081846171</v>
      </c>
      <c r="CE118" s="62">
        <f t="shared" si="94"/>
        <v>534.22295841722166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0.44692785882612168</v>
      </c>
      <c r="CL118" s="23">
        <f>EXP(-LN(2)/25)*CL117+(1-EXP(-LN(2)/25))/(LN(2)/25)*Calculateur!CG118*Calculateur!CI118*VLOOKUP('Données projet'!$B$12,Paramètres!$A$1:$I$89,3,0)*0.475*44/12</f>
        <v>0.82579225941696177</v>
      </c>
      <c r="CM118" s="23">
        <f>EXP(-LN(2)/2)*CM117+(1-EXP(-LN(2)/2))/(LN(2)/2)*CG118*CJ118*VLOOKUP('Données projet'!$B$12,Paramètres!$A$1:$I$89,3,0)*0.475*44/12</f>
        <v>5.9481274506589712E-14</v>
      </c>
      <c r="CN118" s="24">
        <f t="shared" si="66"/>
        <v>1.2727201182431429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330</v>
      </c>
      <c r="CR118" s="13">
        <f>VLOOKUP(A118,'Données projet'!$A$139:$I$159,9,0)</f>
        <v>4.5999999999999996</v>
      </c>
      <c r="CS118" s="13">
        <f t="array" ref="CS118">INDEX(CR:CR,MIN(IF(ISNUMBER(CR118:CR314),ROW(CR118:CR314),"")))</f>
        <v>4.5999999999999996</v>
      </c>
      <c r="CT118" s="13">
        <f>IF('Données projet'!$A$140&gt;35,CT117+CS118-DB117,IF(A118&lt;'Données projet'!$A$140,$CQ$205^A118,IF(A118='Données projet'!$A$140,'Données projet'!$B$140,CT117+CS118-DB117)))</f>
        <v>330</v>
      </c>
      <c r="CU118" s="18">
        <f>CT118*VLOOKUP('Données projet'!$B$13,Paramètres!$A$1:$I$89,3,0)*VLOOKUP('Données projet'!$B$13,Paramètres!$A$1:$I$89,5,0)</f>
        <v>319.17599999999999</v>
      </c>
      <c r="CV118" s="14">
        <f t="shared" si="95"/>
        <v>75.181878718947672</v>
      </c>
      <c r="CW118" s="22">
        <f t="shared" si="67"/>
        <v>686.83997210216705</v>
      </c>
      <c r="CX118" s="62">
        <f t="shared" si="68"/>
        <v>980.17330543550042</v>
      </c>
      <c r="CY118" s="62">
        <f ca="1">AVERAGE(OFFSET($CX$3,0,0,'Données projet'!$E$13+1,1))-AVERAGE(OFFSET($H$3,0,0,'Données projet'!$E$13+1,1))</f>
        <v>466.4945858005575</v>
      </c>
      <c r="CZ118" s="62">
        <f t="shared" si="96"/>
        <v>294.45557293177131</v>
      </c>
      <c r="DA118" s="16">
        <f>IF(ISNA(VLOOKUP(A118,'Données projet'!$A$139:$I$159,3,0)),0,VLOOKUP(A118,'Données projet'!$A$139:$I$159,3,0))</f>
        <v>20</v>
      </c>
      <c r="DB118" s="16">
        <f>IF(ISNA(VLOOKUP(A118,'Données projet'!$A$139:$I$159,4,0)),0,VLOOKUP(A118,'Données projet'!$A$139:$I$159,4,0))</f>
        <v>330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0.92459906189556862</v>
      </c>
      <c r="DH118" s="23">
        <f>EXP(-LN(2)/2)*DH117+(1-EXP(-LN(2)/2))/(LN(2)/2)*DB118*DE118*VLOOKUP('Données projet'!$B$13,Paramètres!$A$1:$I$89,3,0)*0.475*44/12</f>
        <v>2.5624769028693963E-12</v>
      </c>
      <c r="DI118" s="24">
        <f t="shared" si="69"/>
        <v>0.92459906189813112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305</v>
      </c>
      <c r="DM118" s="13">
        <f>VLOOKUP(A118,'Données projet'!$A$165:$I$185,9,0)</f>
        <v>3.8</v>
      </c>
      <c r="DN118" s="13">
        <f t="array" ref="DN118">INDEX(DM:DM,MIN(IF(ISNUMBER(DM118:DM314),ROW(DM118:DM314),"")))</f>
        <v>3.8</v>
      </c>
      <c r="DO118" s="13">
        <f>IF('Données projet'!$A$166&gt;35,DO117+DN118-DW117,IF(A118&lt;'Données projet'!$A$166,$DL$205^A118,IF(A118='Données projet'!$A$166,'Données projet'!$B$166,DO117+DN118-DW117)))</f>
        <v>305</v>
      </c>
      <c r="DP118" s="18">
        <f>DO118*VLOOKUP('Données projet'!$B$14,Paramètres!$A$1:$I$89,3,0)*VLOOKUP('Données projet'!$B$14,Paramètres!$A$1:$I$89,5,0)</f>
        <v>290.238</v>
      </c>
      <c r="DQ118" s="14">
        <f t="shared" si="97"/>
        <v>69.126049856275287</v>
      </c>
      <c r="DR118" s="22">
        <f t="shared" si="70"/>
        <v>625.89238683301289</v>
      </c>
      <c r="DS118" s="62">
        <f t="shared" si="71"/>
        <v>919.22572016634626</v>
      </c>
      <c r="DT118" s="62">
        <f ca="1">AVERAGE(OFFSET($DS$3,0,0,'Données projet'!$E$14+1,1))-AVERAGE(OFFSET($H$3,0,0,'Données projet'!$E$14+1,1))</f>
        <v>404.20764079465965</v>
      </c>
      <c r="DU118" s="62">
        <f t="shared" si="98"/>
        <v>243.23852967152732</v>
      </c>
      <c r="DV118" s="16">
        <f>IF(ISNA(VLOOKUP(A118,'Données projet'!$A$165:$I$185,3,0)),0,VLOOKUP(A118,'Données projet'!$A$165:$I$185,3,0))</f>
        <v>19</v>
      </c>
      <c r="DW118" s="16">
        <f>IF(ISNA(VLOOKUP(A118,'Données projet'!$A$165:$I$185,4,0)),0,VLOOKUP(A118,'Données projet'!$A$165:$I$185,4,0))</f>
        <v>18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3.2356192934329791E-12</v>
      </c>
      <c r="ED118" s="24">
        <f t="shared" si="72"/>
        <v>3.2356192934329791E-12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439.06700232017681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0.84129547438190289</v>
      </c>
      <c r="AB119" s="23">
        <f>EXP(-LN(2)/2)*AB118+(1-EXP(-LN(2)/2))/(LN(2)/2)*V119*Y119*VLOOKUP('Données projet'!$B$9,Paramètres!$A$1:$I$89,3,0)*0.475*44/12</f>
        <v>1.6950451304816917E-12</v>
      </c>
      <c r="AC119" s="24">
        <f t="shared" si="57"/>
        <v>0.84129547438359797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396.92963589781414</v>
      </c>
      <c r="AO119" s="62">
        <f t="shared" si="90"/>
        <v>294.38852181137639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4.4337866711430253E-14</v>
      </c>
      <c r="BF119" s="14">
        <f t="shared" si="91"/>
        <v>7.3222115536967035E-13</v>
      </c>
      <c r="BG119" s="22">
        <f t="shared" si="61"/>
        <v>1.3525069634579169E-12</v>
      </c>
      <c r="BH119" s="62">
        <f t="shared" si="62"/>
        <v>293.33333333333468</v>
      </c>
      <c r="BI119" s="62">
        <f ca="1">AVERAGE(OFFSET($BH$3,0,0,'Données projet'!$E$11+1,1))-AVERAGE(OFFSET($H$3,0,0,'Données projet'!$E$11+1,1))</f>
        <v>288.82868507674738</v>
      </c>
      <c r="BJ119" s="62">
        <f t="shared" si="92"/>
        <v>283.48738729114024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0.63988418634764654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0.63988418634764654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405.09126081846171</v>
      </c>
      <c r="CE119" s="62">
        <f t="shared" si="94"/>
        <v>534.22295841722166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0.4381638761136184</v>
      </c>
      <c r="CL119" s="23">
        <f>EXP(-LN(2)/25)*CL118+(1-EXP(-LN(2)/25))/(LN(2)/25)*Calculateur!CG119*Calculateur!CI119*VLOOKUP('Données projet'!$B$12,Paramètres!$A$1:$I$89,3,0)*0.475*44/12</f>
        <v>0.80321092665667737</v>
      </c>
      <c r="CM119" s="23">
        <f>EXP(-LN(2)/2)*CM118+(1-EXP(-LN(2)/2))/(LN(2)/2)*CG119*CJ119*VLOOKUP('Données projet'!$B$12,Paramètres!$A$1:$I$89,3,0)*0.475*44/12</f>
        <v>4.20596125572281E-14</v>
      </c>
      <c r="CN119" s="24">
        <f t="shared" si="66"/>
        <v>1.2413748027703377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466.4945858005575</v>
      </c>
      <c r="CZ119" s="62">
        <f t="shared" si="96"/>
        <v>294.45557293177131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0.8993158519254828</v>
      </c>
      <c r="DH119" s="23">
        <f>EXP(-LN(2)/2)*DH118+(1-EXP(-LN(2)/2))/(LN(2)/2)*DB119*DE119*VLOOKUP('Données projet'!$B$13,Paramètres!$A$1:$I$89,3,0)*0.475*44/12</f>
        <v>1.8119447946528523E-12</v>
      </c>
      <c r="DI119" s="24">
        <f t="shared" si="69"/>
        <v>0.8993158519272948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3.6</v>
      </c>
      <c r="DO119" s="13">
        <f>IF('Données projet'!$A$166&gt;35,DO118+DN119-DW118,IF(A119&lt;'Données projet'!$A$166,$DL$205^A119,IF(A119='Données projet'!$A$166,'Données projet'!$B$166,DO118+DN119-DW118)))</f>
        <v>290.60000000000002</v>
      </c>
      <c r="DP119" s="18">
        <f>DO119*VLOOKUP('Données projet'!$B$14,Paramètres!$A$1:$I$89,3,0)*VLOOKUP('Données projet'!$B$14,Paramètres!$A$1:$I$89,5,0)</f>
        <v>276.53496000000001</v>
      </c>
      <c r="DQ119" s="14">
        <f t="shared" si="97"/>
        <v>66.234216476296339</v>
      </c>
      <c r="DR119" s="22">
        <f t="shared" si="70"/>
        <v>596.98964902954947</v>
      </c>
      <c r="DS119" s="62">
        <f t="shared" si="71"/>
        <v>890.32298236288284</v>
      </c>
      <c r="DT119" s="62">
        <f ca="1">AVERAGE(OFFSET($DS$3,0,0,'Données projet'!$E$14+1,1))-AVERAGE(OFFSET($H$3,0,0,'Données projet'!$E$14+1,1))</f>
        <v>404.20764079465965</v>
      </c>
      <c r="DU119" s="62">
        <f t="shared" si="98"/>
        <v>243.23852967152732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2.287928343724485E-12</v>
      </c>
      <c r="ED119" s="24">
        <f t="shared" si="72"/>
        <v>2.287928343724485E-12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439.06700232017681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0.81829020539312358</v>
      </c>
      <c r="AB120" s="23">
        <f>EXP(-LN(2)/2)*AB119+(1-EXP(-LN(2)/2))/(LN(2)/2)*V120*Y120*VLOOKUP('Données projet'!$B$9,Paramètres!$A$1:$I$89,3,0)*0.475*44/12</f>
        <v>1.1985779061808405E-12</v>
      </c>
      <c r="AC120" s="24">
        <f t="shared" si="57"/>
        <v>0.81829020539432218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396.92963589781414</v>
      </c>
      <c r="AO120" s="62">
        <f t="shared" si="90"/>
        <v>294.38852181137639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4.4337866711430253E-14</v>
      </c>
      <c r="BF120" s="14">
        <f t="shared" si="91"/>
        <v>7.3222115536967035E-13</v>
      </c>
      <c r="BG120" s="22">
        <f t="shared" si="61"/>
        <v>1.3525069634579169E-12</v>
      </c>
      <c r="BH120" s="62">
        <f t="shared" si="62"/>
        <v>293.33333333333468</v>
      </c>
      <c r="BI120" s="62">
        <f ca="1">AVERAGE(OFFSET($BH$3,0,0,'Données projet'!$E$11+1,1))-AVERAGE(OFFSET($H$3,0,0,'Données projet'!$E$11+1,1))</f>
        <v>288.82868507674738</v>
      </c>
      <c r="BJ120" s="62">
        <f t="shared" si="92"/>
        <v>283.48738729114024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0.62238651962192326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0.62238651962192326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405.09126081846171</v>
      </c>
      <c r="CE120" s="62">
        <f t="shared" si="94"/>
        <v>534.22295841722166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0.42957174975660567</v>
      </c>
      <c r="CL120" s="23">
        <f>EXP(-LN(2)/25)*CL119+(1-EXP(-LN(2)/25))/(LN(2)/25)*Calculateur!CG120*Calculateur!CI120*VLOOKUP('Données projet'!$B$12,Paramètres!$A$1:$I$89,3,0)*0.475*44/12</f>
        <v>0.78124708162822365</v>
      </c>
      <c r="CM120" s="23">
        <f>EXP(-LN(2)/2)*CM119+(1-EXP(-LN(2)/2))/(LN(2)/2)*CG120*CJ120*VLOOKUP('Données projet'!$B$12,Paramètres!$A$1:$I$89,3,0)*0.475*44/12</f>
        <v>2.9740637253294856E-14</v>
      </c>
      <c r="CN120" s="24">
        <f t="shared" si="66"/>
        <v>1.2108188313848591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466.4945858005575</v>
      </c>
      <c r="CZ120" s="62">
        <f t="shared" si="96"/>
        <v>294.45557293177131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0.87472401266161526</v>
      </c>
      <c r="DH120" s="23">
        <f>EXP(-LN(2)/2)*DH119+(1-EXP(-LN(2)/2))/(LN(2)/2)*DB120*DE120*VLOOKUP('Données projet'!$B$13,Paramètres!$A$1:$I$89,3,0)*0.475*44/12</f>
        <v>1.2812384514346983E-12</v>
      </c>
      <c r="DI120" s="24">
        <f t="shared" si="69"/>
        <v>0.87472401266289646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3.6</v>
      </c>
      <c r="DO120" s="13">
        <f>IF('Données projet'!$A$166&gt;35,DO119+DN120-DW119,IF(A120&lt;'Données projet'!$A$166,$DL$205^A120,IF(A120='Données projet'!$A$166,'Données projet'!$B$166,DO119+DN120-DW119)))</f>
        <v>294.20000000000005</v>
      </c>
      <c r="DP120" s="18">
        <f>DO120*VLOOKUP('Données projet'!$B$14,Paramètres!$A$1:$I$89,3,0)*VLOOKUP('Données projet'!$B$14,Paramètres!$A$1:$I$89,5,0)</f>
        <v>279.96072000000004</v>
      </c>
      <c r="DQ120" s="14">
        <f t="shared" si="97"/>
        <v>66.958707820163582</v>
      </c>
      <c r="DR120" s="22">
        <f t="shared" si="70"/>
        <v>604.21800345345162</v>
      </c>
      <c r="DS120" s="62">
        <f t="shared" si="71"/>
        <v>897.55133678678499</v>
      </c>
      <c r="DT120" s="62">
        <f ca="1">AVERAGE(OFFSET($DS$3,0,0,'Données projet'!$E$14+1,1))-AVERAGE(OFFSET($H$3,0,0,'Données projet'!$E$14+1,1))</f>
        <v>404.20764079465965</v>
      </c>
      <c r="DU120" s="62">
        <f t="shared" si="98"/>
        <v>243.23852967152732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1.6178096467164895E-12</v>
      </c>
      <c r="ED120" s="24">
        <f t="shared" si="72"/>
        <v>1.6178096467164895E-12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439.06700232017681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0.79591401669463691</v>
      </c>
      <c r="AB121" s="23">
        <f>EXP(-LN(2)/2)*AB120+(1-EXP(-LN(2)/2))/(LN(2)/2)*V121*Y121*VLOOKUP('Données projet'!$B$9,Paramètres!$A$1:$I$89,3,0)*0.475*44/12</f>
        <v>8.4752256524084587E-13</v>
      </c>
      <c r="AC121" s="24">
        <f t="shared" si="57"/>
        <v>0.79591401669548445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396.92963589781414</v>
      </c>
      <c r="AO121" s="62">
        <f t="shared" si="90"/>
        <v>294.38852181137639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4.4337866711430253E-14</v>
      </c>
      <c r="BF121" s="14">
        <f t="shared" si="91"/>
        <v>7.3222115536967035E-13</v>
      </c>
      <c r="BG121" s="22">
        <f t="shared" si="61"/>
        <v>1.3525069634579169E-12</v>
      </c>
      <c r="BH121" s="62">
        <f t="shared" si="62"/>
        <v>293.33333333333468</v>
      </c>
      <c r="BI121" s="62">
        <f ca="1">AVERAGE(OFFSET($BH$3,0,0,'Données projet'!$E$11+1,1))-AVERAGE(OFFSET($H$3,0,0,'Données projet'!$E$11+1,1))</f>
        <v>288.82868507674738</v>
      </c>
      <c r="BJ121" s="62">
        <f t="shared" si="92"/>
        <v>283.48738729114024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0.60536732751297717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0.60536732751297717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405.09126081846171</v>
      </c>
      <c r="CE121" s="62">
        <f t="shared" si="94"/>
        <v>534.22295841722166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0.42114810975677436</v>
      </c>
      <c r="CL121" s="23">
        <f>EXP(-LN(2)/25)*CL120+(1-EXP(-LN(2)/25))/(LN(2)/25)*Calculateur!CG121*Calculateur!CI121*VLOOKUP('Données projet'!$B$12,Paramètres!$A$1:$I$89,3,0)*0.475*44/12</f>
        <v>0.75988383909710144</v>
      </c>
      <c r="CM121" s="23">
        <f>EXP(-LN(2)/2)*CM120+(1-EXP(-LN(2)/2))/(LN(2)/2)*CG121*CJ121*VLOOKUP('Données projet'!$B$12,Paramètres!$A$1:$I$89,3,0)*0.475*44/12</f>
        <v>2.102980627861405E-14</v>
      </c>
      <c r="CN121" s="24">
        <f t="shared" si="66"/>
        <v>1.181031948853897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466.4945858005575</v>
      </c>
      <c r="CZ121" s="62">
        <f t="shared" si="96"/>
        <v>294.45557293177131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0.85080463853564681</v>
      </c>
      <c r="DH121" s="23">
        <f>EXP(-LN(2)/2)*DH120+(1-EXP(-LN(2)/2))/(LN(2)/2)*DB121*DE121*VLOOKUP('Données projet'!$B$13,Paramètres!$A$1:$I$89,3,0)*0.475*44/12</f>
        <v>9.0597239732642634E-13</v>
      </c>
      <c r="DI121" s="24">
        <f t="shared" si="69"/>
        <v>0.85080463853655275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3.6</v>
      </c>
      <c r="DO121" s="13">
        <f>IF('Données projet'!$A$166&gt;35,DO120+DN121-DW120,IF(A121&lt;'Données projet'!$A$166,$DL$205^A121,IF(A121='Données projet'!$A$166,'Données projet'!$B$166,DO120+DN121-DW120)))</f>
        <v>297.80000000000007</v>
      </c>
      <c r="DP121" s="18">
        <f>DO121*VLOOKUP('Données projet'!$B$14,Paramètres!$A$1:$I$89,3,0)*VLOOKUP('Données projet'!$B$14,Paramètres!$A$1:$I$89,5,0)</f>
        <v>283.38648000000006</v>
      </c>
      <c r="DQ121" s="14">
        <f t="shared" si="97"/>
        <v>67.682167951407408</v>
      </c>
      <c r="DR121" s="22">
        <f t="shared" si="70"/>
        <v>611.44456184870137</v>
      </c>
      <c r="DS121" s="62">
        <f t="shared" si="71"/>
        <v>904.77789518203463</v>
      </c>
      <c r="DT121" s="62">
        <f ca="1">AVERAGE(OFFSET($DS$3,0,0,'Données projet'!$E$14+1,1))-AVERAGE(OFFSET($H$3,0,0,'Données projet'!$E$14+1,1))</f>
        <v>404.20764079465965</v>
      </c>
      <c r="DU121" s="62">
        <f t="shared" si="98"/>
        <v>243.23852967152732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1.1439641718622425E-12</v>
      </c>
      <c r="ED121" s="24">
        <f t="shared" si="72"/>
        <v>1.1439641718622425E-12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439.06700232017681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0.77414970605282296</v>
      </c>
      <c r="AB122" s="23">
        <f>EXP(-LN(2)/2)*AB121+(1-EXP(-LN(2)/2))/(LN(2)/2)*V122*Y122*VLOOKUP('Données projet'!$B$9,Paramètres!$A$1:$I$89,3,0)*0.475*44/12</f>
        <v>5.9928895309042024E-13</v>
      </c>
      <c r="AC122" s="24">
        <f t="shared" si="57"/>
        <v>0.77414970605342226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396.92963589781414</v>
      </c>
      <c r="AO122" s="62">
        <f t="shared" si="90"/>
        <v>294.38852181137639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4.4337866711430253E-14</v>
      </c>
      <c r="BF122" s="14">
        <f t="shared" si="91"/>
        <v>7.3222115536967035E-13</v>
      </c>
      <c r="BG122" s="22">
        <f t="shared" si="61"/>
        <v>1.3525069634579169E-12</v>
      </c>
      <c r="BH122" s="62">
        <f t="shared" si="62"/>
        <v>293.33333333333468</v>
      </c>
      <c r="BI122" s="62">
        <f ca="1">AVERAGE(OFFSET($BH$3,0,0,'Données projet'!$E$11+1,1))-AVERAGE(OFFSET($H$3,0,0,'Données projet'!$E$11+1,1))</f>
        <v>288.82868507674738</v>
      </c>
      <c r="BJ122" s="62">
        <f t="shared" si="92"/>
        <v>283.48738729114024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0.58881352610725068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0.58881352610725068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405.09126081846171</v>
      </c>
      <c r="CE122" s="62">
        <f t="shared" si="94"/>
        <v>534.22295841722166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0.41288965219942669</v>
      </c>
      <c r="CL122" s="23">
        <f>EXP(-LN(2)/25)*CL121+(1-EXP(-LN(2)/25))/(LN(2)/25)*Calculateur!CG122*Calculateur!CI122*VLOOKUP('Données projet'!$B$12,Paramètres!$A$1:$I$89,3,0)*0.475*44/12</f>
        <v>0.73910477555643683</v>
      </c>
      <c r="CM122" s="23">
        <f>EXP(-LN(2)/2)*CM121+(1-EXP(-LN(2)/2))/(LN(2)/2)*CG122*CJ122*VLOOKUP('Données projet'!$B$12,Paramètres!$A$1:$I$89,3,0)*0.475*44/12</f>
        <v>1.4870318626647428E-14</v>
      </c>
      <c r="CN122" s="24">
        <f t="shared" si="66"/>
        <v>1.1519944277558785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466.4945858005575</v>
      </c>
      <c r="CZ122" s="62">
        <f t="shared" si="96"/>
        <v>294.45557293177131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0.82753934095301818</v>
      </c>
      <c r="DH122" s="23">
        <f>EXP(-LN(2)/2)*DH121+(1-EXP(-LN(2)/2))/(LN(2)/2)*DB122*DE122*VLOOKUP('Données projet'!$B$13,Paramètres!$A$1:$I$89,3,0)*0.475*44/12</f>
        <v>6.4061922571734927E-13</v>
      </c>
      <c r="DI122" s="24">
        <f t="shared" si="69"/>
        <v>0.82753934095365878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3.6</v>
      </c>
      <c r="DO122" s="13">
        <f>IF('Données projet'!$A$166&gt;35,DO121+DN122-DW121,IF(A122&lt;'Données projet'!$A$166,$DL$205^A122,IF(A122='Données projet'!$A$166,'Données projet'!$B$166,DO121+DN122-DW121)))</f>
        <v>301.40000000000009</v>
      </c>
      <c r="DP122" s="18">
        <f>DO122*VLOOKUP('Données projet'!$B$14,Paramètres!$A$1:$I$89,3,0)*VLOOKUP('Données projet'!$B$14,Paramètres!$A$1:$I$89,5,0)</f>
        <v>286.81224000000009</v>
      </c>
      <c r="DQ122" s="14">
        <f t="shared" si="97"/>
        <v>68.404610777929463</v>
      </c>
      <c r="DR122" s="22">
        <f t="shared" si="70"/>
        <v>618.6693484382273</v>
      </c>
      <c r="DS122" s="62">
        <f t="shared" si="71"/>
        <v>912.00268177156067</v>
      </c>
      <c r="DT122" s="62">
        <f ca="1">AVERAGE(OFFSET($DS$3,0,0,'Données projet'!$E$14+1,1))-AVERAGE(OFFSET($H$3,0,0,'Données projet'!$E$14+1,1))</f>
        <v>404.20764079465965</v>
      </c>
      <c r="DU122" s="62">
        <f t="shared" si="98"/>
        <v>243.23852967152732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8.0890482335824477E-13</v>
      </c>
      <c r="ED122" s="24">
        <f t="shared" si="72"/>
        <v>8.0890482335824477E-13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439.06700232017681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0.7529805416300448</v>
      </c>
      <c r="AB123" s="23">
        <f>EXP(-LN(2)/2)*AB122+(1-EXP(-LN(2)/2))/(LN(2)/2)*V123*Y123*VLOOKUP('Données projet'!$B$9,Paramètres!$A$1:$I$89,3,0)*0.475*44/12</f>
        <v>4.2376128262042293E-13</v>
      </c>
      <c r="AC123" s="24">
        <f t="shared" si="57"/>
        <v>0.75298054163046857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396.92963589781414</v>
      </c>
      <c r="AO123" s="62">
        <f t="shared" si="90"/>
        <v>294.38852181137639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4.4337866711430253E-14</v>
      </c>
      <c r="BF123" s="14">
        <f t="shared" si="91"/>
        <v>7.3222115536967035E-13</v>
      </c>
      <c r="BG123" s="22">
        <f t="shared" si="61"/>
        <v>1.3525069634579169E-12</v>
      </c>
      <c r="BH123" s="62">
        <f t="shared" si="62"/>
        <v>293.33333333333468</v>
      </c>
      <c r="BI123" s="62">
        <f ca="1">AVERAGE(OFFSET($BH$3,0,0,'Données projet'!$E$11+1,1))-AVERAGE(OFFSET($H$3,0,0,'Données projet'!$E$11+1,1))</f>
        <v>288.82868507674738</v>
      </c>
      <c r="BJ123" s="62">
        <f t="shared" si="92"/>
        <v>283.48738729114024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0.57271238927149037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0.57271238927149037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405.09126081846171</v>
      </c>
      <c r="CE123" s="62">
        <f t="shared" si="94"/>
        <v>534.22295841722166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0.40479313795761684</v>
      </c>
      <c r="CL123" s="23">
        <f>EXP(-LN(2)/25)*CL122+(1-EXP(-LN(2)/25))/(LN(2)/25)*Calculateur!CG123*Calculateur!CI123*VLOOKUP('Données projet'!$B$12,Paramètres!$A$1:$I$89,3,0)*0.475*44/12</f>
        <v>0.7188939166010152</v>
      </c>
      <c r="CM123" s="23">
        <f>EXP(-LN(2)/2)*CM122+(1-EXP(-LN(2)/2))/(LN(2)/2)*CG123*CJ123*VLOOKUP('Données projet'!$B$12,Paramètres!$A$1:$I$89,3,0)*0.475*44/12</f>
        <v>1.0514903139307025E-14</v>
      </c>
      <c r="CN123" s="24">
        <f t="shared" si="66"/>
        <v>1.1236870545586426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466.4945858005575</v>
      </c>
      <c r="CZ123" s="62">
        <f t="shared" si="96"/>
        <v>294.45557293177131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0.80491023415625529</v>
      </c>
      <c r="DH123" s="23">
        <f>EXP(-LN(2)/2)*DH122+(1-EXP(-LN(2)/2))/(LN(2)/2)*DB123*DE123*VLOOKUP('Données projet'!$B$13,Paramètres!$A$1:$I$89,3,0)*0.475*44/12</f>
        <v>4.5298619866321322E-13</v>
      </c>
      <c r="DI123" s="24">
        <f t="shared" si="69"/>
        <v>0.80491023415670826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305</v>
      </c>
      <c r="DM123" s="13">
        <f>VLOOKUP(A123,'Données projet'!$A$165:$I$185,9,0)</f>
        <v>3.6</v>
      </c>
      <c r="DN123" s="13">
        <f t="array" ref="DN123">INDEX(DM:DM,MIN(IF(ISNUMBER(DM123:DM319),ROW(DM123:DM319),"")))</f>
        <v>3.6</v>
      </c>
      <c r="DO123" s="13">
        <f>IF('Données projet'!$A$166&gt;35,DO122+DN123-DW122,IF(A123&lt;'Données projet'!$A$166,$DL$205^A123,IF(A123='Données projet'!$A$166,'Données projet'!$B$166,DO122+DN123-DW122)))</f>
        <v>305.00000000000011</v>
      </c>
      <c r="DP123" s="18">
        <f>DO123*VLOOKUP('Données projet'!$B$14,Paramètres!$A$1:$I$89,3,0)*VLOOKUP('Données projet'!$B$14,Paramètres!$A$1:$I$89,5,0)</f>
        <v>290.23800000000011</v>
      </c>
      <c r="DQ123" s="14">
        <f t="shared" si="97"/>
        <v>69.126049856275287</v>
      </c>
      <c r="DR123" s="22">
        <f t="shared" si="70"/>
        <v>625.89238683301301</v>
      </c>
      <c r="DS123" s="62">
        <f t="shared" si="71"/>
        <v>919.22572016634626</v>
      </c>
      <c r="DT123" s="62">
        <f ca="1">AVERAGE(OFFSET($DS$3,0,0,'Données projet'!$E$14+1,1))-AVERAGE(OFFSET($H$3,0,0,'Données projet'!$E$14+1,1))</f>
        <v>404.20764079465965</v>
      </c>
      <c r="DU123" s="62">
        <f t="shared" si="98"/>
        <v>243.23852967152732</v>
      </c>
      <c r="DV123" s="16">
        <f>IF(ISNA(VLOOKUP(A123,'Données projet'!$A$165:$I$185,3,0)),0,VLOOKUP(A123,'Données projet'!$A$165:$I$185,3,0))</f>
        <v>20</v>
      </c>
      <c r="DW123" s="16">
        <f>IF(ISNA(VLOOKUP(A123,'Données projet'!$A$165:$I$185,4,0)),0,VLOOKUP(A123,'Données projet'!$A$165:$I$185,4,0))</f>
        <v>305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5.7198208593112125E-13</v>
      </c>
      <c r="ED123" s="24">
        <f t="shared" si="72"/>
        <v>5.7198208593112125E-13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439.06700232017681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0.73239024912164552</v>
      </c>
      <c r="AB124" s="23">
        <f>EXP(-LN(2)/2)*AB123+(1-EXP(-LN(2)/2))/(LN(2)/2)*V124*Y124*VLOOKUP('Données projet'!$B$9,Paramètres!$A$1:$I$89,3,0)*0.475*44/12</f>
        <v>2.9964447654521012E-13</v>
      </c>
      <c r="AC124" s="24">
        <f t="shared" si="57"/>
        <v>0.73239024912194517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396.92963589781414</v>
      </c>
      <c r="AO124" s="62">
        <f t="shared" si="90"/>
        <v>294.38852181137639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4.4337866711430253E-14</v>
      </c>
      <c r="BF124" s="14">
        <f t="shared" si="91"/>
        <v>7.3222115536967035E-13</v>
      </c>
      <c r="BG124" s="22">
        <f t="shared" si="61"/>
        <v>1.3525069634579169E-12</v>
      </c>
      <c r="BH124" s="62">
        <f t="shared" si="62"/>
        <v>293.33333333333468</v>
      </c>
      <c r="BI124" s="62">
        <f ca="1">AVERAGE(OFFSET($BH$3,0,0,'Données projet'!$E$11+1,1))-AVERAGE(OFFSET($H$3,0,0,'Données projet'!$E$11+1,1))</f>
        <v>288.82868507674738</v>
      </c>
      <c r="BJ124" s="62">
        <f t="shared" si="92"/>
        <v>283.48738729114024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0.55705153886922587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0.55705153886922587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405.09126081846171</v>
      </c>
      <c r="CE124" s="62">
        <f t="shared" si="94"/>
        <v>534.22295841722166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0.39685539142170284</v>
      </c>
      <c r="CL124" s="23">
        <f>EXP(-LN(2)/25)*CL123+(1-EXP(-LN(2)/25))/(LN(2)/25)*Calculateur!CG124*Calculateur!CI124*VLOOKUP('Données projet'!$B$12,Paramètres!$A$1:$I$89,3,0)*0.475*44/12</f>
        <v>0.69923572464657247</v>
      </c>
      <c r="CM124" s="23">
        <f>EXP(-LN(2)/2)*CM123+(1-EXP(-LN(2)/2))/(LN(2)/2)*CG124*CJ124*VLOOKUP('Données projet'!$B$12,Paramètres!$A$1:$I$89,3,0)*0.475*44/12</f>
        <v>7.435159313323714E-15</v>
      </c>
      <c r="CN124" s="24">
        <f t="shared" si="66"/>
        <v>1.0960911160682827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466.4945858005575</v>
      </c>
      <c r="CZ124" s="62">
        <f t="shared" si="96"/>
        <v>294.45557293177131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0.78289992147486287</v>
      </c>
      <c r="DH124" s="23">
        <f>EXP(-LN(2)/2)*DH123+(1-EXP(-LN(2)/2))/(LN(2)/2)*DB124*DE124*VLOOKUP('Données projet'!$B$13,Paramètres!$A$1:$I$89,3,0)*0.475*44/12</f>
        <v>3.2030961285867469E-13</v>
      </c>
      <c r="DI124" s="24">
        <f t="shared" si="69"/>
        <v>0.78289992147518317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1.0818439477588981E-13</v>
      </c>
      <c r="DQ124" s="14">
        <f t="shared" si="97"/>
        <v>1.6104228458716316E-12</v>
      </c>
      <c r="DR124" s="22">
        <f t="shared" si="70"/>
        <v>2.9932409441277661E-12</v>
      </c>
      <c r="DS124" s="62">
        <f t="shared" si="71"/>
        <v>293.33333333333633</v>
      </c>
      <c r="DT124" s="62">
        <f ca="1">AVERAGE(OFFSET($DS$3,0,0,'Données projet'!$E$14+1,1))-AVERAGE(OFFSET($H$3,0,0,'Données projet'!$E$14+1,1))</f>
        <v>404.20764079465965</v>
      </c>
      <c r="DU124" s="62">
        <f t="shared" si="98"/>
        <v>243.23852967152732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4.0445241167912239E-13</v>
      </c>
      <c r="ED124" s="24">
        <f t="shared" si="72"/>
        <v>4.0445241167912239E-13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439.06700232017681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0.71236299924468482</v>
      </c>
      <c r="AB125" s="23">
        <f>EXP(-LN(2)/2)*AB124+(1-EXP(-LN(2)/2))/(LN(2)/2)*V125*Y125*VLOOKUP('Données projet'!$B$9,Paramètres!$A$1:$I$89,3,0)*0.475*44/12</f>
        <v>2.1188064131021147E-13</v>
      </c>
      <c r="AC125" s="24">
        <f t="shared" si="57"/>
        <v>0.71236299924489666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396.92963589781414</v>
      </c>
      <c r="AO125" s="62">
        <f t="shared" si="90"/>
        <v>294.38852181137639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4.4337866711430253E-14</v>
      </c>
      <c r="BF125" s="14">
        <f t="shared" si="91"/>
        <v>7.3222115536967035E-13</v>
      </c>
      <c r="BG125" s="22">
        <f t="shared" si="61"/>
        <v>1.3525069634579169E-12</v>
      </c>
      <c r="BH125" s="62">
        <f t="shared" si="62"/>
        <v>293.33333333333468</v>
      </c>
      <c r="BI125" s="62">
        <f ca="1">AVERAGE(OFFSET($BH$3,0,0,'Données projet'!$E$11+1,1))-AVERAGE(OFFSET($H$3,0,0,'Données projet'!$E$11+1,1))</f>
        <v>288.82868507674738</v>
      </c>
      <c r="BJ125" s="62">
        <f t="shared" si="92"/>
        <v>283.48738729114024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0.54181893524477964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0.54181893524477964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405.09126081846171</v>
      </c>
      <c r="CE125" s="62">
        <f t="shared" si="94"/>
        <v>534.22295841722166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0.38907329925381079</v>
      </c>
      <c r="CL125" s="23">
        <f>EXP(-LN(2)/25)*CL124+(1-EXP(-LN(2)/25))/(LN(2)/25)*Calculateur!CG125*Calculateur!CI125*VLOOKUP('Données projet'!$B$12,Paramètres!$A$1:$I$89,3,0)*0.475*44/12</f>
        <v>0.68011508698490331</v>
      </c>
      <c r="CM125" s="23">
        <f>EXP(-LN(2)/2)*CM124+(1-EXP(-LN(2)/2))/(LN(2)/2)*CG125*CJ125*VLOOKUP('Données projet'!$B$12,Paramètres!$A$1:$I$89,3,0)*0.475*44/12</f>
        <v>5.2574515696535125E-15</v>
      </c>
      <c r="CN125" s="24">
        <f t="shared" si="66"/>
        <v>1.0691883862387195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466.4945858005575</v>
      </c>
      <c r="CZ125" s="62">
        <f t="shared" si="96"/>
        <v>294.45557293177131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0.76149148195121519</v>
      </c>
      <c r="DH125" s="23">
        <f>EXP(-LN(2)/2)*DH124+(1-EXP(-LN(2)/2))/(LN(2)/2)*DB125*DE125*VLOOKUP('Données projet'!$B$13,Paramètres!$A$1:$I$89,3,0)*0.475*44/12</f>
        <v>2.2649309933160664E-13</v>
      </c>
      <c r="DI125" s="24">
        <f t="shared" si="69"/>
        <v>0.76149148195144167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1.0818439477588981E-13</v>
      </c>
      <c r="DQ125" s="14">
        <f t="shared" si="97"/>
        <v>1.6104228458716316E-12</v>
      </c>
      <c r="DR125" s="22">
        <f t="shared" si="70"/>
        <v>2.9932409441277661E-12</v>
      </c>
      <c r="DS125" s="62">
        <f t="shared" si="71"/>
        <v>293.33333333333633</v>
      </c>
      <c r="DT125" s="62">
        <f ca="1">AVERAGE(OFFSET($DS$3,0,0,'Données projet'!$E$14+1,1))-AVERAGE(OFFSET($H$3,0,0,'Données projet'!$E$14+1,1))</f>
        <v>404.20764079465965</v>
      </c>
      <c r="DU125" s="62">
        <f t="shared" si="98"/>
        <v>243.23852967152732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2.8599104296556063E-13</v>
      </c>
      <c r="ED125" s="24">
        <f t="shared" si="72"/>
        <v>2.8599104296556063E-13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439.06700232017681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0.69288339556879697</v>
      </c>
      <c r="AB126" s="23">
        <f>EXP(-LN(2)/2)*AB125+(1-EXP(-LN(2)/2))/(LN(2)/2)*V126*Y126*VLOOKUP('Données projet'!$B$9,Paramètres!$A$1:$I$89,3,0)*0.475*44/12</f>
        <v>1.4982223827260506E-13</v>
      </c>
      <c r="AC126" s="24">
        <f t="shared" si="57"/>
        <v>0.69288339556894674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396.92963589781414</v>
      </c>
      <c r="AO126" s="62">
        <f t="shared" si="90"/>
        <v>294.38852181137639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4.4337866711430253E-14</v>
      </c>
      <c r="BF126" s="14">
        <f t="shared" si="91"/>
        <v>7.3222115536967035E-13</v>
      </c>
      <c r="BG126" s="22">
        <f t="shared" si="61"/>
        <v>1.3525069634579169E-12</v>
      </c>
      <c r="BH126" s="62">
        <f t="shared" si="62"/>
        <v>293.33333333333468</v>
      </c>
      <c r="BI126" s="62">
        <f ca="1">AVERAGE(OFFSET($BH$3,0,0,'Données projet'!$E$11+1,1))-AVERAGE(OFFSET($H$3,0,0,'Données projet'!$E$11+1,1))</f>
        <v>288.82868507674738</v>
      </c>
      <c r="BJ126" s="62">
        <f t="shared" si="92"/>
        <v>283.48738729114024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0.52700286796749163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0.52700286796749163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405.09126081846171</v>
      </c>
      <c r="CE126" s="62">
        <f t="shared" si="94"/>
        <v>534.22295841722166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0.38144380916672355</v>
      </c>
      <c r="CL126" s="23">
        <f>EXP(-LN(2)/25)*CL125+(1-EXP(-LN(2)/25))/(LN(2)/25)*Calculateur!CG126*Calculateur!CI126*VLOOKUP('Données projet'!$B$12,Paramètres!$A$1:$I$89,3,0)*0.475*44/12</f>
        <v>0.66151730416560317</v>
      </c>
      <c r="CM126" s="23">
        <f>EXP(-LN(2)/2)*CM125+(1-EXP(-LN(2)/2))/(LN(2)/2)*CG126*CJ126*VLOOKUP('Données projet'!$B$12,Paramètres!$A$1:$I$89,3,0)*0.475*44/12</f>
        <v>3.717579656661857E-15</v>
      </c>
      <c r="CN126" s="24">
        <f t="shared" si="66"/>
        <v>1.0429611133323304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466.4945858005575</v>
      </c>
      <c r="CZ126" s="62">
        <f t="shared" si="96"/>
        <v>294.45557293177131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0.74066845733216258</v>
      </c>
      <c r="DH126" s="23">
        <f>EXP(-LN(2)/2)*DH125+(1-EXP(-LN(2)/2))/(LN(2)/2)*DB126*DE126*VLOOKUP('Données projet'!$B$13,Paramètres!$A$1:$I$89,3,0)*0.475*44/12</f>
        <v>1.6015480642933737E-13</v>
      </c>
      <c r="DI126" s="24">
        <f t="shared" si="69"/>
        <v>0.74066845733232278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1.0818439477588981E-13</v>
      </c>
      <c r="DQ126" s="14">
        <f t="shared" si="97"/>
        <v>1.6104228458716316E-12</v>
      </c>
      <c r="DR126" s="22">
        <f t="shared" si="70"/>
        <v>2.9932409441277661E-12</v>
      </c>
      <c r="DS126" s="62">
        <f t="shared" si="71"/>
        <v>293.33333333333633</v>
      </c>
      <c r="DT126" s="62">
        <f ca="1">AVERAGE(OFFSET($DS$3,0,0,'Données projet'!$E$14+1,1))-AVERAGE(OFFSET($H$3,0,0,'Données projet'!$E$14+1,1))</f>
        <v>404.20764079465965</v>
      </c>
      <c r="DU126" s="62">
        <f t="shared" si="98"/>
        <v>243.23852967152732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2.0222620583956119E-13</v>
      </c>
      <c r="ED126" s="24">
        <f t="shared" si="72"/>
        <v>2.0222620583956119E-13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439.06700232017681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0.673936462679814</v>
      </c>
      <c r="AB127" s="23">
        <f>EXP(-LN(2)/2)*AB126+(1-EXP(-LN(2)/2))/(LN(2)/2)*V127*Y127*VLOOKUP('Données projet'!$B$9,Paramètres!$A$1:$I$89,3,0)*0.475*44/12</f>
        <v>1.0594032065510573E-13</v>
      </c>
      <c r="AC127" s="24">
        <f t="shared" si="57"/>
        <v>0.67393646267991991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396.92963589781414</v>
      </c>
      <c r="AO127" s="62">
        <f t="shared" si="90"/>
        <v>294.38852181137639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4.4337866711430253E-14</v>
      </c>
      <c r="BF127" s="14">
        <f t="shared" si="91"/>
        <v>7.3222115536967035E-13</v>
      </c>
      <c r="BG127" s="22">
        <f t="shared" si="61"/>
        <v>1.3525069634579169E-12</v>
      </c>
      <c r="BH127" s="62">
        <f t="shared" si="62"/>
        <v>293.33333333333468</v>
      </c>
      <c r="BI127" s="62">
        <f ca="1">AVERAGE(OFFSET($BH$3,0,0,'Données projet'!$E$11+1,1))-AVERAGE(OFFSET($H$3,0,0,'Données projet'!$E$11+1,1))</f>
        <v>288.82868507674738</v>
      </c>
      <c r="BJ127" s="62">
        <f t="shared" si="92"/>
        <v>283.48738729114024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0.51259194682904419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0.51259194682904419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405.09126081846171</v>
      </c>
      <c r="CE127" s="62">
        <f t="shared" si="94"/>
        <v>534.22295841722166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0.37396392872671463</v>
      </c>
      <c r="CL127" s="23">
        <f>EXP(-LN(2)/25)*CL126+(1-EXP(-LN(2)/25))/(LN(2)/25)*Calculateur!CG127*Calculateur!CI127*VLOOKUP('Données projet'!$B$12,Paramètres!$A$1:$I$89,3,0)*0.475*44/12</f>
        <v>0.64342807869551166</v>
      </c>
      <c r="CM127" s="23">
        <f>EXP(-LN(2)/2)*CM126+(1-EXP(-LN(2)/2))/(LN(2)/2)*CG127*CJ127*VLOOKUP('Données projet'!$B$12,Paramètres!$A$1:$I$89,3,0)*0.475*44/12</f>
        <v>2.6287257848267563E-15</v>
      </c>
      <c r="CN127" s="24">
        <f t="shared" si="66"/>
        <v>1.0173920074222289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466.4945858005575</v>
      </c>
      <c r="CZ127" s="62">
        <f t="shared" si="96"/>
        <v>294.45557293177131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0.7204148394163532</v>
      </c>
      <c r="DH127" s="23">
        <f>EXP(-LN(2)/2)*DH126+(1-EXP(-LN(2)/2))/(LN(2)/2)*DB127*DE127*VLOOKUP('Données projet'!$B$13,Paramètres!$A$1:$I$89,3,0)*0.475*44/12</f>
        <v>1.1324654966580334E-13</v>
      </c>
      <c r="DI127" s="24">
        <f t="shared" si="69"/>
        <v>0.72041483941646645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1.0818439477588981E-13</v>
      </c>
      <c r="DQ127" s="14">
        <f t="shared" si="97"/>
        <v>1.6104228458716316E-12</v>
      </c>
      <c r="DR127" s="22">
        <f t="shared" si="70"/>
        <v>2.9932409441277661E-12</v>
      </c>
      <c r="DS127" s="62">
        <f t="shared" si="71"/>
        <v>293.33333333333633</v>
      </c>
      <c r="DT127" s="62">
        <f ca="1">AVERAGE(OFFSET($DS$3,0,0,'Données projet'!$E$14+1,1))-AVERAGE(OFFSET($H$3,0,0,'Données projet'!$E$14+1,1))</f>
        <v>404.20764079465965</v>
      </c>
      <c r="DU127" s="62">
        <f t="shared" si="98"/>
        <v>243.23852967152732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1.4299552148278031E-13</v>
      </c>
      <c r="ED127" s="24">
        <f t="shared" si="72"/>
        <v>1.4299552148278031E-13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439.06700232017681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0.65550763466705619</v>
      </c>
      <c r="AB128" s="23">
        <f>EXP(-LN(2)/2)*AB127+(1-EXP(-LN(2)/2))/(LN(2)/2)*V128*Y128*VLOOKUP('Données projet'!$B$9,Paramètres!$A$1:$I$89,3,0)*0.475*44/12</f>
        <v>7.491111913630253E-14</v>
      </c>
      <c r="AC128" s="24">
        <f t="shared" si="57"/>
        <v>0.65550763466713113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396.92963589781414</v>
      </c>
      <c r="AO128" s="62">
        <f t="shared" si="90"/>
        <v>294.38852181137639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4.4337866711430253E-14</v>
      </c>
      <c r="BF128" s="14">
        <f t="shared" si="91"/>
        <v>7.3222115536967035E-13</v>
      </c>
      <c r="BG128" s="22">
        <f t="shared" si="61"/>
        <v>1.3525069634579169E-12</v>
      </c>
      <c r="BH128" s="62">
        <f t="shared" si="62"/>
        <v>293.33333333333468</v>
      </c>
      <c r="BI128" s="62">
        <f ca="1">AVERAGE(OFFSET($BH$3,0,0,'Données projet'!$E$11+1,1))-AVERAGE(OFFSET($H$3,0,0,'Données projet'!$E$11+1,1))</f>
        <v>288.82868507674738</v>
      </c>
      <c r="BJ128" s="62">
        <f t="shared" si="92"/>
        <v>283.48738729114024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0.49857509308696502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0.49857509308696502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405.09126081846171</v>
      </c>
      <c r="CE128" s="62">
        <f t="shared" si="94"/>
        <v>534.22295841722166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0.3666307241798577</v>
      </c>
      <c r="CL128" s="23">
        <f>EXP(-LN(2)/25)*CL127+(1-EXP(-LN(2)/25))/(LN(2)/25)*Calculateur!CG128*Calculateur!CI128*VLOOKUP('Données projet'!$B$12,Paramètres!$A$1:$I$89,3,0)*0.475*44/12</f>
        <v>0.62583350404717086</v>
      </c>
      <c r="CM128" s="23">
        <f>EXP(-LN(2)/2)*CM127+(1-EXP(-LN(2)/2))/(LN(2)/2)*CG128*CJ128*VLOOKUP('Données projet'!$B$12,Paramètres!$A$1:$I$89,3,0)*0.475*44/12</f>
        <v>1.8587898283309285E-15</v>
      </c>
      <c r="CN128" s="24">
        <f t="shared" si="66"/>
        <v>0.99246422822703051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466.4945858005575</v>
      </c>
      <c r="CZ128" s="62">
        <f t="shared" si="96"/>
        <v>294.45557293177131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0.70071505774754317</v>
      </c>
      <c r="DH128" s="23">
        <f>EXP(-LN(2)/2)*DH127+(1-EXP(-LN(2)/2))/(LN(2)/2)*DB128*DE128*VLOOKUP('Données projet'!$B$13,Paramètres!$A$1:$I$89,3,0)*0.475*44/12</f>
        <v>8.0077403214668697E-14</v>
      </c>
      <c r="DI128" s="24">
        <f t="shared" si="69"/>
        <v>0.70071505774762322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1.0818439477588981E-13</v>
      </c>
      <c r="DQ128" s="14">
        <f t="shared" si="97"/>
        <v>1.6104228458716316E-12</v>
      </c>
      <c r="DR128" s="22">
        <f t="shared" si="70"/>
        <v>2.9932409441277661E-12</v>
      </c>
      <c r="DS128" s="62">
        <f t="shared" si="71"/>
        <v>293.33333333333633</v>
      </c>
      <c r="DT128" s="62">
        <f ca="1">AVERAGE(OFFSET($DS$3,0,0,'Données projet'!$E$14+1,1))-AVERAGE(OFFSET($H$3,0,0,'Données projet'!$E$14+1,1))</f>
        <v>404.20764079465965</v>
      </c>
      <c r="DU128" s="62">
        <f t="shared" si="98"/>
        <v>243.23852967152732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1.011131029197806E-13</v>
      </c>
      <c r="ED128" s="24">
        <f t="shared" si="72"/>
        <v>1.011131029197806E-13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439.06700232017681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0.63758274392543723</v>
      </c>
      <c r="AB129" s="23">
        <f>EXP(-LN(2)/2)*AB128+(1-EXP(-LN(2)/2))/(LN(2)/2)*V129*Y129*VLOOKUP('Données projet'!$B$9,Paramètres!$A$1:$I$89,3,0)*0.475*44/12</f>
        <v>5.2970160327552867E-14</v>
      </c>
      <c r="AC129" s="24">
        <f t="shared" si="57"/>
        <v>0.63758274392549019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396.92963589781414</v>
      </c>
      <c r="AO129" s="62">
        <f t="shared" si="90"/>
        <v>294.38852181137639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4.4337866711430253E-14</v>
      </c>
      <c r="BF129" s="14">
        <f t="shared" si="91"/>
        <v>7.3222115536967035E-13</v>
      </c>
      <c r="BG129" s="22">
        <f t="shared" si="61"/>
        <v>1.3525069634579169E-12</v>
      </c>
      <c r="BH129" s="62">
        <f t="shared" si="62"/>
        <v>293.33333333333468</v>
      </c>
      <c r="BI129" s="62">
        <f ca="1">AVERAGE(OFFSET($BH$3,0,0,'Données projet'!$E$11+1,1))-AVERAGE(OFFSET($H$3,0,0,'Données projet'!$E$11+1,1))</f>
        <v>288.82868507674738</v>
      </c>
      <c r="BJ129" s="62">
        <f t="shared" si="92"/>
        <v>283.48738729114024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0.4849415309475773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0.4849415309475773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405.09126081846171</v>
      </c>
      <c r="CE129" s="62">
        <f t="shared" si="94"/>
        <v>534.22295841722166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0.35944131930135154</v>
      </c>
      <c r="CL129" s="23">
        <f>EXP(-LN(2)/25)*CL128+(1-EXP(-LN(2)/25))/(LN(2)/25)*Calculateur!CG129*Calculateur!CI129*VLOOKUP('Données projet'!$B$12,Paramètres!$A$1:$I$89,3,0)*0.475*44/12</f>
        <v>0.60872005396784734</v>
      </c>
      <c r="CM129" s="23">
        <f>EXP(-LN(2)/2)*CM128+(1-EXP(-LN(2)/2))/(LN(2)/2)*CG129*CJ129*VLOOKUP('Données projet'!$B$12,Paramètres!$A$1:$I$89,3,0)*0.475*44/12</f>
        <v>1.3143628924133781E-15</v>
      </c>
      <c r="CN129" s="24">
        <f t="shared" si="66"/>
        <v>0.96816137326920026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466.4945858005575</v>
      </c>
      <c r="CZ129" s="62">
        <f t="shared" si="96"/>
        <v>294.45557293177131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0.68155396764443321</v>
      </c>
      <c r="DH129" s="23">
        <f>EXP(-LN(2)/2)*DH128+(1-EXP(-LN(2)/2))/(LN(2)/2)*DB129*DE129*VLOOKUP('Données projet'!$B$13,Paramètres!$A$1:$I$89,3,0)*0.475*44/12</f>
        <v>5.6623274832901678E-14</v>
      </c>
      <c r="DI129" s="24">
        <f t="shared" si="69"/>
        <v>0.68155396764448983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1.0818439477588981E-13</v>
      </c>
      <c r="DQ129" s="14">
        <f t="shared" si="97"/>
        <v>1.6104228458716316E-12</v>
      </c>
      <c r="DR129" s="22">
        <f t="shared" si="70"/>
        <v>2.9932409441277661E-12</v>
      </c>
      <c r="DS129" s="62">
        <f t="shared" si="71"/>
        <v>293.33333333333633</v>
      </c>
      <c r="DT129" s="62">
        <f ca="1">AVERAGE(OFFSET($DS$3,0,0,'Données projet'!$E$14+1,1))-AVERAGE(OFFSET($H$3,0,0,'Données projet'!$E$14+1,1))</f>
        <v>404.20764079465965</v>
      </c>
      <c r="DU129" s="62">
        <f t="shared" si="98"/>
        <v>243.23852967152732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7.1497760741390157E-14</v>
      </c>
      <c r="ED129" s="24">
        <f t="shared" si="72"/>
        <v>7.1497760741390157E-14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439.06700232017681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0.62014801026377686</v>
      </c>
      <c r="AB130" s="23">
        <f>EXP(-LN(2)/2)*AB129+(1-EXP(-LN(2)/2))/(LN(2)/2)*V130*Y130*VLOOKUP('Données projet'!$B$9,Paramètres!$A$1:$I$89,3,0)*0.475*44/12</f>
        <v>3.7455559568151265E-14</v>
      </c>
      <c r="AC130" s="24">
        <f t="shared" si="57"/>
        <v>0.62014801026381428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396.92963589781414</v>
      </c>
      <c r="AO130" s="62">
        <f t="shared" si="90"/>
        <v>294.38852181137639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4.4337866711430253E-14</v>
      </c>
      <c r="BF130" s="14">
        <f t="shared" si="91"/>
        <v>7.3222115536967035E-13</v>
      </c>
      <c r="BG130" s="22">
        <f t="shared" si="61"/>
        <v>1.3525069634579169E-12</v>
      </c>
      <c r="BH130" s="62">
        <f t="shared" si="62"/>
        <v>293.33333333333468</v>
      </c>
      <c r="BI130" s="62">
        <f ca="1">AVERAGE(OFFSET($BH$3,0,0,'Données projet'!$E$11+1,1))-AVERAGE(OFFSET($H$3,0,0,'Données projet'!$E$11+1,1))</f>
        <v>288.82868507674738</v>
      </c>
      <c r="BJ130" s="62">
        <f t="shared" si="92"/>
        <v>283.48738729114024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0.47168077928184904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0.47168077928184904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405.09126081846171</v>
      </c>
      <c r="CE130" s="62">
        <f t="shared" si="94"/>
        <v>534.22295841722166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0.35239289426740888</v>
      </c>
      <c r="CL130" s="23">
        <f>EXP(-LN(2)/25)*CL129+(1-EXP(-LN(2)/25))/(LN(2)/25)*Calculateur!CG130*Calculateur!CI130*VLOOKUP('Données projet'!$B$12,Paramètres!$A$1:$I$89,3,0)*0.475*44/12</f>
        <v>0.5920745720809002</v>
      </c>
      <c r="CM130" s="23">
        <f>EXP(-LN(2)/2)*CM129+(1-EXP(-LN(2)/2))/(LN(2)/2)*CG130*CJ130*VLOOKUP('Données projet'!$B$12,Paramètres!$A$1:$I$89,3,0)*0.475*44/12</f>
        <v>9.2939491416546425E-16</v>
      </c>
      <c r="CN130" s="24">
        <f t="shared" si="66"/>
        <v>0.94446746634830991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466.4945858005575</v>
      </c>
      <c r="CZ130" s="62">
        <f t="shared" si="96"/>
        <v>294.45557293177131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0.66291683855783079</v>
      </c>
      <c r="DH130" s="23">
        <f>EXP(-LN(2)/2)*DH129+(1-EXP(-LN(2)/2))/(LN(2)/2)*DB130*DE130*VLOOKUP('Données projet'!$B$13,Paramètres!$A$1:$I$89,3,0)*0.475*44/12</f>
        <v>4.0038701607334355E-14</v>
      </c>
      <c r="DI130" s="24">
        <f t="shared" si="69"/>
        <v>0.66291683855787087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1.0818439477588981E-13</v>
      </c>
      <c r="DQ130" s="14">
        <f t="shared" si="97"/>
        <v>1.6104228458716316E-12</v>
      </c>
      <c r="DR130" s="22">
        <f t="shared" si="70"/>
        <v>2.9932409441277661E-12</v>
      </c>
      <c r="DS130" s="62">
        <f t="shared" si="71"/>
        <v>293.33333333333633</v>
      </c>
      <c r="DT130" s="62">
        <f ca="1">AVERAGE(OFFSET($DS$3,0,0,'Données projet'!$E$14+1,1))-AVERAGE(OFFSET($H$3,0,0,'Données projet'!$E$14+1,1))</f>
        <v>404.20764079465965</v>
      </c>
      <c r="DU130" s="62">
        <f t="shared" si="98"/>
        <v>243.23852967152732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5.0556551459890298E-14</v>
      </c>
      <c r="ED130" s="24">
        <f t="shared" si="72"/>
        <v>5.0556551459890298E-14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439.06700232017681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0.60319003031094742</v>
      </c>
      <c r="AB131" s="23">
        <f>EXP(-LN(2)/2)*AB130+(1-EXP(-LN(2)/2))/(LN(2)/2)*V131*Y131*VLOOKUP('Données projet'!$B$9,Paramètres!$A$1:$I$89,3,0)*0.475*44/12</f>
        <v>2.6485080163776433E-14</v>
      </c>
      <c r="AC131" s="24">
        <f t="shared" si="57"/>
        <v>0.60319003031097396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396.92963589781414</v>
      </c>
      <c r="AO131" s="62">
        <f t="shared" si="90"/>
        <v>294.38852181137639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4.4337866711430253E-14</v>
      </c>
      <c r="BF131" s="14">
        <f t="shared" si="91"/>
        <v>7.3222115536967035E-13</v>
      </c>
      <c r="BG131" s="22">
        <f t="shared" si="61"/>
        <v>1.3525069634579169E-12</v>
      </c>
      <c r="BH131" s="62">
        <f t="shared" si="62"/>
        <v>293.33333333333468</v>
      </c>
      <c r="BI131" s="62">
        <f ca="1">AVERAGE(OFFSET($BH$3,0,0,'Données projet'!$E$11+1,1))-AVERAGE(OFFSET($H$3,0,0,'Données projet'!$E$11+1,1))</f>
        <v>288.82868507674738</v>
      </c>
      <c r="BJ131" s="62">
        <f t="shared" si="92"/>
        <v>283.48738729114024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0.45878264356777271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0.45878264356777271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405.09126081846171</v>
      </c>
      <c r="CE131" s="62">
        <f t="shared" si="94"/>
        <v>534.22295841722166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0.34548268454926712</v>
      </c>
      <c r="CL131" s="23">
        <f>EXP(-LN(2)/25)*CL130+(1-EXP(-LN(2)/25))/(LN(2)/25)*Calculateur!CG131*Calculateur!CI131*VLOOKUP('Données projet'!$B$12,Paramètres!$A$1:$I$89,3,0)*0.475*44/12</f>
        <v>0.57588426177149943</v>
      </c>
      <c r="CM131" s="23">
        <f>EXP(-LN(2)/2)*CM130+(1-EXP(-LN(2)/2))/(LN(2)/2)*CG131*CJ131*VLOOKUP('Données projet'!$B$12,Paramètres!$A$1:$I$89,3,0)*0.475*44/12</f>
        <v>6.5718144620668907E-16</v>
      </c>
      <c r="CN131" s="24">
        <f t="shared" si="66"/>
        <v>0.92136694632076721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466.4945858005575</v>
      </c>
      <c r="CZ131" s="62">
        <f t="shared" si="96"/>
        <v>294.45557293177131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0.64478934274618549</v>
      </c>
      <c r="DH131" s="23">
        <f>EXP(-LN(2)/2)*DH130+(1-EXP(-LN(2)/2))/(LN(2)/2)*DB131*DE131*VLOOKUP('Données projet'!$B$13,Paramètres!$A$1:$I$89,3,0)*0.475*44/12</f>
        <v>2.8311637416450845E-14</v>
      </c>
      <c r="DI131" s="24">
        <f t="shared" si="69"/>
        <v>0.6447893427462138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1.0818439477588981E-13</v>
      </c>
      <c r="DQ131" s="14">
        <f t="shared" si="97"/>
        <v>1.6104228458716316E-12</v>
      </c>
      <c r="DR131" s="22">
        <f t="shared" si="70"/>
        <v>2.9932409441277661E-12</v>
      </c>
      <c r="DS131" s="62">
        <f t="shared" si="71"/>
        <v>293.33333333333633</v>
      </c>
      <c r="DT131" s="62">
        <f ca="1">AVERAGE(OFFSET($DS$3,0,0,'Données projet'!$E$14+1,1))-AVERAGE(OFFSET($H$3,0,0,'Données projet'!$E$14+1,1))</f>
        <v>404.20764079465965</v>
      </c>
      <c r="DU131" s="62">
        <f t="shared" si="98"/>
        <v>243.23852967152732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3.5748880370695078E-14</v>
      </c>
      <c r="ED131" s="24">
        <f t="shared" si="72"/>
        <v>3.5748880370695078E-14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439.06700232017681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0.58669576721170946</v>
      </c>
      <c r="AB132" s="23">
        <f>EXP(-LN(2)/2)*AB131+(1-EXP(-LN(2)/2))/(LN(2)/2)*V132*Y132*VLOOKUP('Données projet'!$B$9,Paramètres!$A$1:$I$89,3,0)*0.475*44/12</f>
        <v>1.8727779784075633E-14</v>
      </c>
      <c r="AC132" s="24">
        <f t="shared" ref="AC132:AC153" si="111">SUM(Z132:AB132)</f>
        <v>0.58669576721172823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396.92963589781414</v>
      </c>
      <c r="AO132" s="62">
        <f t="shared" si="90"/>
        <v>294.38852181137639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4.4337866711430253E-14</v>
      </c>
      <c r="BF132" s="14">
        <f t="shared" si="91"/>
        <v>7.3222115536967035E-13</v>
      </c>
      <c r="BG132" s="22">
        <f t="shared" ref="BG132:BG153" si="115">(BE132+BF132)*0.475*44/12</f>
        <v>1.3525069634579169E-12</v>
      </c>
      <c r="BH132" s="62">
        <f t="shared" ref="BH132:BH195" si="116">BG132+(AY132+AZ132)*44/12</f>
        <v>293.33333333333468</v>
      </c>
      <c r="BI132" s="62">
        <f ca="1">AVERAGE(OFFSET($BH$3,0,0,'Données projet'!$E$11+1,1))-AVERAGE(OFFSET($H$3,0,0,'Données projet'!$E$11+1,1))</f>
        <v>288.82868507674738</v>
      </c>
      <c r="BJ132" s="62">
        <f t="shared" si="92"/>
        <v>283.48738729114024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0.44623720805308131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0.44623720805308131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405.09126081846171</v>
      </c>
      <c r="CE132" s="62">
        <f t="shared" si="94"/>
        <v>534.22295841722166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0.33870797982888634</v>
      </c>
      <c r="CL132" s="23">
        <f>EXP(-LN(2)/25)*CL131+(1-EXP(-LN(2)/25))/(LN(2)/25)*Calculateur!CG132*Calculateur!CI132*VLOOKUP('Données projet'!$B$12,Paramètres!$A$1:$I$89,3,0)*0.475*44/12</f>
        <v>0.56013667634892061</v>
      </c>
      <c r="CM132" s="23">
        <f>EXP(-LN(2)/2)*CM131+(1-EXP(-LN(2)/2))/(LN(2)/2)*CG132*CJ132*VLOOKUP('Données projet'!$B$12,Paramètres!$A$1:$I$89,3,0)*0.475*44/12</f>
        <v>4.6469745708273212E-16</v>
      </c>
      <c r="CN132" s="24">
        <f t="shared" ref="CN132:CN153" si="120">SUM(CK132:CM132)</f>
        <v>0.8988446561778074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466.4945858005575</v>
      </c>
      <c r="CZ132" s="62">
        <f t="shared" si="96"/>
        <v>294.45557293177131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0.62715754426079318</v>
      </c>
      <c r="DH132" s="23">
        <f>EXP(-LN(2)/2)*DH131+(1-EXP(-LN(2)/2))/(LN(2)/2)*DB132*DE132*VLOOKUP('Données projet'!$B$13,Paramètres!$A$1:$I$89,3,0)*0.475*44/12</f>
        <v>2.001935080366718E-14</v>
      </c>
      <c r="DI132" s="24">
        <f t="shared" ref="DI132:DI153" si="123">SUM(DF132:DH132)</f>
        <v>0.62715754426081316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1.0818439477588981E-13</v>
      </c>
      <c r="DQ132" s="14">
        <f t="shared" si="97"/>
        <v>1.6104228458716316E-12</v>
      </c>
      <c r="DR132" s="22">
        <f t="shared" ref="DR132:DR153" si="124">(DP132+DQ132)*0.475*44/12</f>
        <v>2.9932409441277661E-12</v>
      </c>
      <c r="DS132" s="62">
        <f t="shared" ref="DS132:DS195" si="125">DR132+(DJ132+DK132)*44/12</f>
        <v>293.33333333333633</v>
      </c>
      <c r="DT132" s="62">
        <f ca="1">AVERAGE(OFFSET($DS$3,0,0,'Données projet'!$E$14+1,1))-AVERAGE(OFFSET($H$3,0,0,'Données projet'!$E$14+1,1))</f>
        <v>404.20764079465965</v>
      </c>
      <c r="DU132" s="62">
        <f t="shared" si="98"/>
        <v>243.23852967152732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2.5278275729945149E-14</v>
      </c>
      <c r="ED132" s="24">
        <f t="shared" ref="ED132:ED153" si="126">SUM(EA132:EC132)</f>
        <v>2.5278275729945149E-14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439.06700232017681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0.57065254060431581</v>
      </c>
      <c r="AB133" s="23">
        <f>EXP(-LN(2)/2)*AB132+(1-EXP(-LN(2)/2))/(LN(2)/2)*V133*Y133*VLOOKUP('Données projet'!$B$9,Paramètres!$A$1:$I$89,3,0)*0.475*44/12</f>
        <v>1.3242540081888217E-14</v>
      </c>
      <c r="AC133" s="24">
        <f t="shared" si="111"/>
        <v>0.57065254060432902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396.92963589781414</v>
      </c>
      <c r="AO133" s="62">
        <f t="shared" ref="AO133:AO196" si="144">$AO$3</f>
        <v>294.38852181137639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4.4337866711430253E-14</v>
      </c>
      <c r="BF133" s="14">
        <f t="shared" ref="BF133:BF153" si="145">EXP(-1.0587+0.8836*LN(BE133)+0.284)</f>
        <v>7.3222115536967035E-13</v>
      </c>
      <c r="BG133" s="22">
        <f t="shared" si="115"/>
        <v>1.3525069634579169E-12</v>
      </c>
      <c r="BH133" s="62">
        <f t="shared" si="116"/>
        <v>293.33333333333468</v>
      </c>
      <c r="BI133" s="62">
        <f ca="1">AVERAGE(OFFSET($BH$3,0,0,'Données projet'!$E$11+1,1))-AVERAGE(OFFSET($H$3,0,0,'Données projet'!$E$11+1,1))</f>
        <v>288.82868507674738</v>
      </c>
      <c r="BJ133" s="62">
        <f t="shared" ref="BJ133:BJ196" si="146">$BJ$3</f>
        <v>283.48738729114024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0.4340348281322749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0.4340348281322749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405.09126081846171</v>
      </c>
      <c r="CE133" s="62">
        <f t="shared" ref="CE133:CE196" si="148">$CE$3</f>
        <v>534.22295841722166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0.33206612293591037</v>
      </c>
      <c r="CL133" s="23">
        <f>EXP(-LN(2)/25)*CL132+(1-EXP(-LN(2)/25))/(LN(2)/25)*Calculateur!CG133*Calculateur!CI133*VLOOKUP('Données projet'!$B$12,Paramètres!$A$1:$I$89,3,0)*0.475*44/12</f>
        <v>0.54481970947785174</v>
      </c>
      <c r="CM133" s="23">
        <f>EXP(-LN(2)/2)*CM132+(1-EXP(-LN(2)/2))/(LN(2)/2)*CG133*CJ133*VLOOKUP('Données projet'!$B$12,Paramètres!$A$1:$I$89,3,0)*0.475*44/12</f>
        <v>3.2859072310334453E-16</v>
      </c>
      <c r="CN133" s="24">
        <f t="shared" si="120"/>
        <v>0.87688583241376239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466.4945858005575</v>
      </c>
      <c r="CZ133" s="62">
        <f t="shared" ref="CZ133:CZ196" si="150">$CZ$3</f>
        <v>294.45557293177131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0.61000788823219987</v>
      </c>
      <c r="DH133" s="23">
        <f>EXP(-LN(2)/2)*DH132+(1-EXP(-LN(2)/2))/(LN(2)/2)*DB133*DE133*VLOOKUP('Données projet'!$B$13,Paramètres!$A$1:$I$89,3,0)*0.475*44/12</f>
        <v>1.4155818708225424E-14</v>
      </c>
      <c r="DI133" s="24">
        <f t="shared" si="123"/>
        <v>0.61000788823221408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1.0818439477588981E-13</v>
      </c>
      <c r="DQ133" s="14">
        <f t="shared" ref="DQ133:DQ153" si="151">EXP(-1.0587+0.8836*LN(DP133)+0.284)</f>
        <v>1.6104228458716316E-12</v>
      </c>
      <c r="DR133" s="22">
        <f t="shared" si="124"/>
        <v>2.9932409441277661E-12</v>
      </c>
      <c r="DS133" s="62">
        <f t="shared" si="125"/>
        <v>293.33333333333633</v>
      </c>
      <c r="DT133" s="62">
        <f ca="1">AVERAGE(OFFSET($DS$3,0,0,'Données projet'!$E$14+1,1))-AVERAGE(OFFSET($H$3,0,0,'Données projet'!$E$14+1,1))</f>
        <v>404.20764079465965</v>
      </c>
      <c r="DU133" s="62">
        <f t="shared" ref="DU133:DU196" si="152">$DU$3</f>
        <v>243.23852967152732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1.7874440185347539E-14</v>
      </c>
      <c r="ED133" s="24">
        <f t="shared" si="126"/>
        <v>1.7874440185347539E-14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439.06700232017681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0.55504801687217797</v>
      </c>
      <c r="AB134" s="23">
        <f>EXP(-LN(2)/2)*AB133+(1-EXP(-LN(2)/2))/(LN(2)/2)*V134*Y134*VLOOKUP('Données projet'!$B$9,Paramètres!$A$1:$I$89,3,0)*0.475*44/12</f>
        <v>9.3638898920378163E-15</v>
      </c>
      <c r="AC134" s="24">
        <f t="shared" si="111"/>
        <v>0.5550480168721873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396.92963589781414</v>
      </c>
      <c r="AO134" s="62">
        <f t="shared" si="144"/>
        <v>294.38852181137639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4.4337866711430253E-14</v>
      </c>
      <c r="BF134" s="14">
        <f t="shared" si="145"/>
        <v>7.3222115536967035E-13</v>
      </c>
      <c r="BG134" s="22">
        <f t="shared" si="115"/>
        <v>1.3525069634579169E-12</v>
      </c>
      <c r="BH134" s="62">
        <f t="shared" si="116"/>
        <v>293.33333333333468</v>
      </c>
      <c r="BI134" s="62">
        <f ca="1">AVERAGE(OFFSET($BH$3,0,0,'Données projet'!$E$11+1,1))-AVERAGE(OFFSET($H$3,0,0,'Données projet'!$E$11+1,1))</f>
        <v>288.82868507674738</v>
      </c>
      <c r="BJ134" s="62">
        <f t="shared" si="146"/>
        <v>283.48738729114024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0.42216612293209821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0.42216612293209821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405.09126081846171</v>
      </c>
      <c r="CE134" s="62">
        <f t="shared" si="148"/>
        <v>534.22295841722166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0.32555450880547299</v>
      </c>
      <c r="CL134" s="23">
        <f>EXP(-LN(2)/25)*CL133+(1-EXP(-LN(2)/25))/(LN(2)/25)*Calculateur!CG134*Calculateur!CI134*VLOOKUP('Données projet'!$B$12,Paramètres!$A$1:$I$89,3,0)*0.475*44/12</f>
        <v>0.52992158587135652</v>
      </c>
      <c r="CM134" s="23">
        <f>EXP(-LN(2)/2)*CM133+(1-EXP(-LN(2)/2))/(LN(2)/2)*CG134*CJ134*VLOOKUP('Données projet'!$B$12,Paramètres!$A$1:$I$89,3,0)*0.475*44/12</f>
        <v>2.3234872854136606E-16</v>
      </c>
      <c r="CN134" s="24">
        <f t="shared" si="120"/>
        <v>0.85547609467682972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466.4945858005575</v>
      </c>
      <c r="CZ134" s="62">
        <f t="shared" si="150"/>
        <v>294.45557293177131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0.59332719044956972</v>
      </c>
      <c r="DH134" s="23">
        <f>EXP(-LN(2)/2)*DH133+(1-EXP(-LN(2)/2))/(LN(2)/2)*DB134*DE134*VLOOKUP('Données projet'!$B$13,Paramètres!$A$1:$I$89,3,0)*0.475*44/12</f>
        <v>1.0009675401833592E-14</v>
      </c>
      <c r="DI134" s="24">
        <f t="shared" si="123"/>
        <v>0.59332719044957971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1.0818439477588981E-13</v>
      </c>
      <c r="DQ134" s="14">
        <f t="shared" si="151"/>
        <v>1.6104228458716316E-12</v>
      </c>
      <c r="DR134" s="22">
        <f t="shared" si="124"/>
        <v>2.9932409441277661E-12</v>
      </c>
      <c r="DS134" s="62">
        <f t="shared" si="125"/>
        <v>293.33333333333633</v>
      </c>
      <c r="DT134" s="62">
        <f ca="1">AVERAGE(OFFSET($DS$3,0,0,'Données projet'!$E$14+1,1))-AVERAGE(OFFSET($H$3,0,0,'Données projet'!$E$14+1,1))</f>
        <v>404.20764079465965</v>
      </c>
      <c r="DU134" s="62">
        <f t="shared" si="152"/>
        <v>243.23852967152732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1.2639137864972575E-14</v>
      </c>
      <c r="ED134" s="24">
        <f t="shared" si="126"/>
        <v>1.2639137864972575E-14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439.06700232017681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0.53987019966210159</v>
      </c>
      <c r="AB135" s="23">
        <f>EXP(-LN(2)/2)*AB134+(1-EXP(-LN(2)/2))/(LN(2)/2)*V135*Y135*VLOOKUP('Données projet'!$B$9,Paramètres!$A$1:$I$89,3,0)*0.475*44/12</f>
        <v>6.6212700409441083E-15</v>
      </c>
      <c r="AC135" s="24">
        <f t="shared" si="111"/>
        <v>0.53987019966210825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396.92963589781414</v>
      </c>
      <c r="AO135" s="62">
        <f t="shared" si="144"/>
        <v>294.38852181137639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4.4337866711430253E-14</v>
      </c>
      <c r="BF135" s="14">
        <f t="shared" si="145"/>
        <v>7.3222115536967035E-13</v>
      </c>
      <c r="BG135" s="22">
        <f t="shared" si="115"/>
        <v>1.3525069634579169E-12</v>
      </c>
      <c r="BH135" s="62">
        <f t="shared" si="116"/>
        <v>293.33333333333468</v>
      </c>
      <c r="BI135" s="62">
        <f ca="1">AVERAGE(OFFSET($BH$3,0,0,'Données projet'!$E$11+1,1))-AVERAGE(OFFSET($H$3,0,0,'Données projet'!$E$11+1,1))</f>
        <v>288.82868507674738</v>
      </c>
      <c r="BJ135" s="62">
        <f t="shared" si="146"/>
        <v>283.48738729114024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0.41062196809976848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0.41062196809976848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405.09126081846171</v>
      </c>
      <c r="CE135" s="62">
        <f t="shared" si="148"/>
        <v>534.22295841722166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0.319170583456441</v>
      </c>
      <c r="CL135" s="23">
        <f>EXP(-LN(2)/25)*CL134+(1-EXP(-LN(2)/25))/(LN(2)/25)*Calculateur!CG135*Calculateur!CI135*VLOOKUP('Données projet'!$B$12,Paramètres!$A$1:$I$89,3,0)*0.475*44/12</f>
        <v>0.51543085223833918</v>
      </c>
      <c r="CM135" s="23">
        <f>EXP(-LN(2)/2)*CM134+(1-EXP(-LN(2)/2))/(LN(2)/2)*CG135*CJ135*VLOOKUP('Données projet'!$B$12,Paramètres!$A$1:$I$89,3,0)*0.475*44/12</f>
        <v>1.6429536155167227E-16</v>
      </c>
      <c r="CN135" s="24">
        <f t="shared" si="120"/>
        <v>0.83460143569478029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466.4945858005575</v>
      </c>
      <c r="CZ135" s="62">
        <f t="shared" si="150"/>
        <v>294.45557293177131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0.57710262722500538</v>
      </c>
      <c r="DH135" s="23">
        <f>EXP(-LN(2)/2)*DH134+(1-EXP(-LN(2)/2))/(LN(2)/2)*DB135*DE135*VLOOKUP('Données projet'!$B$13,Paramètres!$A$1:$I$89,3,0)*0.475*44/12</f>
        <v>7.0779093541127129E-15</v>
      </c>
      <c r="DI135" s="24">
        <f t="shared" si="123"/>
        <v>0.57710262722501249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1.0818439477588981E-13</v>
      </c>
      <c r="DQ135" s="14">
        <f t="shared" si="151"/>
        <v>1.6104228458716316E-12</v>
      </c>
      <c r="DR135" s="22">
        <f t="shared" si="124"/>
        <v>2.9932409441277661E-12</v>
      </c>
      <c r="DS135" s="62">
        <f t="shared" si="125"/>
        <v>293.33333333333633</v>
      </c>
      <c r="DT135" s="62">
        <f ca="1">AVERAGE(OFFSET($DS$3,0,0,'Données projet'!$E$14+1,1))-AVERAGE(OFFSET($H$3,0,0,'Données projet'!$E$14+1,1))</f>
        <v>404.20764079465965</v>
      </c>
      <c r="DU135" s="62">
        <f t="shared" si="152"/>
        <v>243.23852967152732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8.9372200926737696E-15</v>
      </c>
      <c r="ED135" s="24">
        <f t="shared" si="126"/>
        <v>8.9372200926737696E-15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439.06700232017681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0.52510742066180149</v>
      </c>
      <c r="AB136" s="23">
        <f>EXP(-LN(2)/2)*AB135+(1-EXP(-LN(2)/2))/(LN(2)/2)*V136*Y136*VLOOKUP('Données projet'!$B$9,Paramètres!$A$1:$I$89,3,0)*0.475*44/12</f>
        <v>4.6819449460189081E-15</v>
      </c>
      <c r="AC136" s="24">
        <f t="shared" si="111"/>
        <v>0.52510742066180616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396.92963589781414</v>
      </c>
      <c r="AO136" s="62">
        <f t="shared" si="144"/>
        <v>294.38852181137639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4.4337866711430253E-14</v>
      </c>
      <c r="BF136" s="14">
        <f t="shared" si="145"/>
        <v>7.3222115536967035E-13</v>
      </c>
      <c r="BG136" s="22">
        <f t="shared" si="115"/>
        <v>1.3525069634579169E-12</v>
      </c>
      <c r="BH136" s="62">
        <f t="shared" si="116"/>
        <v>293.33333333333468</v>
      </c>
      <c r="BI136" s="62">
        <f ca="1">AVERAGE(OFFSET($BH$3,0,0,'Données projet'!$E$11+1,1))-AVERAGE(OFFSET($H$3,0,0,'Données projet'!$E$11+1,1))</f>
        <v>288.82868507674738</v>
      </c>
      <c r="BJ136" s="62">
        <f t="shared" si="146"/>
        <v>283.48738729114024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0.39939348878840947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0.39939348878840947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405.09126081846171</v>
      </c>
      <c r="CE136" s="62">
        <f t="shared" si="148"/>
        <v>534.22295841722166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0.31291184298969354</v>
      </c>
      <c r="CL136" s="23">
        <f>EXP(-LN(2)/25)*CL135+(1-EXP(-LN(2)/25))/(LN(2)/25)*Calculateur!CG136*Calculateur!CI136*VLOOKUP('Données projet'!$B$12,Paramètres!$A$1:$I$89,3,0)*0.475*44/12</f>
        <v>0.50133636847855134</v>
      </c>
      <c r="CM136" s="23">
        <f>EXP(-LN(2)/2)*CM135+(1-EXP(-LN(2)/2))/(LN(2)/2)*CG136*CJ136*VLOOKUP('Données projet'!$B$12,Paramètres!$A$1:$I$89,3,0)*0.475*44/12</f>
        <v>1.1617436427068303E-16</v>
      </c>
      <c r="CN136" s="24">
        <f t="shared" si="120"/>
        <v>0.814248211468245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466.4945858005575</v>
      </c>
      <c r="CZ136" s="62">
        <f t="shared" si="150"/>
        <v>294.45557293177131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0.56132172553502946</v>
      </c>
      <c r="DH136" s="23">
        <f>EXP(-LN(2)/2)*DH135+(1-EXP(-LN(2)/2))/(LN(2)/2)*DB136*DE136*VLOOKUP('Données projet'!$B$13,Paramètres!$A$1:$I$89,3,0)*0.475*44/12</f>
        <v>5.0048377009167967E-15</v>
      </c>
      <c r="DI136" s="24">
        <f t="shared" si="123"/>
        <v>0.56132172553503445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1.0818439477588981E-13</v>
      </c>
      <c r="DQ136" s="14">
        <f t="shared" si="151"/>
        <v>1.6104228458716316E-12</v>
      </c>
      <c r="DR136" s="22">
        <f t="shared" si="124"/>
        <v>2.9932409441277661E-12</v>
      </c>
      <c r="DS136" s="62">
        <f t="shared" si="125"/>
        <v>293.33333333333633</v>
      </c>
      <c r="DT136" s="62">
        <f ca="1">AVERAGE(OFFSET($DS$3,0,0,'Données projet'!$E$14+1,1))-AVERAGE(OFFSET($H$3,0,0,'Données projet'!$E$14+1,1))</f>
        <v>404.20764079465965</v>
      </c>
      <c r="DU136" s="62">
        <f t="shared" si="152"/>
        <v>243.23852967152732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6.3195689324862873E-15</v>
      </c>
      <c r="ED136" s="24">
        <f t="shared" si="126"/>
        <v>6.3195689324862873E-15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439.06700232017681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0.51074833062960545</v>
      </c>
      <c r="AB137" s="23">
        <f>EXP(-LN(2)/2)*AB136+(1-EXP(-LN(2)/2))/(LN(2)/2)*V137*Y137*VLOOKUP('Données projet'!$B$9,Paramètres!$A$1:$I$89,3,0)*0.475*44/12</f>
        <v>3.3106350204720542E-15</v>
      </c>
      <c r="AC137" s="24">
        <f t="shared" si="111"/>
        <v>0.51074833062960878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396.92963589781414</v>
      </c>
      <c r="AO137" s="62">
        <f t="shared" si="144"/>
        <v>294.38852181137639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4.4337866711430253E-14</v>
      </c>
      <c r="BF137" s="14">
        <f t="shared" si="145"/>
        <v>7.3222115536967035E-13</v>
      </c>
      <c r="BG137" s="22">
        <f t="shared" si="115"/>
        <v>1.3525069634579169E-12</v>
      </c>
      <c r="BH137" s="62">
        <f t="shared" si="116"/>
        <v>293.33333333333468</v>
      </c>
      <c r="BI137" s="62">
        <f ca="1">AVERAGE(OFFSET($BH$3,0,0,'Données projet'!$E$11+1,1))-AVERAGE(OFFSET($H$3,0,0,'Données projet'!$E$11+1,1))</f>
        <v>288.82868507674738</v>
      </c>
      <c r="BJ137" s="62">
        <f t="shared" si="146"/>
        <v>283.48738729114024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0.38847205283429964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0.38847205283429964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405.09126081846171</v>
      </c>
      <c r="CE137" s="62">
        <f t="shared" si="148"/>
        <v>534.22295841722166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0.3067758326060443</v>
      </c>
      <c r="CL137" s="23">
        <f>EXP(-LN(2)/25)*CL136+(1-EXP(-LN(2)/25))/(LN(2)/25)*Calculateur!CG137*Calculateur!CI137*VLOOKUP('Données projet'!$B$12,Paramètres!$A$1:$I$89,3,0)*0.475*44/12</f>
        <v>0.48762729911837155</v>
      </c>
      <c r="CM137" s="23">
        <f>EXP(-LN(2)/2)*CM136+(1-EXP(-LN(2)/2))/(LN(2)/2)*CG137*CJ137*VLOOKUP('Données projet'!$B$12,Paramètres!$A$1:$I$89,3,0)*0.475*44/12</f>
        <v>8.2147680775836134E-17</v>
      </c>
      <c r="CN137" s="24">
        <f t="shared" si="120"/>
        <v>0.7944031317244159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466.4945858005575</v>
      </c>
      <c r="CZ137" s="62">
        <f t="shared" si="150"/>
        <v>294.45557293177131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0.54597235343164741</v>
      </c>
      <c r="DH137" s="23">
        <f>EXP(-LN(2)/2)*DH136+(1-EXP(-LN(2)/2))/(LN(2)/2)*DB137*DE137*VLOOKUP('Données projet'!$B$13,Paramètres!$A$1:$I$89,3,0)*0.475*44/12</f>
        <v>3.5389546770563572E-15</v>
      </c>
      <c r="DI137" s="24">
        <f t="shared" si="123"/>
        <v>0.54597235343165096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1.0818439477588981E-13</v>
      </c>
      <c r="DQ137" s="14">
        <f t="shared" si="151"/>
        <v>1.6104228458716316E-12</v>
      </c>
      <c r="DR137" s="22">
        <f t="shared" si="124"/>
        <v>2.9932409441277661E-12</v>
      </c>
      <c r="DS137" s="62">
        <f t="shared" si="125"/>
        <v>293.33333333333633</v>
      </c>
      <c r="DT137" s="62">
        <f ca="1">AVERAGE(OFFSET($DS$3,0,0,'Données projet'!$E$14+1,1))-AVERAGE(OFFSET($H$3,0,0,'Données projet'!$E$14+1,1))</f>
        <v>404.20764079465965</v>
      </c>
      <c r="DU137" s="62">
        <f t="shared" si="152"/>
        <v>243.23852967152732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4.4686100463368848E-15</v>
      </c>
      <c r="ED137" s="24">
        <f t="shared" si="126"/>
        <v>4.4686100463368848E-15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439.06700232017681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0.4967818906694515</v>
      </c>
      <c r="AB138" s="23">
        <f>EXP(-LN(2)/2)*AB137+(1-EXP(-LN(2)/2))/(LN(2)/2)*V138*Y138*VLOOKUP('Données projet'!$B$9,Paramètres!$A$1:$I$89,3,0)*0.475*44/12</f>
        <v>2.3409724730094541E-15</v>
      </c>
      <c r="AC138" s="24">
        <f t="shared" si="111"/>
        <v>0.49678189066945383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396.92963589781414</v>
      </c>
      <c r="AO138" s="62">
        <f t="shared" si="144"/>
        <v>294.38852181137639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4.4337866711430253E-14</v>
      </c>
      <c r="BF138" s="14">
        <f t="shared" si="145"/>
        <v>7.3222115536967035E-13</v>
      </c>
      <c r="BG138" s="22">
        <f t="shared" si="115"/>
        <v>1.3525069634579169E-12</v>
      </c>
      <c r="BH138" s="62">
        <f t="shared" si="116"/>
        <v>293.33333333333468</v>
      </c>
      <c r="BI138" s="62">
        <f ca="1">AVERAGE(OFFSET($BH$3,0,0,'Données projet'!$E$11+1,1))-AVERAGE(OFFSET($H$3,0,0,'Données projet'!$E$11+1,1))</f>
        <v>288.82868507674738</v>
      </c>
      <c r="BJ138" s="62">
        <f t="shared" si="146"/>
        <v>283.48738729114024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0.37784926412068831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0.37784926412068831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405.09126081846171</v>
      </c>
      <c r="CE138" s="62">
        <f t="shared" si="148"/>
        <v>534.22295841722166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0.30076014564342163</v>
      </c>
      <c r="CL138" s="23">
        <f>EXP(-LN(2)/25)*CL137+(1-EXP(-LN(2)/25))/(LN(2)/25)*Calculateur!CG138*Calculateur!CI138*VLOOKUP('Données projet'!$B$12,Paramètres!$A$1:$I$89,3,0)*0.475*44/12</f>
        <v>0.47429310498077448</v>
      </c>
      <c r="CM138" s="23">
        <f>EXP(-LN(2)/2)*CM137+(1-EXP(-LN(2)/2))/(LN(2)/2)*CG138*CJ138*VLOOKUP('Données projet'!$B$12,Paramètres!$A$1:$I$89,3,0)*0.475*44/12</f>
        <v>5.8087182135341516E-17</v>
      </c>
      <c r="CN138" s="24">
        <f t="shared" si="120"/>
        <v>0.77505325062419617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466.4945858005575</v>
      </c>
      <c r="CZ138" s="62">
        <f t="shared" si="150"/>
        <v>294.45557293177131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0.53104271071562081</v>
      </c>
      <c r="DH138" s="23">
        <f>EXP(-LN(2)/2)*DH137+(1-EXP(-LN(2)/2))/(LN(2)/2)*DB138*DE138*VLOOKUP('Données projet'!$B$13,Paramètres!$A$1:$I$89,3,0)*0.475*44/12</f>
        <v>2.5024188504583987E-15</v>
      </c>
      <c r="DI138" s="24">
        <f t="shared" si="123"/>
        <v>0.53104271071562337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1.0818439477588981E-13</v>
      </c>
      <c r="DQ138" s="14">
        <f t="shared" si="151"/>
        <v>1.6104228458716316E-12</v>
      </c>
      <c r="DR138" s="22">
        <f t="shared" si="124"/>
        <v>2.9932409441277661E-12</v>
      </c>
      <c r="DS138" s="62">
        <f t="shared" si="125"/>
        <v>293.33333333333633</v>
      </c>
      <c r="DT138" s="62">
        <f ca="1">AVERAGE(OFFSET($DS$3,0,0,'Données projet'!$E$14+1,1))-AVERAGE(OFFSET($H$3,0,0,'Données projet'!$E$14+1,1))</f>
        <v>404.20764079465965</v>
      </c>
      <c r="DU138" s="62">
        <f t="shared" si="152"/>
        <v>243.23852967152732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3.1597844662431436E-15</v>
      </c>
      <c r="ED138" s="24">
        <f t="shared" si="126"/>
        <v>3.1597844662431436E-15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439.06700232017681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0.48319736374447114</v>
      </c>
      <c r="AB139" s="23">
        <f>EXP(-LN(2)/2)*AB138+(1-EXP(-LN(2)/2))/(LN(2)/2)*V139*Y139*VLOOKUP('Données projet'!$B$9,Paramètres!$A$1:$I$89,3,0)*0.475*44/12</f>
        <v>1.6553175102360271E-15</v>
      </c>
      <c r="AC139" s="24">
        <f t="shared" si="111"/>
        <v>0.48319736374447281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396.92963589781414</v>
      </c>
      <c r="AO139" s="62">
        <f t="shared" si="144"/>
        <v>294.38852181137639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4.4337866711430253E-14</v>
      </c>
      <c r="BF139" s="14">
        <f t="shared" si="145"/>
        <v>7.3222115536967035E-13</v>
      </c>
      <c r="BG139" s="22">
        <f t="shared" si="115"/>
        <v>1.3525069634579169E-12</v>
      </c>
      <c r="BH139" s="62">
        <f t="shared" si="116"/>
        <v>293.33333333333468</v>
      </c>
      <c r="BI139" s="62">
        <f ca="1">AVERAGE(OFFSET($BH$3,0,0,'Données projet'!$E$11+1,1))-AVERAGE(OFFSET($H$3,0,0,'Données projet'!$E$11+1,1))</f>
        <v>288.82868507674738</v>
      </c>
      <c r="BJ139" s="62">
        <f t="shared" si="146"/>
        <v>283.48738729114024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0.36751695612307889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0.36751695612307889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405.09126081846171</v>
      </c>
      <c r="CE139" s="62">
        <f t="shared" si="148"/>
        <v>534.22295841722166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0.29486242263292922</v>
      </c>
      <c r="CL139" s="23">
        <f>EXP(-LN(2)/25)*CL138+(1-EXP(-LN(2)/25))/(LN(2)/25)*Calculateur!CG139*Calculateur!CI139*VLOOKUP('Données projet'!$B$12,Paramètres!$A$1:$I$89,3,0)*0.475*44/12</f>
        <v>0.46132353508308482</v>
      </c>
      <c r="CM139" s="23">
        <f>EXP(-LN(2)/2)*CM138+(1-EXP(-LN(2)/2))/(LN(2)/2)*CG139*CJ139*VLOOKUP('Données projet'!$B$12,Paramètres!$A$1:$I$89,3,0)*0.475*44/12</f>
        <v>4.1073840387918067E-17</v>
      </c>
      <c r="CN139" s="24">
        <f t="shared" si="120"/>
        <v>0.75618595771601405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466.4945858005575</v>
      </c>
      <c r="CZ139" s="62">
        <f t="shared" si="150"/>
        <v>294.45557293177131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0.51652131986477967</v>
      </c>
      <c r="DH139" s="23">
        <f>EXP(-LN(2)/2)*DH138+(1-EXP(-LN(2)/2))/(LN(2)/2)*DB139*DE139*VLOOKUP('Données projet'!$B$13,Paramètres!$A$1:$I$89,3,0)*0.475*44/12</f>
        <v>1.7694773385281788E-15</v>
      </c>
      <c r="DI139" s="24">
        <f t="shared" si="123"/>
        <v>0.51652131986478145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1.0818439477588981E-13</v>
      </c>
      <c r="DQ139" s="14">
        <f t="shared" si="151"/>
        <v>1.6104228458716316E-12</v>
      </c>
      <c r="DR139" s="22">
        <f t="shared" si="124"/>
        <v>2.9932409441277661E-12</v>
      </c>
      <c r="DS139" s="62">
        <f t="shared" si="125"/>
        <v>293.33333333333633</v>
      </c>
      <c r="DT139" s="62">
        <f ca="1">AVERAGE(OFFSET($DS$3,0,0,'Données projet'!$E$14+1,1))-AVERAGE(OFFSET($H$3,0,0,'Données projet'!$E$14+1,1))</f>
        <v>404.20764079465965</v>
      </c>
      <c r="DU139" s="62">
        <f t="shared" si="152"/>
        <v>243.23852967152732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2.2343050231684424E-15</v>
      </c>
      <c r="ED139" s="24">
        <f t="shared" si="126"/>
        <v>2.2343050231684424E-15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439.06700232017681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0.46998430642263356</v>
      </c>
      <c r="AB140" s="23">
        <f>EXP(-LN(2)/2)*AB139+(1-EXP(-LN(2)/2))/(LN(2)/2)*V140*Y140*VLOOKUP('Données projet'!$B$9,Paramètres!$A$1:$I$89,3,0)*0.475*44/12</f>
        <v>1.170486236504727E-15</v>
      </c>
      <c r="AC140" s="24">
        <f t="shared" si="111"/>
        <v>0.46998430642263472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396.92963589781414</v>
      </c>
      <c r="AO140" s="62">
        <f t="shared" si="144"/>
        <v>294.38852181137639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4.4337866711430253E-14</v>
      </c>
      <c r="BF140" s="14">
        <f t="shared" si="145"/>
        <v>7.3222115536967035E-13</v>
      </c>
      <c r="BG140" s="22">
        <f t="shared" si="115"/>
        <v>1.3525069634579169E-12</v>
      </c>
      <c r="BH140" s="62">
        <f t="shared" si="116"/>
        <v>293.33333333333468</v>
      </c>
      <c r="BI140" s="62">
        <f ca="1">AVERAGE(OFFSET($BH$3,0,0,'Données projet'!$E$11+1,1))-AVERAGE(OFFSET($H$3,0,0,'Données projet'!$E$11+1,1))</f>
        <v>288.82868507674738</v>
      </c>
      <c r="BJ140" s="62">
        <f t="shared" si="146"/>
        <v>283.48738729114024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0.35746718563101654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0.35746718563101654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405.09126081846171</v>
      </c>
      <c r="CE140" s="62">
        <f t="shared" si="148"/>
        <v>534.22295841722166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0.28908035037341673</v>
      </c>
      <c r="CL140" s="23">
        <f>EXP(-LN(2)/25)*CL139+(1-EXP(-LN(2)/25))/(LN(2)/25)*Calculateur!CG140*Calculateur!CI140*VLOOKUP('Données projet'!$B$12,Paramètres!$A$1:$I$89,3,0)*0.475*44/12</f>
        <v>0.44870861875628754</v>
      </c>
      <c r="CM140" s="23">
        <f>EXP(-LN(2)/2)*CM139+(1-EXP(-LN(2)/2))/(LN(2)/2)*CG140*CJ140*VLOOKUP('Données projet'!$B$12,Paramètres!$A$1:$I$89,3,0)*0.475*44/12</f>
        <v>2.9043591067670758E-17</v>
      </c>
      <c r="CN140" s="24">
        <f t="shared" si="120"/>
        <v>0.73778896912970426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466.4945858005575</v>
      </c>
      <c r="CZ140" s="62">
        <f t="shared" si="150"/>
        <v>294.45557293177131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0.50239701721040153</v>
      </c>
      <c r="DH140" s="23">
        <f>EXP(-LN(2)/2)*DH139+(1-EXP(-LN(2)/2))/(LN(2)/2)*DB140*DE140*VLOOKUP('Données projet'!$B$13,Paramètres!$A$1:$I$89,3,0)*0.475*44/12</f>
        <v>1.2512094252291996E-15</v>
      </c>
      <c r="DI140" s="24">
        <f t="shared" si="123"/>
        <v>0.50239701721040275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1.0818439477588981E-13</v>
      </c>
      <c r="DQ140" s="14">
        <f t="shared" si="151"/>
        <v>1.6104228458716316E-12</v>
      </c>
      <c r="DR140" s="22">
        <f t="shared" si="124"/>
        <v>2.9932409441277661E-12</v>
      </c>
      <c r="DS140" s="62">
        <f t="shared" si="125"/>
        <v>293.33333333333633</v>
      </c>
      <c r="DT140" s="62">
        <f ca="1">AVERAGE(OFFSET($DS$3,0,0,'Données projet'!$E$14+1,1))-AVERAGE(OFFSET($H$3,0,0,'Données projet'!$E$14+1,1))</f>
        <v>404.20764079465965</v>
      </c>
      <c r="DU140" s="62">
        <f t="shared" si="152"/>
        <v>243.23852967152732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1.5798922331215718E-15</v>
      </c>
      <c r="ED140" s="24">
        <f t="shared" si="126"/>
        <v>1.5798922331215718E-15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439.06700232017681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0.45713256084810611</v>
      </c>
      <c r="AB141" s="23">
        <f>EXP(-LN(2)/2)*AB140+(1-EXP(-LN(2)/2))/(LN(2)/2)*V141*Y141*VLOOKUP('Données projet'!$B$9,Paramètres!$A$1:$I$89,3,0)*0.475*44/12</f>
        <v>8.2765875511801354E-16</v>
      </c>
      <c r="AC141" s="24">
        <f t="shared" si="111"/>
        <v>0.45713256084810694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396.92963589781414</v>
      </c>
      <c r="AO141" s="62">
        <f t="shared" si="144"/>
        <v>294.38852181137639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4.4337866711430253E-14</v>
      </c>
      <c r="BF141" s="14">
        <f t="shared" si="145"/>
        <v>7.3222115536967035E-13</v>
      </c>
      <c r="BG141" s="22">
        <f t="shared" si="115"/>
        <v>1.3525069634579169E-12</v>
      </c>
      <c r="BH141" s="62">
        <f t="shared" si="116"/>
        <v>293.33333333333468</v>
      </c>
      <c r="BI141" s="62">
        <f ca="1">AVERAGE(OFFSET($BH$3,0,0,'Données projet'!$E$11+1,1))-AVERAGE(OFFSET($H$3,0,0,'Données projet'!$E$11+1,1))</f>
        <v>288.82868507674738</v>
      </c>
      <c r="BJ141" s="62">
        <f t="shared" si="146"/>
        <v>283.48738729114024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0.34769222664155408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0.34769222664155408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405.09126081846171</v>
      </c>
      <c r="CE141" s="62">
        <f t="shared" si="148"/>
        <v>534.22295841722166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0.28341166102419746</v>
      </c>
      <c r="CL141" s="23">
        <f>EXP(-LN(2)/25)*CL140+(1-EXP(-LN(2)/25))/(LN(2)/25)*Calculateur!CG141*Calculateur!CI141*VLOOKUP('Données projet'!$B$12,Paramètres!$A$1:$I$89,3,0)*0.475*44/12</f>
        <v>0.43643865797983611</v>
      </c>
      <c r="CM141" s="23">
        <f>EXP(-LN(2)/2)*CM140+(1-EXP(-LN(2)/2))/(LN(2)/2)*CG141*CJ141*VLOOKUP('Données projet'!$B$12,Paramètres!$A$1:$I$89,3,0)*0.475*44/12</f>
        <v>2.0536920193959033E-17</v>
      </c>
      <c r="CN141" s="24">
        <f t="shared" si="120"/>
        <v>0.71985031900403351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466.4945858005575</v>
      </c>
      <c r="CZ141" s="62">
        <f t="shared" si="150"/>
        <v>294.45557293177131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0.48865894435487223</v>
      </c>
      <c r="DH141" s="23">
        <f>EXP(-LN(2)/2)*DH140+(1-EXP(-LN(2)/2))/(LN(2)/2)*DB141*DE141*VLOOKUP('Données projet'!$B$13,Paramètres!$A$1:$I$89,3,0)*0.475*44/12</f>
        <v>8.8473866926408961E-16</v>
      </c>
      <c r="DI141" s="24">
        <f t="shared" si="123"/>
        <v>0.48865894435487311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1.0818439477588981E-13</v>
      </c>
      <c r="DQ141" s="14">
        <f t="shared" si="151"/>
        <v>1.6104228458716316E-12</v>
      </c>
      <c r="DR141" s="22">
        <f t="shared" si="124"/>
        <v>2.9932409441277661E-12</v>
      </c>
      <c r="DS141" s="62">
        <f t="shared" si="125"/>
        <v>293.33333333333633</v>
      </c>
      <c r="DT141" s="62">
        <f ca="1">AVERAGE(OFFSET($DS$3,0,0,'Données projet'!$E$14+1,1))-AVERAGE(OFFSET($H$3,0,0,'Données projet'!$E$14+1,1))</f>
        <v>404.20764079465965</v>
      </c>
      <c r="DU141" s="62">
        <f t="shared" si="152"/>
        <v>243.23852967152732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1.1171525115842212E-15</v>
      </c>
      <c r="ED141" s="24">
        <f t="shared" si="126"/>
        <v>1.1171525115842212E-15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439.06700232017681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0.44463224693215808</v>
      </c>
      <c r="AB142" s="23">
        <f>EXP(-LN(2)/2)*AB141+(1-EXP(-LN(2)/2))/(LN(2)/2)*V142*Y142*VLOOKUP('Données projet'!$B$9,Paramètres!$A$1:$I$89,3,0)*0.475*44/12</f>
        <v>5.8524311825236352E-16</v>
      </c>
      <c r="AC142" s="24">
        <f t="shared" si="111"/>
        <v>0.44463224693215869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396.92963589781414</v>
      </c>
      <c r="AO142" s="62">
        <f t="shared" si="144"/>
        <v>294.38852181137639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4.4337866711430253E-14</v>
      </c>
      <c r="BF142" s="14">
        <f t="shared" si="145"/>
        <v>7.3222115536967035E-13</v>
      </c>
      <c r="BG142" s="22">
        <f t="shared" si="115"/>
        <v>1.3525069634579169E-12</v>
      </c>
      <c r="BH142" s="62">
        <f t="shared" si="116"/>
        <v>293.33333333333468</v>
      </c>
      <c r="BI142" s="62">
        <f ca="1">AVERAGE(OFFSET($BH$3,0,0,'Données projet'!$E$11+1,1))-AVERAGE(OFFSET($H$3,0,0,'Données projet'!$E$11+1,1))</f>
        <v>288.82868507674738</v>
      </c>
      <c r="BJ142" s="62">
        <f t="shared" si="146"/>
        <v>283.48738729114024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0.33818456441970124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0.33818456441970124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405.09126081846171</v>
      </c>
      <c r="CE142" s="62">
        <f t="shared" si="148"/>
        <v>534.22295841722166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0.27785413121555724</v>
      </c>
      <c r="CL142" s="23">
        <f>EXP(-LN(2)/25)*CL141+(1-EXP(-LN(2)/25))/(LN(2)/25)*Calculateur!CG142*Calculateur!CI142*VLOOKUP('Données projet'!$B$12,Paramètres!$A$1:$I$89,3,0)*0.475*44/12</f>
        <v>0.42450421992606596</v>
      </c>
      <c r="CM142" s="23">
        <f>EXP(-LN(2)/2)*CM141+(1-EXP(-LN(2)/2))/(LN(2)/2)*CG142*CJ142*VLOOKUP('Données projet'!$B$12,Paramètres!$A$1:$I$89,3,0)*0.475*44/12</f>
        <v>1.4521795533835379E-17</v>
      </c>
      <c r="CN142" s="24">
        <f t="shared" si="120"/>
        <v>0.70235835114162315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466.4945858005575</v>
      </c>
      <c r="CZ142" s="62">
        <f t="shared" si="150"/>
        <v>294.45557293177131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0.47529653982403119</v>
      </c>
      <c r="DH142" s="23">
        <f>EXP(-LN(2)/2)*DH141+(1-EXP(-LN(2)/2))/(LN(2)/2)*DB142*DE142*VLOOKUP('Données projet'!$B$13,Paramètres!$A$1:$I$89,3,0)*0.475*44/12</f>
        <v>6.2560471261459988E-16</v>
      </c>
      <c r="DI142" s="24">
        <f t="shared" si="123"/>
        <v>0.47529653982403181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1.0818439477588981E-13</v>
      </c>
      <c r="DQ142" s="14">
        <f t="shared" si="151"/>
        <v>1.6104228458716316E-12</v>
      </c>
      <c r="DR142" s="22">
        <f t="shared" si="124"/>
        <v>2.9932409441277661E-12</v>
      </c>
      <c r="DS142" s="62">
        <f t="shared" si="125"/>
        <v>293.33333333333633</v>
      </c>
      <c r="DT142" s="62">
        <f ca="1">AVERAGE(OFFSET($DS$3,0,0,'Données projet'!$E$14+1,1))-AVERAGE(OFFSET($H$3,0,0,'Données projet'!$E$14+1,1))</f>
        <v>404.20764079465965</v>
      </c>
      <c r="DU142" s="62">
        <f t="shared" si="152"/>
        <v>243.23852967152732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7.8994611656078591E-16</v>
      </c>
      <c r="ED142" s="24">
        <f t="shared" si="126"/>
        <v>7.8994611656078591E-16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439.06700232017681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0.43247375475760458</v>
      </c>
      <c r="AB143" s="23">
        <f>EXP(-LN(2)/2)*AB142+(1-EXP(-LN(2)/2))/(LN(2)/2)*V143*Y143*VLOOKUP('Données projet'!$B$9,Paramètres!$A$1:$I$89,3,0)*0.475*44/12</f>
        <v>4.1382937755900677E-16</v>
      </c>
      <c r="AC143" s="24">
        <f t="shared" si="111"/>
        <v>0.43247375475760497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396.92963589781414</v>
      </c>
      <c r="AO143" s="62">
        <f t="shared" si="144"/>
        <v>294.38852181137639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4.4337866711430253E-14</v>
      </c>
      <c r="BF143" s="14">
        <f t="shared" si="145"/>
        <v>7.3222115536967035E-13</v>
      </c>
      <c r="BG143" s="22">
        <f t="shared" si="115"/>
        <v>1.3525069634579169E-12</v>
      </c>
      <c r="BH143" s="62">
        <f t="shared" si="116"/>
        <v>293.33333333333468</v>
      </c>
      <c r="BI143" s="62">
        <f ca="1">AVERAGE(OFFSET($BH$3,0,0,'Données projet'!$E$11+1,1))-AVERAGE(OFFSET($H$3,0,0,'Données projet'!$E$11+1,1))</f>
        <v>288.82868507674738</v>
      </c>
      <c r="BJ143" s="62">
        <f t="shared" si="146"/>
        <v>283.48738729114024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0.3289368897212912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0.3289368897212912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405.09126081846171</v>
      </c>
      <c r="CE143" s="62">
        <f t="shared" si="148"/>
        <v>534.22295841722166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0.27240558117670599</v>
      </c>
      <c r="CL143" s="23">
        <f>EXP(-LN(2)/25)*CL142+(1-EXP(-LN(2)/25))/(LN(2)/25)*Calculateur!CG143*Calculateur!CI143*VLOOKUP('Données projet'!$B$12,Paramètres!$A$1:$I$89,3,0)*0.475*44/12</f>
        <v>0.412896129708481</v>
      </c>
      <c r="CM143" s="23">
        <f>EXP(-LN(2)/2)*CM142+(1-EXP(-LN(2)/2))/(LN(2)/2)*CG143*CJ143*VLOOKUP('Données projet'!$B$12,Paramètres!$A$1:$I$89,3,0)*0.475*44/12</f>
        <v>1.0268460096979517E-17</v>
      </c>
      <c r="CN143" s="24">
        <f t="shared" si="120"/>
        <v>0.68530171088518699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466.4945858005575</v>
      </c>
      <c r="CZ143" s="62">
        <f t="shared" si="150"/>
        <v>294.45557293177131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0.46229953094778431</v>
      </c>
      <c r="DH143" s="23">
        <f>EXP(-LN(2)/2)*DH142+(1-EXP(-LN(2)/2))/(LN(2)/2)*DB143*DE143*VLOOKUP('Données projet'!$B$13,Paramètres!$A$1:$I$89,3,0)*0.475*44/12</f>
        <v>4.4236933463204485E-16</v>
      </c>
      <c r="DI143" s="24">
        <f t="shared" si="123"/>
        <v>0.46229953094778475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1.0818439477588981E-13</v>
      </c>
      <c r="DQ143" s="14">
        <f t="shared" si="151"/>
        <v>1.6104228458716316E-12</v>
      </c>
      <c r="DR143" s="22">
        <f t="shared" si="124"/>
        <v>2.9932409441277661E-12</v>
      </c>
      <c r="DS143" s="62">
        <f t="shared" si="125"/>
        <v>293.33333333333633</v>
      </c>
      <c r="DT143" s="62">
        <f ca="1">AVERAGE(OFFSET($DS$3,0,0,'Données projet'!$E$14+1,1))-AVERAGE(OFFSET($H$3,0,0,'Données projet'!$E$14+1,1))</f>
        <v>404.20764079465965</v>
      </c>
      <c r="DU143" s="62">
        <f t="shared" si="152"/>
        <v>243.23852967152732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5.585762557921106E-16</v>
      </c>
      <c r="ED143" s="24">
        <f t="shared" si="126"/>
        <v>5.585762557921106E-16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439.06700232017681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0.42064773719095155</v>
      </c>
      <c r="AB144" s="23">
        <f>EXP(-LN(2)/2)*AB143+(1-EXP(-LN(2)/2))/(LN(2)/2)*V144*Y144*VLOOKUP('Données projet'!$B$9,Paramètres!$A$1:$I$89,3,0)*0.475*44/12</f>
        <v>2.9262155912618176E-16</v>
      </c>
      <c r="AC144" s="24">
        <f t="shared" si="111"/>
        <v>0.42064773719095183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396.92963589781414</v>
      </c>
      <c r="AO144" s="62">
        <f t="shared" si="144"/>
        <v>294.38852181137639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4.4337866711430253E-14</v>
      </c>
      <c r="BF144" s="14">
        <f t="shared" si="145"/>
        <v>7.3222115536967035E-13</v>
      </c>
      <c r="BG144" s="22">
        <f t="shared" si="115"/>
        <v>1.3525069634579169E-12</v>
      </c>
      <c r="BH144" s="62">
        <f t="shared" si="116"/>
        <v>293.33333333333468</v>
      </c>
      <c r="BI144" s="62">
        <f ca="1">AVERAGE(OFFSET($BH$3,0,0,'Données projet'!$E$11+1,1))-AVERAGE(OFFSET($H$3,0,0,'Données projet'!$E$11+1,1))</f>
        <v>288.82868507674738</v>
      </c>
      <c r="BJ144" s="62">
        <f t="shared" si="146"/>
        <v>283.48738729114024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0.31994209317382327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0.31994209317382327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405.09126081846171</v>
      </c>
      <c r="CE144" s="62">
        <f t="shared" si="148"/>
        <v>534.22295841722166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0.26706387388082925</v>
      </c>
      <c r="CL144" s="23">
        <f>EXP(-LN(2)/25)*CL143+(1-EXP(-LN(2)/25))/(LN(2)/25)*Calculateur!CG144*Calculateur!CI144*VLOOKUP('Données projet'!$B$12,Paramètres!$A$1:$I$89,3,0)*0.475*44/12</f>
        <v>0.4016054633283388</v>
      </c>
      <c r="CM144" s="23">
        <f>EXP(-LN(2)/2)*CM143+(1-EXP(-LN(2)/2))/(LN(2)/2)*CG144*CJ144*VLOOKUP('Données projet'!$B$12,Paramètres!$A$1:$I$89,3,0)*0.475*44/12</f>
        <v>7.2608977669176894E-18</v>
      </c>
      <c r="CN144" s="24">
        <f t="shared" si="120"/>
        <v>0.6686693372091681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466.4945858005575</v>
      </c>
      <c r="CZ144" s="62">
        <f t="shared" si="150"/>
        <v>294.45557293177131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0.4496579259627414</v>
      </c>
      <c r="DH144" s="23">
        <f>EXP(-LN(2)/2)*DH143+(1-EXP(-LN(2)/2))/(LN(2)/2)*DB144*DE144*VLOOKUP('Données projet'!$B$13,Paramètres!$A$1:$I$89,3,0)*0.475*44/12</f>
        <v>3.1280235630729999E-16</v>
      </c>
      <c r="DI144" s="24">
        <f t="shared" si="123"/>
        <v>0.44965792596274173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1.0818439477588981E-13</v>
      </c>
      <c r="DQ144" s="14">
        <f t="shared" si="151"/>
        <v>1.6104228458716316E-12</v>
      </c>
      <c r="DR144" s="22">
        <f t="shared" si="124"/>
        <v>2.9932409441277661E-12</v>
      </c>
      <c r="DS144" s="62">
        <f t="shared" si="125"/>
        <v>293.33333333333633</v>
      </c>
      <c r="DT144" s="62">
        <f ca="1">AVERAGE(OFFSET($DS$3,0,0,'Données projet'!$E$14+1,1))-AVERAGE(OFFSET($H$3,0,0,'Données projet'!$E$14+1,1))</f>
        <v>404.20764079465965</v>
      </c>
      <c r="DU144" s="62">
        <f t="shared" si="152"/>
        <v>243.23852967152732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3.9497305828039296E-16</v>
      </c>
      <c r="ED144" s="24">
        <f t="shared" si="126"/>
        <v>3.9497305828039296E-16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439.06700232017681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0.4091451026965619</v>
      </c>
      <c r="AB145" s="23">
        <f>EXP(-LN(2)/2)*AB144+(1-EXP(-LN(2)/2))/(LN(2)/2)*V145*Y145*VLOOKUP('Données projet'!$B$9,Paramètres!$A$1:$I$89,3,0)*0.475*44/12</f>
        <v>2.0691468877950339E-16</v>
      </c>
      <c r="AC145" s="24">
        <f t="shared" si="111"/>
        <v>0.40914510269656212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396.92963589781414</v>
      </c>
      <c r="AO145" s="62">
        <f t="shared" si="144"/>
        <v>294.38852181137639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4.4337866711430253E-14</v>
      </c>
      <c r="BF145" s="14">
        <f t="shared" si="145"/>
        <v>7.3222115536967035E-13</v>
      </c>
      <c r="BG145" s="22">
        <f t="shared" si="115"/>
        <v>1.3525069634579169E-12</v>
      </c>
      <c r="BH145" s="62">
        <f t="shared" si="116"/>
        <v>293.33333333333468</v>
      </c>
      <c r="BI145" s="62">
        <f ca="1">AVERAGE(OFFSET($BH$3,0,0,'Données projet'!$E$11+1,1))-AVERAGE(OFFSET($H$3,0,0,'Données projet'!$E$11+1,1))</f>
        <v>288.82868507674738</v>
      </c>
      <c r="BJ145" s="62">
        <f t="shared" si="146"/>
        <v>283.48738729114024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0.31119325981096163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0.31119325981096163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405.09126081846171</v>
      </c>
      <c r="CE145" s="62">
        <f t="shared" si="148"/>
        <v>534.22295841722166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0.2618269142069049</v>
      </c>
      <c r="CL145" s="23">
        <f>EXP(-LN(2)/25)*CL144+(1-EXP(-LN(2)/25))/(LN(2)/25)*Calculateur!CG145*Calculateur!CI145*VLOOKUP('Données projet'!$B$12,Paramètres!$A$1:$I$89,3,0)*0.475*44/12</f>
        <v>0.39062354081411194</v>
      </c>
      <c r="CM145" s="23">
        <f>EXP(-LN(2)/2)*CM144+(1-EXP(-LN(2)/2))/(LN(2)/2)*CG145*CJ145*VLOOKUP('Données projet'!$B$12,Paramètres!$A$1:$I$89,3,0)*0.475*44/12</f>
        <v>5.1342300484897583E-18</v>
      </c>
      <c r="CN145" s="24">
        <f t="shared" si="120"/>
        <v>0.65245045502101684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466.4945858005575</v>
      </c>
      <c r="CZ145" s="62">
        <f t="shared" si="150"/>
        <v>294.45557293177131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0.43736200633080763</v>
      </c>
      <c r="DH145" s="23">
        <f>EXP(-LN(2)/2)*DH144+(1-EXP(-LN(2)/2))/(LN(2)/2)*DB145*DE145*VLOOKUP('Données projet'!$B$13,Paramètres!$A$1:$I$89,3,0)*0.475*44/12</f>
        <v>2.2118466731602248E-16</v>
      </c>
      <c r="DI145" s="24">
        <f t="shared" si="123"/>
        <v>0.43736200633080785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1.0818439477588981E-13</v>
      </c>
      <c r="DQ145" s="14">
        <f t="shared" si="151"/>
        <v>1.6104228458716316E-12</v>
      </c>
      <c r="DR145" s="22">
        <f t="shared" si="124"/>
        <v>2.9932409441277661E-12</v>
      </c>
      <c r="DS145" s="62">
        <f t="shared" si="125"/>
        <v>293.33333333333633</v>
      </c>
      <c r="DT145" s="62">
        <f ca="1">AVERAGE(OFFSET($DS$3,0,0,'Données projet'!$E$14+1,1))-AVERAGE(OFFSET($H$3,0,0,'Données projet'!$E$14+1,1))</f>
        <v>404.20764079465965</v>
      </c>
      <c r="DU145" s="62">
        <f t="shared" si="152"/>
        <v>243.23852967152732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2.792881278960553E-16</v>
      </c>
      <c r="ED145" s="24">
        <f t="shared" si="126"/>
        <v>2.792881278960553E-16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439.06700232017681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0.39795700834731856</v>
      </c>
      <c r="AB146" s="23">
        <f>EXP(-LN(2)/2)*AB145+(1-EXP(-LN(2)/2))/(LN(2)/2)*V146*Y146*VLOOKUP('Données projet'!$B$9,Paramètres!$A$1:$I$89,3,0)*0.475*44/12</f>
        <v>1.4631077956309088E-16</v>
      </c>
      <c r="AC146" s="24">
        <f t="shared" si="111"/>
        <v>0.39795700834731873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396.92963589781414</v>
      </c>
      <c r="AO146" s="62">
        <f t="shared" si="144"/>
        <v>294.38852181137639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4.4337866711430253E-14</v>
      </c>
      <c r="BF146" s="14">
        <f t="shared" si="145"/>
        <v>7.3222115536967035E-13</v>
      </c>
      <c r="BG146" s="22">
        <f t="shared" si="115"/>
        <v>1.3525069634579169E-12</v>
      </c>
      <c r="BH146" s="62">
        <f t="shared" si="116"/>
        <v>293.33333333333468</v>
      </c>
      <c r="BI146" s="62">
        <f ca="1">AVERAGE(OFFSET($BH$3,0,0,'Données projet'!$E$11+1,1))-AVERAGE(OFFSET($H$3,0,0,'Données projet'!$E$11+1,1))</f>
        <v>288.82868507674738</v>
      </c>
      <c r="BJ146" s="62">
        <f t="shared" si="146"/>
        <v>283.48738729114024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0.30268366375648859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0.30268366375648859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405.09126081846171</v>
      </c>
      <c r="CE146" s="62">
        <f t="shared" si="148"/>
        <v>534.22295841722166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0.25669264811795622</v>
      </c>
      <c r="CL146" s="23">
        <f>EXP(-LN(2)/25)*CL145+(1-EXP(-LN(2)/25))/(LN(2)/25)*Calculateur!CG146*Calculateur!CI146*VLOOKUP('Données projet'!$B$12,Paramètres!$A$1:$I$89,3,0)*0.475*44/12</f>
        <v>0.37994191954855083</v>
      </c>
      <c r="CM146" s="23">
        <f>EXP(-LN(2)/2)*CM145+(1-EXP(-LN(2)/2))/(LN(2)/2)*CG146*CJ146*VLOOKUP('Données projet'!$B$12,Paramètres!$A$1:$I$89,3,0)*0.475*44/12</f>
        <v>3.6304488834588447E-18</v>
      </c>
      <c r="CN146" s="24">
        <f t="shared" si="120"/>
        <v>0.63663456766650706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466.4945858005575</v>
      </c>
      <c r="CZ146" s="62">
        <f t="shared" si="150"/>
        <v>294.45557293177131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0.4254023192678234</v>
      </c>
      <c r="DH146" s="23">
        <f>EXP(-LN(2)/2)*DH145+(1-EXP(-LN(2)/2))/(LN(2)/2)*DB146*DE146*VLOOKUP('Données projet'!$B$13,Paramètres!$A$1:$I$89,3,0)*0.475*44/12</f>
        <v>1.5640117815365002E-16</v>
      </c>
      <c r="DI146" s="24">
        <f t="shared" si="123"/>
        <v>0.42540231926782357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1.0818439477588981E-13</v>
      </c>
      <c r="DQ146" s="14">
        <f t="shared" si="151"/>
        <v>1.6104228458716316E-12</v>
      </c>
      <c r="DR146" s="22">
        <f t="shared" si="124"/>
        <v>2.9932409441277661E-12</v>
      </c>
      <c r="DS146" s="62">
        <f t="shared" si="125"/>
        <v>293.33333333333633</v>
      </c>
      <c r="DT146" s="62">
        <f ca="1">AVERAGE(OFFSET($DS$3,0,0,'Données projet'!$E$14+1,1))-AVERAGE(OFFSET($H$3,0,0,'Données projet'!$E$14+1,1))</f>
        <v>404.20764079465965</v>
      </c>
      <c r="DU146" s="62">
        <f t="shared" si="152"/>
        <v>243.23852967152732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1.9748652914019648E-16</v>
      </c>
      <c r="ED146" s="24">
        <f t="shared" si="126"/>
        <v>1.9748652914019648E-16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439.06700232017681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0.38707485302641159</v>
      </c>
      <c r="AB147" s="23">
        <f>EXP(-LN(2)/2)*AB146+(1-EXP(-LN(2)/2))/(LN(2)/2)*V147*Y147*VLOOKUP('Données projet'!$B$9,Paramètres!$A$1:$I$89,3,0)*0.475*44/12</f>
        <v>1.0345734438975169E-16</v>
      </c>
      <c r="AC147" s="24">
        <f t="shared" si="111"/>
        <v>0.3870748530264117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396.92963589781414</v>
      </c>
      <c r="AO147" s="62">
        <f t="shared" si="144"/>
        <v>294.38852181137639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4.4337866711430253E-14</v>
      </c>
      <c r="BF147" s="14">
        <f t="shared" si="145"/>
        <v>7.3222115536967035E-13</v>
      </c>
      <c r="BG147" s="22">
        <f t="shared" si="115"/>
        <v>1.3525069634579169E-12</v>
      </c>
      <c r="BH147" s="62">
        <f t="shared" si="116"/>
        <v>293.33333333333468</v>
      </c>
      <c r="BI147" s="62">
        <f ca="1">AVERAGE(OFFSET($BH$3,0,0,'Données projet'!$E$11+1,1))-AVERAGE(OFFSET($H$3,0,0,'Données projet'!$E$11+1,1))</f>
        <v>288.82868507674738</v>
      </c>
      <c r="BJ147" s="62">
        <f t="shared" si="146"/>
        <v>283.48738729114024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0.29440676305362534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0.29440676305362534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405.09126081846171</v>
      </c>
      <c r="CE147" s="62">
        <f t="shared" si="148"/>
        <v>534.22295841722166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0.25165906185541875</v>
      </c>
      <c r="CL147" s="23">
        <f>EXP(-LN(2)/25)*CL146+(1-EXP(-LN(2)/25))/(LN(2)/25)*Calculateur!CG147*Calculateur!CI147*VLOOKUP('Données projet'!$B$12,Paramètres!$A$1:$I$89,3,0)*0.475*44/12</f>
        <v>0.36955238777821853</v>
      </c>
      <c r="CM147" s="23">
        <f>EXP(-LN(2)/2)*CM146+(1-EXP(-LN(2)/2))/(LN(2)/2)*CG147*CJ147*VLOOKUP('Données projet'!$B$12,Paramètres!$A$1:$I$89,3,0)*0.475*44/12</f>
        <v>2.5671150242448792E-18</v>
      </c>
      <c r="CN147" s="24">
        <f t="shared" si="120"/>
        <v>0.62121144963363728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466.4945858005575</v>
      </c>
      <c r="CZ147" s="62">
        <f t="shared" si="150"/>
        <v>294.45557293177131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0.41376967047650909</v>
      </c>
      <c r="DH147" s="23">
        <f>EXP(-LN(2)/2)*DH146+(1-EXP(-LN(2)/2))/(LN(2)/2)*DB147*DE147*VLOOKUP('Données projet'!$B$13,Paramètres!$A$1:$I$89,3,0)*0.475*44/12</f>
        <v>1.1059233365801125E-16</v>
      </c>
      <c r="DI147" s="24">
        <f t="shared" si="123"/>
        <v>0.4137696704765092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1.0818439477588981E-13</v>
      </c>
      <c r="DQ147" s="14">
        <f t="shared" si="151"/>
        <v>1.6104228458716316E-12</v>
      </c>
      <c r="DR147" s="22">
        <f t="shared" si="124"/>
        <v>2.9932409441277661E-12</v>
      </c>
      <c r="DS147" s="62">
        <f t="shared" si="125"/>
        <v>293.33333333333633</v>
      </c>
      <c r="DT147" s="62">
        <f ca="1">AVERAGE(OFFSET($DS$3,0,0,'Données projet'!$E$14+1,1))-AVERAGE(OFFSET($H$3,0,0,'Données projet'!$E$14+1,1))</f>
        <v>404.20764079465965</v>
      </c>
      <c r="DU147" s="62">
        <f t="shared" si="152"/>
        <v>243.23852967152732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1.3964406394802765E-16</v>
      </c>
      <c r="ED147" s="24">
        <f t="shared" si="126"/>
        <v>1.3964406394802765E-16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439.06700232017681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0.37649027081502251</v>
      </c>
      <c r="AB148" s="23">
        <f>EXP(-LN(2)/2)*AB147+(1-EXP(-LN(2)/2))/(LN(2)/2)*V148*Y148*VLOOKUP('Données projet'!$B$9,Paramètres!$A$1:$I$89,3,0)*0.475*44/12</f>
        <v>7.315538978154544E-17</v>
      </c>
      <c r="AC148" s="24">
        <f t="shared" si="111"/>
        <v>0.37649027081502257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396.92963589781414</v>
      </c>
      <c r="AO148" s="62">
        <f t="shared" si="144"/>
        <v>294.38852181137639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4.4337866711430253E-14</v>
      </c>
      <c r="BF148" s="14">
        <f t="shared" si="145"/>
        <v>7.3222115536967035E-13</v>
      </c>
      <c r="BG148" s="22">
        <f t="shared" si="115"/>
        <v>1.3525069634579169E-12</v>
      </c>
      <c r="BH148" s="62">
        <f t="shared" si="116"/>
        <v>293.33333333333468</v>
      </c>
      <c r="BI148" s="62">
        <f ca="1">AVERAGE(OFFSET($BH$3,0,0,'Données projet'!$E$11+1,1))-AVERAGE(OFFSET($H$3,0,0,'Données projet'!$E$11+1,1))</f>
        <v>288.82868507674738</v>
      </c>
      <c r="BJ148" s="62">
        <f t="shared" si="146"/>
        <v>283.48738729114024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0.28635619463574519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0.28635619463574519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405.09126081846171</v>
      </c>
      <c r="CE148" s="62">
        <f t="shared" si="148"/>
        <v>534.22295841722166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0.24672418114930517</v>
      </c>
      <c r="CL148" s="23">
        <f>EXP(-LN(2)/25)*CL147+(1-EXP(-LN(2)/25))/(LN(2)/25)*Calculateur!CG148*Calculateur!CI148*VLOOKUP('Données projet'!$B$12,Paramètres!$A$1:$I$89,3,0)*0.475*44/12</f>
        <v>0.35944695830050771</v>
      </c>
      <c r="CM148" s="23">
        <f>EXP(-LN(2)/2)*CM147+(1-EXP(-LN(2)/2))/(LN(2)/2)*CG148*CJ148*VLOOKUP('Données projet'!$B$12,Paramètres!$A$1:$I$89,3,0)*0.475*44/12</f>
        <v>1.8152244417294224E-18</v>
      </c>
      <c r="CN148" s="24">
        <f t="shared" si="120"/>
        <v>0.60617113944981282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466.4945858005575</v>
      </c>
      <c r="CZ148" s="62">
        <f t="shared" si="150"/>
        <v>294.45557293177131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0.40245511707812764</v>
      </c>
      <c r="DH148" s="23">
        <f>EXP(-LN(2)/2)*DH147+(1-EXP(-LN(2)/2))/(LN(2)/2)*DB148*DE148*VLOOKUP('Données projet'!$B$13,Paramètres!$A$1:$I$89,3,0)*0.475*44/12</f>
        <v>7.8200589076825022E-17</v>
      </c>
      <c r="DI148" s="24">
        <f t="shared" si="123"/>
        <v>0.4024551170781277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1.0818439477588981E-13</v>
      </c>
      <c r="DQ148" s="14">
        <f t="shared" si="151"/>
        <v>1.6104228458716316E-12</v>
      </c>
      <c r="DR148" s="22">
        <f t="shared" si="124"/>
        <v>2.9932409441277661E-12</v>
      </c>
      <c r="DS148" s="62">
        <f t="shared" si="125"/>
        <v>293.33333333333633</v>
      </c>
      <c r="DT148" s="62">
        <f ca="1">AVERAGE(OFFSET($DS$3,0,0,'Données projet'!$E$14+1,1))-AVERAGE(OFFSET($H$3,0,0,'Données projet'!$E$14+1,1))</f>
        <v>404.20764079465965</v>
      </c>
      <c r="DU148" s="62">
        <f t="shared" si="152"/>
        <v>243.23852967152732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9.8743264570098239E-17</v>
      </c>
      <c r="ED148" s="24">
        <f t="shared" si="126"/>
        <v>9.8743264570098239E-17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439.06700232017681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0.36619512456082287</v>
      </c>
      <c r="AB149" s="23">
        <f>EXP(-LN(2)/2)*AB148+(1-EXP(-LN(2)/2))/(LN(2)/2)*V149*Y149*VLOOKUP('Données projet'!$B$9,Paramètres!$A$1:$I$89,3,0)*0.475*44/12</f>
        <v>5.1728672194875846E-17</v>
      </c>
      <c r="AC149" s="24">
        <f t="shared" si="111"/>
        <v>0.36619512456082293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396.92963589781414</v>
      </c>
      <c r="AO149" s="62">
        <f t="shared" si="144"/>
        <v>294.38852181137639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4.4337866711430253E-14</v>
      </c>
      <c r="BF149" s="14">
        <f t="shared" si="145"/>
        <v>7.3222115536967035E-13</v>
      </c>
      <c r="BG149" s="22">
        <f t="shared" si="115"/>
        <v>1.3525069634579169E-12</v>
      </c>
      <c r="BH149" s="62">
        <f t="shared" si="116"/>
        <v>293.33333333333468</v>
      </c>
      <c r="BI149" s="62">
        <f ca="1">AVERAGE(OFFSET($BH$3,0,0,'Données projet'!$E$11+1,1))-AVERAGE(OFFSET($H$3,0,0,'Données projet'!$E$11+1,1))</f>
        <v>288.82868507674738</v>
      </c>
      <c r="BJ149" s="62">
        <f t="shared" si="146"/>
        <v>283.48738729114024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0.27852576943461294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0.27852576943461294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405.09126081846171</v>
      </c>
      <c r="CE149" s="62">
        <f t="shared" si="148"/>
        <v>534.22295841722166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0.24188607044385846</v>
      </c>
      <c r="CL149" s="23">
        <f>EXP(-LN(2)/25)*CL148+(1-EXP(-LN(2)/25))/(LN(2)/25)*Calculateur!CG149*Calculateur!CI149*VLOOKUP('Données projet'!$B$12,Paramètres!$A$1:$I$89,3,0)*0.475*44/12</f>
        <v>0.34961786232328634</v>
      </c>
      <c r="CM149" s="23">
        <f>EXP(-LN(2)/2)*CM148+(1-EXP(-LN(2)/2))/(LN(2)/2)*CG149*CJ149*VLOOKUP('Données projet'!$B$12,Paramètres!$A$1:$I$89,3,0)*0.475*44/12</f>
        <v>1.2835575121224396E-18</v>
      </c>
      <c r="CN149" s="24">
        <f t="shared" si="120"/>
        <v>0.59150393276714475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466.4945858005575</v>
      </c>
      <c r="CZ149" s="62">
        <f t="shared" si="150"/>
        <v>294.45557293177131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0.39144996073743143</v>
      </c>
      <c r="DH149" s="23">
        <f>EXP(-LN(2)/2)*DH148+(1-EXP(-LN(2)/2))/(LN(2)/2)*DB149*DE149*VLOOKUP('Données projet'!$B$13,Paramètres!$A$1:$I$89,3,0)*0.475*44/12</f>
        <v>5.5296166829005631E-17</v>
      </c>
      <c r="DI149" s="24">
        <f t="shared" si="123"/>
        <v>0.39144996073743149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1.0818439477588981E-13</v>
      </c>
      <c r="DQ149" s="14">
        <f t="shared" si="151"/>
        <v>1.6104228458716316E-12</v>
      </c>
      <c r="DR149" s="22">
        <f t="shared" si="124"/>
        <v>2.9932409441277661E-12</v>
      </c>
      <c r="DS149" s="62">
        <f t="shared" si="125"/>
        <v>293.33333333333633</v>
      </c>
      <c r="DT149" s="62">
        <f ca="1">AVERAGE(OFFSET($DS$3,0,0,'Données projet'!$E$14+1,1))-AVERAGE(OFFSET($H$3,0,0,'Données projet'!$E$14+1,1))</f>
        <v>404.20764079465965</v>
      </c>
      <c r="DU149" s="62">
        <f t="shared" si="152"/>
        <v>243.23852967152732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6.9822031974013825E-17</v>
      </c>
      <c r="ED149" s="24">
        <f t="shared" si="126"/>
        <v>6.9822031974013825E-17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439.06700232017681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0.35618149962234252</v>
      </c>
      <c r="AB150" s="23">
        <f>EXP(-LN(2)/2)*AB149+(1-EXP(-LN(2)/2))/(LN(2)/2)*V150*Y150*VLOOKUP('Données projet'!$B$9,Paramètres!$A$1:$I$89,3,0)*0.475*44/12</f>
        <v>3.657769489077272E-17</v>
      </c>
      <c r="AC150" s="24">
        <f t="shared" si="111"/>
        <v>0.35618149962234258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396.92963589781414</v>
      </c>
      <c r="AO150" s="62">
        <f t="shared" si="144"/>
        <v>294.38852181137639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4.4337866711430253E-14</v>
      </c>
      <c r="BF150" s="14">
        <f t="shared" si="145"/>
        <v>7.3222115536967035E-13</v>
      </c>
      <c r="BG150" s="22">
        <f t="shared" si="115"/>
        <v>1.3525069634579169E-12</v>
      </c>
      <c r="BH150" s="62">
        <f t="shared" si="116"/>
        <v>293.33333333333468</v>
      </c>
      <c r="BI150" s="62">
        <f ca="1">AVERAGE(OFFSET($BH$3,0,0,'Données projet'!$E$11+1,1))-AVERAGE(OFFSET($H$3,0,0,'Données projet'!$E$11+1,1))</f>
        <v>288.82868507674738</v>
      </c>
      <c r="BJ150" s="62">
        <f t="shared" si="146"/>
        <v>283.48738729114024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0.27090946762238982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0.27090946762238982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405.09126081846171</v>
      </c>
      <c r="CE150" s="62">
        <f t="shared" si="148"/>
        <v>534.22295841722166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0.23714283213838941</v>
      </c>
      <c r="CL150" s="23">
        <f>EXP(-LN(2)/25)*CL149+(1-EXP(-LN(2)/25))/(LN(2)/25)*Calculateur!CG150*Calculateur!CI150*VLOOKUP('Données projet'!$B$12,Paramètres!$A$1:$I$89,3,0)*0.475*44/12</f>
        <v>0.34005754349245176</v>
      </c>
      <c r="CM150" s="23">
        <f>EXP(-LN(2)/2)*CM149+(1-EXP(-LN(2)/2))/(LN(2)/2)*CG150*CJ150*VLOOKUP('Données projet'!$B$12,Paramètres!$A$1:$I$89,3,0)*0.475*44/12</f>
        <v>9.0761222086471118E-19</v>
      </c>
      <c r="CN150" s="24">
        <f t="shared" si="120"/>
        <v>0.57720037563084114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466.4945858005575</v>
      </c>
      <c r="CZ150" s="62">
        <f t="shared" si="150"/>
        <v>294.45557293177131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0.38074574097560759</v>
      </c>
      <c r="DH150" s="23">
        <f>EXP(-LN(2)/2)*DH149+(1-EXP(-LN(2)/2))/(LN(2)/2)*DB150*DE150*VLOOKUP('Données projet'!$B$13,Paramètres!$A$1:$I$89,3,0)*0.475*44/12</f>
        <v>3.9100294538412517E-17</v>
      </c>
      <c r="DI150" s="24">
        <f t="shared" si="123"/>
        <v>0.38074574097560765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1.0818439477588981E-13</v>
      </c>
      <c r="DQ150" s="14">
        <f t="shared" si="151"/>
        <v>1.6104228458716316E-12</v>
      </c>
      <c r="DR150" s="22">
        <f t="shared" si="124"/>
        <v>2.9932409441277661E-12</v>
      </c>
      <c r="DS150" s="62">
        <f t="shared" si="125"/>
        <v>293.33333333333633</v>
      </c>
      <c r="DT150" s="62">
        <f ca="1">AVERAGE(OFFSET($DS$3,0,0,'Données projet'!$E$14+1,1))-AVERAGE(OFFSET($H$3,0,0,'Données projet'!$E$14+1,1))</f>
        <v>404.20764079465965</v>
      </c>
      <c r="DU150" s="62">
        <f t="shared" si="152"/>
        <v>243.23852967152732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4.9371632285049119E-17</v>
      </c>
      <c r="ED150" s="24">
        <f t="shared" si="126"/>
        <v>4.9371632285049119E-17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439.06700232017681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0.34644169778439854</v>
      </c>
      <c r="AB151" s="23">
        <f>EXP(-LN(2)/2)*AB150+(1-EXP(-LN(2)/2))/(LN(2)/2)*V151*Y151*VLOOKUP('Données projet'!$B$9,Paramètres!$A$1:$I$89,3,0)*0.475*44/12</f>
        <v>2.5864336097437923E-17</v>
      </c>
      <c r="AC151" s="24">
        <f t="shared" si="111"/>
        <v>0.34644169778439854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396.92963589781414</v>
      </c>
      <c r="AO151" s="62">
        <f t="shared" si="144"/>
        <v>294.38852181137639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4.4337866711430253E-14</v>
      </c>
      <c r="BF151" s="14">
        <f t="shared" si="145"/>
        <v>7.3222115536967035E-13</v>
      </c>
      <c r="BG151" s="22">
        <f t="shared" si="115"/>
        <v>1.3525069634579169E-12</v>
      </c>
      <c r="BH151" s="62">
        <f t="shared" si="116"/>
        <v>293.33333333333468</v>
      </c>
      <c r="BI151" s="62">
        <f ca="1">AVERAGE(OFFSET($BH$3,0,0,'Données projet'!$E$11+1,1))-AVERAGE(OFFSET($H$3,0,0,'Données projet'!$E$11+1,1))</f>
        <v>288.82868507674738</v>
      </c>
      <c r="BJ151" s="62">
        <f t="shared" si="146"/>
        <v>283.48738729114024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0.26350143398374581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0.26350143398374581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405.09126081846171</v>
      </c>
      <c r="CE151" s="62">
        <f t="shared" si="148"/>
        <v>534.22295841722166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0.23249260584300091</v>
      </c>
      <c r="CL151" s="23">
        <f>EXP(-LN(2)/25)*CL150+(1-EXP(-LN(2)/25))/(LN(2)/25)*Calculateur!CG151*Calculateur!CI151*VLOOKUP('Données projet'!$B$12,Paramètres!$A$1:$I$89,3,0)*0.475*44/12</f>
        <v>0.3307586520828017</v>
      </c>
      <c r="CM151" s="23">
        <f>EXP(-LN(2)/2)*CM150+(1-EXP(-LN(2)/2))/(LN(2)/2)*CG151*CJ151*VLOOKUP('Données projet'!$B$12,Paramètres!$A$1:$I$89,3,0)*0.475*44/12</f>
        <v>6.4177875606121979E-19</v>
      </c>
      <c r="CN151" s="24">
        <f t="shared" si="120"/>
        <v>0.56325125792580266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466.4945858005575</v>
      </c>
      <c r="CZ151" s="62">
        <f t="shared" si="150"/>
        <v>294.45557293177131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0.37033422866608129</v>
      </c>
      <c r="DH151" s="23">
        <f>EXP(-LN(2)/2)*DH150+(1-EXP(-LN(2)/2))/(LN(2)/2)*DB151*DE151*VLOOKUP('Données projet'!$B$13,Paramètres!$A$1:$I$89,3,0)*0.475*44/12</f>
        <v>2.7648083414502822E-17</v>
      </c>
      <c r="DI151" s="24">
        <f t="shared" si="123"/>
        <v>0.37033422866608129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1.0818439477588981E-13</v>
      </c>
      <c r="DQ151" s="14">
        <f t="shared" si="151"/>
        <v>1.6104228458716316E-12</v>
      </c>
      <c r="DR151" s="22">
        <f t="shared" si="124"/>
        <v>2.9932409441277661E-12</v>
      </c>
      <c r="DS151" s="62">
        <f t="shared" si="125"/>
        <v>293.33333333333633</v>
      </c>
      <c r="DT151" s="62">
        <f ca="1">AVERAGE(OFFSET($DS$3,0,0,'Données projet'!$E$14+1,1))-AVERAGE(OFFSET($H$3,0,0,'Données projet'!$E$14+1,1))</f>
        <v>404.20764079465965</v>
      </c>
      <c r="DU151" s="62">
        <f t="shared" si="152"/>
        <v>243.23852967152732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3.4911015987006912E-17</v>
      </c>
      <c r="ED151" s="24">
        <f t="shared" si="126"/>
        <v>3.4911015987006912E-17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439.06700232017681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0.33696823133990705</v>
      </c>
      <c r="AB152" s="23">
        <f>EXP(-LN(2)/2)*AB151+(1-EXP(-LN(2)/2))/(LN(2)/2)*V152*Y152*VLOOKUP('Données projet'!$B$9,Paramètres!$A$1:$I$89,3,0)*0.475*44/12</f>
        <v>1.828884744538636E-17</v>
      </c>
      <c r="AC152" s="24">
        <f t="shared" si="111"/>
        <v>0.33696823133990705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396.92963589781414</v>
      </c>
      <c r="AO152" s="62">
        <f t="shared" si="144"/>
        <v>294.38852181137639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4.4337866711430253E-14</v>
      </c>
      <c r="BF152" s="14">
        <f t="shared" si="145"/>
        <v>7.3222115536967035E-13</v>
      </c>
      <c r="BG152" s="22">
        <f t="shared" si="115"/>
        <v>1.3525069634579169E-12</v>
      </c>
      <c r="BH152" s="62">
        <f t="shared" si="116"/>
        <v>293.33333333333468</v>
      </c>
      <c r="BI152" s="62">
        <f ca="1">AVERAGE(OFFSET($BH$3,0,0,'Données projet'!$E$11+1,1))-AVERAGE(OFFSET($H$3,0,0,'Données projet'!$E$11+1,1))</f>
        <v>288.82868507674738</v>
      </c>
      <c r="BJ152" s="62">
        <f t="shared" si="146"/>
        <v>283.48738729114024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0.25629597341452209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0.25629597341452209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405.09126081846171</v>
      </c>
      <c r="CE152" s="62">
        <f t="shared" si="148"/>
        <v>534.22295841722166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0.22793356764890699</v>
      </c>
      <c r="CL152" s="23">
        <f>EXP(-LN(2)/25)*CL151+(1-EXP(-LN(2)/25))/(LN(2)/25)*Calculateur!CG152*Calculateur!CI152*VLOOKUP('Données projet'!$B$12,Paramètres!$A$1:$I$89,3,0)*0.475*44/12</f>
        <v>0.32171403934775594</v>
      </c>
      <c r="CM152" s="23">
        <f>EXP(-LN(2)/2)*CM151+(1-EXP(-LN(2)/2))/(LN(2)/2)*CG152*CJ152*VLOOKUP('Données projet'!$B$12,Paramètres!$A$1:$I$89,3,0)*0.475*44/12</f>
        <v>4.5380611043235559E-19</v>
      </c>
      <c r="CN152" s="24">
        <f t="shared" si="120"/>
        <v>0.54964760699666293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466.4945858005575</v>
      </c>
      <c r="CZ152" s="62">
        <f t="shared" si="150"/>
        <v>294.45557293177131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0.3602074197081766</v>
      </c>
      <c r="DH152" s="23">
        <f>EXP(-LN(2)/2)*DH151+(1-EXP(-LN(2)/2))/(LN(2)/2)*DB152*DE152*VLOOKUP('Données projet'!$B$13,Paramètres!$A$1:$I$89,3,0)*0.475*44/12</f>
        <v>1.9550147269206262E-17</v>
      </c>
      <c r="DI152" s="24">
        <f t="shared" si="123"/>
        <v>0.3602074197081766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1.0818439477588981E-13</v>
      </c>
      <c r="DQ152" s="14">
        <f t="shared" si="151"/>
        <v>1.6104228458716316E-12</v>
      </c>
      <c r="DR152" s="22">
        <f t="shared" si="124"/>
        <v>2.9932409441277661E-12</v>
      </c>
      <c r="DS152" s="62">
        <f t="shared" si="125"/>
        <v>293.33333333333633</v>
      </c>
      <c r="DT152" s="62">
        <f ca="1">AVERAGE(OFFSET($DS$3,0,0,'Données projet'!$E$14+1,1))-AVERAGE(OFFSET($H$3,0,0,'Données projet'!$E$14+1,1))</f>
        <v>404.20764079465965</v>
      </c>
      <c r="DU152" s="62">
        <f t="shared" si="152"/>
        <v>243.23852967152732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2.468581614252456E-17</v>
      </c>
      <c r="ED152" s="24">
        <f t="shared" si="126"/>
        <v>2.468581614252456E-17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439.06700232017681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0.32775381733352815</v>
      </c>
      <c r="AB153" s="23">
        <f>EXP(-LN(2)/2)*AB152+(1-EXP(-LN(2)/2))/(LN(2)/2)*V153*Y153*VLOOKUP('Données projet'!$B$9,Paramètres!$A$1:$I$89,3,0)*0.475*44/12</f>
        <v>1.2932168048718962E-17</v>
      </c>
      <c r="AC153" s="24">
        <f t="shared" si="111"/>
        <v>0.32775381733352815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396.92963589781414</v>
      </c>
      <c r="AO153" s="62">
        <f t="shared" si="144"/>
        <v>294.38852181137639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4.4337866711430253E-14</v>
      </c>
      <c r="BF153" s="14">
        <f t="shared" si="145"/>
        <v>7.3222115536967035E-13</v>
      </c>
      <c r="BG153" s="22">
        <f t="shared" si="115"/>
        <v>1.3525069634579169E-12</v>
      </c>
      <c r="BH153" s="62">
        <f t="shared" si="116"/>
        <v>293.33333333333468</v>
      </c>
      <c r="BI153" s="62">
        <f ca="1">AVERAGE(OFFSET($BH$3,0,0,'Données projet'!$E$11+1,1))-AVERAGE(OFFSET($H$3,0,0,'Données projet'!$E$11+1,1))</f>
        <v>288.82868507674738</v>
      </c>
      <c r="BJ153" s="62">
        <f t="shared" si="146"/>
        <v>283.48738729114024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0.24928754654348251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0.24928754654348251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405.09126081846171</v>
      </c>
      <c r="CE153" s="62">
        <f t="shared" si="148"/>
        <v>534.22295841722166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0.22346392941306054</v>
      </c>
      <c r="CL153" s="23">
        <f>EXP(-LN(2)/25)*CL152+(1-EXP(-LN(2)/25))/(LN(2)/25)*Calculateur!CG153*Calculateur!CI153*VLOOKUP('Données projet'!$B$12,Paramètres!$A$1:$I$89,3,0)*0.475*44/12</f>
        <v>0.31291675202358549</v>
      </c>
      <c r="CM153" s="23">
        <f>EXP(-LN(2)/2)*CM152+(1-EXP(-LN(2)/2))/(LN(2)/2)*CG153*CJ153*VLOOKUP('Données projet'!$B$12,Paramètres!$A$1:$I$89,3,0)*0.475*44/12</f>
        <v>3.208893780306099E-19</v>
      </c>
      <c r="CN153" s="24">
        <f t="shared" si="120"/>
        <v>0.53638068143664608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466.4945858005575</v>
      </c>
      <c r="CZ153" s="62">
        <f t="shared" si="150"/>
        <v>294.45557293177131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0.35035752887377158</v>
      </c>
      <c r="DH153" s="23">
        <f>EXP(-LN(2)/2)*DH152+(1-EXP(-LN(2)/2))/(LN(2)/2)*DB153*DE153*VLOOKUP('Données projet'!$B$13,Paramètres!$A$1:$I$89,3,0)*0.475*44/12</f>
        <v>1.3824041707251412E-17</v>
      </c>
      <c r="DI153" s="24">
        <f t="shared" si="123"/>
        <v>0.35035752887377158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1.0818439477588981E-13</v>
      </c>
      <c r="DQ153" s="14">
        <f t="shared" si="151"/>
        <v>1.6104228458716316E-12</v>
      </c>
      <c r="DR153" s="22">
        <f t="shared" si="124"/>
        <v>2.9932409441277661E-12</v>
      </c>
      <c r="DS153" s="62">
        <f t="shared" si="125"/>
        <v>293.33333333333633</v>
      </c>
      <c r="DT153" s="62">
        <f ca="1">AVERAGE(OFFSET($DS$3,0,0,'Données projet'!$E$14+1,1))-AVERAGE(OFFSET($H$3,0,0,'Données projet'!$E$14+1,1))</f>
        <v>404.20764079465965</v>
      </c>
      <c r="DU153" s="62">
        <f t="shared" si="152"/>
        <v>243.23852967152732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1.7455507993503456E-17</v>
      </c>
      <c r="ED153" s="24">
        <f t="shared" si="126"/>
        <v>1.7455507993503456E-17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439.06700232017681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0.31879137196271867</v>
      </c>
      <c r="AB154" s="23">
        <f>EXP(-LN(2)/2)*AB153+(1-EXP(-LN(2)/2))/(LN(2)/2)*V154*Y154*VLOOKUP('Données projet'!$B$9,Paramètres!$A$1:$I$89,3,0)*0.475*44/12</f>
        <v>9.1444237226931799E-18</v>
      </c>
      <c r="AC154" s="24">
        <f t="shared" ref="AC154:AC203" si="163">SUM(Z154:AB154)</f>
        <v>0.31879137196271867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396.92963589781414</v>
      </c>
      <c r="AO154" s="62">
        <f t="shared" si="144"/>
        <v>294.38852181137639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4.4337866711430253E-14</v>
      </c>
      <c r="BF154" s="14">
        <f t="shared" ref="BF154:BF203" si="167">EXP(-1.0587+0.8836*LN(BE154)+0.284)</f>
        <v>7.3222115536967035E-13</v>
      </c>
      <c r="BG154" s="22">
        <f t="shared" ref="BG154:BG203" si="168">(BE154+BF154)*0.475*44/12</f>
        <v>1.3525069634579169E-12</v>
      </c>
      <c r="BH154" s="62">
        <f t="shared" si="116"/>
        <v>293.33333333333468</v>
      </c>
      <c r="BI154" s="62">
        <f ca="1">AVERAGE(OFFSET($BH$3,0,0,'Données projet'!$E$11+1,1))-AVERAGE(OFFSET($H$3,0,0,'Données projet'!$E$11+1,1))</f>
        <v>288.82868507674738</v>
      </c>
      <c r="BJ154" s="62">
        <f t="shared" si="146"/>
        <v>283.48738729114024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0.24247076547378865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0.24247076547378865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405.09126081846171</v>
      </c>
      <c r="CE154" s="62">
        <f t="shared" si="148"/>
        <v>534.22295841722166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0.21908193805680889</v>
      </c>
      <c r="CL154" s="23">
        <f>EXP(-LN(2)/25)*CL153+(1-EXP(-LN(2)/25))/(LN(2)/25)*Calculateur!CG154*Calculateur!CI154*VLOOKUP('Données projet'!$B$12,Paramètres!$A$1:$I$89,3,0)*0.475*44/12</f>
        <v>0.30436002698392373</v>
      </c>
      <c r="CM154" s="23">
        <f>EXP(-LN(2)/2)*CM153+(1-EXP(-LN(2)/2))/(LN(2)/2)*CG154*CJ154*VLOOKUP('Données projet'!$B$12,Paramètres!$A$1:$I$89,3,0)*0.475*44/12</f>
        <v>2.269030552161778E-19</v>
      </c>
      <c r="CN154" s="24">
        <f t="shared" ref="CN154:CN203" si="172">SUM(CK154:CM154)</f>
        <v>0.52344196504073259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466.4945858005575</v>
      </c>
      <c r="CZ154" s="62">
        <f t="shared" si="150"/>
        <v>294.45557293177131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0.34077698382221661</v>
      </c>
      <c r="DH154" s="23">
        <f>EXP(-LN(2)/2)*DH153+(1-EXP(-LN(2)/2))/(LN(2)/2)*DB154*DE154*VLOOKUP('Données projet'!$B$13,Paramètres!$A$1:$I$89,3,0)*0.475*44/12</f>
        <v>9.7750736346031324E-18</v>
      </c>
      <c r="DI154" s="24">
        <f t="shared" ref="DI154:DI203" si="175">SUM(DF154:DH154)</f>
        <v>0.34077698382221661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1.0818439477588981E-13</v>
      </c>
      <c r="DQ154" s="14">
        <f t="shared" ref="DQ154:DQ203" si="176">EXP(-1.0587+0.8836*LN(DP154)+0.284)</f>
        <v>1.6104228458716316E-12</v>
      </c>
      <c r="DR154" s="22">
        <f t="shared" ref="DR154:DR203" si="177">(DP154+DQ154)*0.475*44/12</f>
        <v>2.9932409441277661E-12</v>
      </c>
      <c r="DS154" s="62">
        <f t="shared" si="125"/>
        <v>293.33333333333633</v>
      </c>
      <c r="DT154" s="62">
        <f ca="1">AVERAGE(OFFSET($DS$3,0,0,'Données projet'!$E$14+1,1))-AVERAGE(OFFSET($H$3,0,0,'Données projet'!$E$14+1,1))</f>
        <v>404.20764079465965</v>
      </c>
      <c r="DU154" s="62">
        <f t="shared" si="152"/>
        <v>243.23852967152732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1.234290807126228E-17</v>
      </c>
      <c r="ED154" s="24">
        <f t="shared" ref="ED154:ED203" si="178">SUM(EA154:EC154)</f>
        <v>1.234290807126228E-17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439.06700232017681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0.31007400513188849</v>
      </c>
      <c r="AB155" s="23">
        <f>EXP(-LN(2)/2)*AB154+(1-EXP(-LN(2)/2))/(LN(2)/2)*V155*Y155*VLOOKUP('Données projet'!$B$9,Paramètres!$A$1:$I$89,3,0)*0.475*44/12</f>
        <v>6.4660840243594808E-18</v>
      </c>
      <c r="AC155" s="24">
        <f t="shared" si="163"/>
        <v>0.31007400513188849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396.92963589781414</v>
      </c>
      <c r="AO155" s="62">
        <f t="shared" si="144"/>
        <v>294.38852181137639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4.4337866711430253E-14</v>
      </c>
      <c r="BF155" s="14">
        <f t="shared" si="167"/>
        <v>7.3222115536967035E-13</v>
      </c>
      <c r="BG155" s="22">
        <f t="shared" si="168"/>
        <v>1.3525069634579169E-12</v>
      </c>
      <c r="BH155" s="62">
        <f t="shared" si="116"/>
        <v>293.33333333333468</v>
      </c>
      <c r="BI155" s="62">
        <f ca="1">AVERAGE(OFFSET($BH$3,0,0,'Données projet'!$E$11+1,1))-AVERAGE(OFFSET($H$3,0,0,'Données projet'!$E$11+1,1))</f>
        <v>288.82868507674738</v>
      </c>
      <c r="BJ155" s="62">
        <f t="shared" si="146"/>
        <v>283.48738729114024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0.23584038964092452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0.23584038964092452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405.09126081846171</v>
      </c>
      <c r="CE155" s="62">
        <f t="shared" si="148"/>
        <v>534.22295841722166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0.21478587487830253</v>
      </c>
      <c r="CL155" s="23">
        <f>EXP(-LN(2)/25)*CL154+(1-EXP(-LN(2)/25))/(LN(2)/25)*Calculateur!CG155*Calculateur!CI155*VLOOKUP('Données projet'!$B$12,Paramètres!$A$1:$I$89,3,0)*0.475*44/12</f>
        <v>0.29603728604045015</v>
      </c>
      <c r="CM155" s="23">
        <f>EXP(-LN(2)/2)*CM154+(1-EXP(-LN(2)/2))/(LN(2)/2)*CG155*CJ155*VLOOKUP('Données projet'!$B$12,Paramètres!$A$1:$I$89,3,0)*0.475*44/12</f>
        <v>1.6044468901530495E-19</v>
      </c>
      <c r="CN155" s="24">
        <f t="shared" si="172"/>
        <v>0.51082316091875268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466.4945858005575</v>
      </c>
      <c r="CZ155" s="62">
        <f t="shared" si="150"/>
        <v>294.45557293177131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0.33145841927891539</v>
      </c>
      <c r="DH155" s="23">
        <f>EXP(-LN(2)/2)*DH154+(1-EXP(-LN(2)/2))/(LN(2)/2)*DB155*DE155*VLOOKUP('Données projet'!$B$13,Paramètres!$A$1:$I$89,3,0)*0.475*44/12</f>
        <v>6.9120208536257078E-18</v>
      </c>
      <c r="DI155" s="24">
        <f t="shared" si="175"/>
        <v>0.33145841927891539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1.0818439477588981E-13</v>
      </c>
      <c r="DQ155" s="14">
        <f t="shared" si="176"/>
        <v>1.6104228458716316E-12</v>
      </c>
      <c r="DR155" s="22">
        <f t="shared" si="177"/>
        <v>2.9932409441277661E-12</v>
      </c>
      <c r="DS155" s="62">
        <f t="shared" si="125"/>
        <v>293.33333333333633</v>
      </c>
      <c r="DT155" s="62">
        <f ca="1">AVERAGE(OFFSET($DS$3,0,0,'Données projet'!$E$14+1,1))-AVERAGE(OFFSET($H$3,0,0,'Données projet'!$E$14+1,1))</f>
        <v>404.20764079465965</v>
      </c>
      <c r="DU155" s="62">
        <f t="shared" si="152"/>
        <v>243.23852967152732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8.7277539967517281E-18</v>
      </c>
      <c r="ED155" s="24">
        <f t="shared" si="178"/>
        <v>8.7277539967517281E-18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439.06700232017681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0.30159501515547377</v>
      </c>
      <c r="AB156" s="23">
        <f>EXP(-LN(2)/2)*AB155+(1-EXP(-LN(2)/2))/(LN(2)/2)*V156*Y156*VLOOKUP('Données projet'!$B$9,Paramètres!$A$1:$I$89,3,0)*0.475*44/12</f>
        <v>4.57221186134659E-18</v>
      </c>
      <c r="AC156" s="24">
        <f t="shared" si="163"/>
        <v>0.30159501515547377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396.92963589781414</v>
      </c>
      <c r="AO156" s="62">
        <f t="shared" si="144"/>
        <v>294.38852181137639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4.4337866711430253E-14</v>
      </c>
      <c r="BF156" s="14">
        <f t="shared" si="167"/>
        <v>7.3222115536967035E-13</v>
      </c>
      <c r="BG156" s="22">
        <f t="shared" si="168"/>
        <v>1.3525069634579169E-12</v>
      </c>
      <c r="BH156" s="62">
        <f t="shared" si="116"/>
        <v>293.33333333333468</v>
      </c>
      <c r="BI156" s="62">
        <f ca="1">AVERAGE(OFFSET($BH$3,0,0,'Données projet'!$E$11+1,1))-AVERAGE(OFFSET($H$3,0,0,'Données projet'!$E$11+1,1))</f>
        <v>288.82868507674738</v>
      </c>
      <c r="BJ156" s="62">
        <f t="shared" si="146"/>
        <v>283.48738729114024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0.22939132178388635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0.22939132178388635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405.09126081846171</v>
      </c>
      <c r="CE156" s="62">
        <f t="shared" si="148"/>
        <v>534.22295841722166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0.21057405487838687</v>
      </c>
      <c r="CL156" s="23">
        <f>EXP(-LN(2)/25)*CL155+(1-EXP(-LN(2)/25))/(LN(2)/25)*Calculateur!CG156*Calculateur!CI156*VLOOKUP('Données projet'!$B$12,Paramètres!$A$1:$I$89,3,0)*0.475*44/12</f>
        <v>0.28794213088574977</v>
      </c>
      <c r="CM156" s="23">
        <f>EXP(-LN(2)/2)*CM155+(1-EXP(-LN(2)/2))/(LN(2)/2)*CG156*CJ156*VLOOKUP('Données projet'!$B$12,Paramètres!$A$1:$I$89,3,0)*0.475*44/12</f>
        <v>1.134515276080889E-19</v>
      </c>
      <c r="CN156" s="24">
        <f t="shared" si="172"/>
        <v>0.49851618576413664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466.4945858005575</v>
      </c>
      <c r="CZ156" s="62">
        <f t="shared" si="150"/>
        <v>294.45557293177131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0.32239467137309274</v>
      </c>
      <c r="DH156" s="23">
        <f>EXP(-LN(2)/2)*DH155+(1-EXP(-LN(2)/2))/(LN(2)/2)*DB156*DE156*VLOOKUP('Données projet'!$B$13,Paramètres!$A$1:$I$89,3,0)*0.475*44/12</f>
        <v>4.887536817301567E-18</v>
      </c>
      <c r="DI156" s="24">
        <f t="shared" si="175"/>
        <v>0.32239467137309274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1.0818439477588981E-13</v>
      </c>
      <c r="DQ156" s="14">
        <f t="shared" si="176"/>
        <v>1.6104228458716316E-12</v>
      </c>
      <c r="DR156" s="22">
        <f t="shared" si="177"/>
        <v>2.9932409441277661E-12</v>
      </c>
      <c r="DS156" s="62">
        <f t="shared" si="125"/>
        <v>293.33333333333633</v>
      </c>
      <c r="DT156" s="62">
        <f ca="1">AVERAGE(OFFSET($DS$3,0,0,'Données projet'!$E$14+1,1))-AVERAGE(OFFSET($H$3,0,0,'Données projet'!$E$14+1,1))</f>
        <v>404.20764079465965</v>
      </c>
      <c r="DU156" s="62">
        <f t="shared" si="152"/>
        <v>243.23852967152732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6.1714540356311399E-18</v>
      </c>
      <c r="ED156" s="24">
        <f t="shared" si="178"/>
        <v>6.1714540356311399E-18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439.06700232017681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0.29334788360585479</v>
      </c>
      <c r="AB157" s="23">
        <f>EXP(-LN(2)/2)*AB156+(1-EXP(-LN(2)/2))/(LN(2)/2)*V157*Y157*VLOOKUP('Données projet'!$B$9,Paramètres!$A$1:$I$89,3,0)*0.475*44/12</f>
        <v>3.2330420121797404E-18</v>
      </c>
      <c r="AC157" s="24">
        <f t="shared" si="163"/>
        <v>0.29334788360585479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396.92963589781414</v>
      </c>
      <c r="AO157" s="62">
        <f t="shared" si="144"/>
        <v>294.38852181137639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4.4337866711430253E-14</v>
      </c>
      <c r="BF157" s="14">
        <f t="shared" si="167"/>
        <v>7.3222115536967035E-13</v>
      </c>
      <c r="BG157" s="22">
        <f t="shared" si="168"/>
        <v>1.3525069634579169E-12</v>
      </c>
      <c r="BH157" s="62">
        <f t="shared" si="116"/>
        <v>293.33333333333468</v>
      </c>
      <c r="BI157" s="62">
        <f ca="1">AVERAGE(OFFSET($BH$3,0,0,'Données projet'!$E$11+1,1))-AVERAGE(OFFSET($H$3,0,0,'Données projet'!$E$11+1,1))</f>
        <v>288.82868507674738</v>
      </c>
      <c r="BJ157" s="62">
        <f t="shared" si="146"/>
        <v>283.48738729114024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0.22311860402654066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0.22311860402654066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405.09126081846171</v>
      </c>
      <c r="CE157" s="62">
        <f t="shared" si="148"/>
        <v>534.22295841722166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0.20644482609971304</v>
      </c>
      <c r="CL157" s="23">
        <f>EXP(-LN(2)/25)*CL156+(1-EXP(-LN(2)/25))/(LN(2)/25)*Calculateur!CG157*Calculateur!CI157*VLOOKUP('Données projet'!$B$12,Paramètres!$A$1:$I$89,3,0)*0.475*44/12</f>
        <v>0.28006833817446036</v>
      </c>
      <c r="CM157" s="23">
        <f>EXP(-LN(2)/2)*CM156+(1-EXP(-LN(2)/2))/(LN(2)/2)*CG157*CJ157*VLOOKUP('Données projet'!$B$12,Paramètres!$A$1:$I$89,3,0)*0.475*44/12</f>
        <v>8.0222344507652474E-20</v>
      </c>
      <c r="CN157" s="24">
        <f t="shared" si="172"/>
        <v>0.4865131642741734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466.4945858005575</v>
      </c>
      <c r="CZ157" s="62">
        <f t="shared" si="150"/>
        <v>294.45557293177131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0.31357877213039659</v>
      </c>
      <c r="DH157" s="23">
        <f>EXP(-LN(2)/2)*DH156+(1-EXP(-LN(2)/2))/(LN(2)/2)*DB157*DE157*VLOOKUP('Données projet'!$B$13,Paramètres!$A$1:$I$89,3,0)*0.475*44/12</f>
        <v>3.4560104268128543E-18</v>
      </c>
      <c r="DI157" s="24">
        <f t="shared" si="175"/>
        <v>0.31357877213039659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1.0818439477588981E-13</v>
      </c>
      <c r="DQ157" s="14">
        <f t="shared" si="176"/>
        <v>1.6104228458716316E-12</v>
      </c>
      <c r="DR157" s="22">
        <f t="shared" si="177"/>
        <v>2.9932409441277661E-12</v>
      </c>
      <c r="DS157" s="62">
        <f t="shared" si="125"/>
        <v>293.33333333333633</v>
      </c>
      <c r="DT157" s="62">
        <f ca="1">AVERAGE(OFFSET($DS$3,0,0,'Données projet'!$E$14+1,1))-AVERAGE(OFFSET($H$3,0,0,'Données projet'!$E$14+1,1))</f>
        <v>404.20764079465965</v>
      </c>
      <c r="DU157" s="62">
        <f t="shared" si="152"/>
        <v>243.23852967152732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4.3638769983758641E-18</v>
      </c>
      <c r="ED157" s="24">
        <f t="shared" si="178"/>
        <v>4.3638769983758641E-18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439.06700232017681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0.28532627030215796</v>
      </c>
      <c r="AB158" s="23">
        <f>EXP(-LN(2)/2)*AB157+(1-EXP(-LN(2)/2))/(LN(2)/2)*V158*Y158*VLOOKUP('Données projet'!$B$9,Paramètres!$A$1:$I$89,3,0)*0.475*44/12</f>
        <v>2.286105930673295E-18</v>
      </c>
      <c r="AC158" s="24">
        <f t="shared" si="163"/>
        <v>0.28532627030215796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396.92963589781414</v>
      </c>
      <c r="AO158" s="62">
        <f t="shared" si="144"/>
        <v>294.38852181137639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4.4337866711430253E-14</v>
      </c>
      <c r="BF158" s="14">
        <f t="shared" si="167"/>
        <v>7.3222115536967035E-13</v>
      </c>
      <c r="BG158" s="22">
        <f t="shared" si="168"/>
        <v>1.3525069634579169E-12</v>
      </c>
      <c r="BH158" s="62">
        <f t="shared" si="116"/>
        <v>293.33333333333468</v>
      </c>
      <c r="BI158" s="62">
        <f ca="1">AVERAGE(OFFSET($BH$3,0,0,'Données projet'!$E$11+1,1))-AVERAGE(OFFSET($H$3,0,0,'Données projet'!$E$11+1,1))</f>
        <v>288.82868507674738</v>
      </c>
      <c r="BJ158" s="62">
        <f t="shared" si="146"/>
        <v>283.48738729114024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0.21701741406613745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0.21701741406613745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405.09126081846171</v>
      </c>
      <c r="CE158" s="62">
        <f t="shared" si="148"/>
        <v>534.22295841722166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0.20239656897880812</v>
      </c>
      <c r="CL158" s="23">
        <f>EXP(-LN(2)/25)*CL157+(1-EXP(-LN(2)/25))/(LN(2)/25)*Calculateur!CG158*Calculateur!CI158*VLOOKUP('Données projet'!$B$12,Paramètres!$A$1:$I$89,3,0)*0.475*44/12</f>
        <v>0.27240985473892593</v>
      </c>
      <c r="CM158" s="23">
        <f>EXP(-LN(2)/2)*CM157+(1-EXP(-LN(2)/2))/(LN(2)/2)*CG158*CJ158*VLOOKUP('Données projet'!$B$12,Paramètres!$A$1:$I$89,3,0)*0.475*44/12</f>
        <v>5.6725763804044449E-20</v>
      </c>
      <c r="CN158" s="24">
        <f t="shared" si="172"/>
        <v>0.47480642371773407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466.4945858005575</v>
      </c>
      <c r="CZ158" s="62">
        <f t="shared" si="150"/>
        <v>294.45557293177131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0.30500394411609993</v>
      </c>
      <c r="DH158" s="23">
        <f>EXP(-LN(2)/2)*DH157+(1-EXP(-LN(2)/2))/(LN(2)/2)*DB158*DE158*VLOOKUP('Données projet'!$B$13,Paramètres!$A$1:$I$89,3,0)*0.475*44/12</f>
        <v>2.4437684086507839E-18</v>
      </c>
      <c r="DI158" s="24">
        <f t="shared" si="175"/>
        <v>0.30500394411609993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1.0818439477588981E-13</v>
      </c>
      <c r="DQ158" s="14">
        <f t="shared" si="176"/>
        <v>1.6104228458716316E-12</v>
      </c>
      <c r="DR158" s="22">
        <f t="shared" si="177"/>
        <v>2.9932409441277661E-12</v>
      </c>
      <c r="DS158" s="62">
        <f t="shared" si="125"/>
        <v>293.33333333333633</v>
      </c>
      <c r="DT158" s="62">
        <f ca="1">AVERAGE(OFFSET($DS$3,0,0,'Données projet'!$E$14+1,1))-AVERAGE(OFFSET($H$3,0,0,'Données projet'!$E$14+1,1))</f>
        <v>404.20764079465965</v>
      </c>
      <c r="DU158" s="62">
        <f t="shared" si="152"/>
        <v>243.23852967152732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3.08572701781557E-18</v>
      </c>
      <c r="ED158" s="24">
        <f t="shared" si="178"/>
        <v>3.08572701781557E-18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439.06700232017681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0.27752400843608904</v>
      </c>
      <c r="AB159" s="23">
        <f>EXP(-LN(2)/2)*AB158+(1-EXP(-LN(2)/2))/(LN(2)/2)*V159*Y159*VLOOKUP('Données projet'!$B$9,Paramètres!$A$1:$I$89,3,0)*0.475*44/12</f>
        <v>1.6165210060898702E-18</v>
      </c>
      <c r="AC159" s="24">
        <f t="shared" si="163"/>
        <v>0.27752400843608904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396.92963589781414</v>
      </c>
      <c r="AO159" s="62">
        <f t="shared" si="144"/>
        <v>294.38852181137639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4.4337866711430253E-14</v>
      </c>
      <c r="BF159" s="14">
        <f t="shared" si="167"/>
        <v>7.3222115536967035E-13</v>
      </c>
      <c r="BG159" s="22">
        <f t="shared" si="168"/>
        <v>1.3525069634579169E-12</v>
      </c>
      <c r="BH159" s="62">
        <f t="shared" si="116"/>
        <v>293.33333333333468</v>
      </c>
      <c r="BI159" s="62">
        <f ca="1">AVERAGE(OFFSET($BH$3,0,0,'Données projet'!$E$11+1,1))-AVERAGE(OFFSET($H$3,0,0,'Données projet'!$E$11+1,1))</f>
        <v>288.82868507674738</v>
      </c>
      <c r="BJ159" s="62">
        <f t="shared" si="146"/>
        <v>283.48738729114024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0.2110830614660491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0.2110830614660491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405.09126081846171</v>
      </c>
      <c r="CE159" s="62">
        <f t="shared" si="148"/>
        <v>534.22295841722166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0.19842769571085112</v>
      </c>
      <c r="CL159" s="23">
        <f>EXP(-LN(2)/25)*CL158+(1-EXP(-LN(2)/25))/(LN(2)/25)*Calculateur!CG159*Calculateur!CI159*VLOOKUP('Données projet'!$B$12,Paramètres!$A$1:$I$89,3,0)*0.475*44/12</f>
        <v>0.26496079293567831</v>
      </c>
      <c r="CM159" s="23">
        <f>EXP(-LN(2)/2)*CM158+(1-EXP(-LN(2)/2))/(LN(2)/2)*CG159*CJ159*VLOOKUP('Données projet'!$B$12,Paramètres!$A$1:$I$89,3,0)*0.475*44/12</f>
        <v>4.0111172253826237E-20</v>
      </c>
      <c r="CN159" s="24">
        <f t="shared" si="172"/>
        <v>0.46338848864652943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466.4945858005575</v>
      </c>
      <c r="CZ159" s="62">
        <f t="shared" si="150"/>
        <v>294.45557293177131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0.29666359522478486</v>
      </c>
      <c r="DH159" s="23">
        <f>EXP(-LN(2)/2)*DH158+(1-EXP(-LN(2)/2))/(LN(2)/2)*DB159*DE159*VLOOKUP('Données projet'!$B$13,Paramètres!$A$1:$I$89,3,0)*0.475*44/12</f>
        <v>1.7280052134064273E-18</v>
      </c>
      <c r="DI159" s="24">
        <f t="shared" si="175"/>
        <v>0.29666359522478486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1.0818439477588981E-13</v>
      </c>
      <c r="DQ159" s="14">
        <f t="shared" si="176"/>
        <v>1.6104228458716316E-12</v>
      </c>
      <c r="DR159" s="22">
        <f t="shared" si="177"/>
        <v>2.9932409441277661E-12</v>
      </c>
      <c r="DS159" s="62">
        <f t="shared" si="125"/>
        <v>293.33333333333633</v>
      </c>
      <c r="DT159" s="62">
        <f ca="1">AVERAGE(OFFSET($DS$3,0,0,'Données projet'!$E$14+1,1))-AVERAGE(OFFSET($H$3,0,0,'Données projet'!$E$14+1,1))</f>
        <v>404.20764079465965</v>
      </c>
      <c r="DU159" s="62">
        <f t="shared" si="152"/>
        <v>243.23852967152732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2.181938499187932E-18</v>
      </c>
      <c r="ED159" s="24">
        <f t="shared" si="178"/>
        <v>2.181938499187932E-18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439.06700232017681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0.26993509983105085</v>
      </c>
      <c r="AB160" s="23">
        <f>EXP(-LN(2)/2)*AB159+(1-EXP(-LN(2)/2))/(LN(2)/2)*V160*Y160*VLOOKUP('Données projet'!$B$9,Paramètres!$A$1:$I$89,3,0)*0.475*44/12</f>
        <v>1.1430529653366475E-18</v>
      </c>
      <c r="AC160" s="24">
        <f t="shared" si="163"/>
        <v>0.26993509983105085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396.92963589781414</v>
      </c>
      <c r="AO160" s="62">
        <f t="shared" si="144"/>
        <v>294.38852181137639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4.4337866711430253E-14</v>
      </c>
      <c r="BF160" s="14">
        <f t="shared" si="167"/>
        <v>7.3222115536967035E-13</v>
      </c>
      <c r="BG160" s="22">
        <f t="shared" si="168"/>
        <v>1.3525069634579169E-12</v>
      </c>
      <c r="BH160" s="62">
        <f t="shared" si="116"/>
        <v>293.33333333333468</v>
      </c>
      <c r="BI160" s="62">
        <f ca="1">AVERAGE(OFFSET($BH$3,0,0,'Données projet'!$E$11+1,1))-AVERAGE(OFFSET($H$3,0,0,'Données projet'!$E$11+1,1))</f>
        <v>288.82868507674738</v>
      </c>
      <c r="BJ160" s="62">
        <f t="shared" si="146"/>
        <v>283.48738729114024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0.20531098404988424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0.20531098404988424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405.09126081846171</v>
      </c>
      <c r="CE160" s="62">
        <f t="shared" si="148"/>
        <v>534.22295841722166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0.19453664962690509</v>
      </c>
      <c r="CL160" s="23">
        <f>EXP(-LN(2)/25)*CL159+(1-EXP(-LN(2)/25))/(LN(2)/25)*Calculateur!CG160*Calculateur!CI160*VLOOKUP('Données projet'!$B$12,Paramètres!$A$1:$I$89,3,0)*0.475*44/12</f>
        <v>0.25771542611916964</v>
      </c>
      <c r="CM160" s="23">
        <f>EXP(-LN(2)/2)*CM159+(1-EXP(-LN(2)/2))/(LN(2)/2)*CG160*CJ160*VLOOKUP('Données projet'!$B$12,Paramètres!$A$1:$I$89,3,0)*0.475*44/12</f>
        <v>2.8362881902022224E-20</v>
      </c>
      <c r="CN160" s="24">
        <f t="shared" si="172"/>
        <v>0.45225207574607473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466.4945858005575</v>
      </c>
      <c r="CZ160" s="62">
        <f t="shared" si="150"/>
        <v>294.45557293177131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0.28855131361250269</v>
      </c>
      <c r="DH160" s="23">
        <f>EXP(-LN(2)/2)*DH159+(1-EXP(-LN(2)/2))/(LN(2)/2)*DB160*DE160*VLOOKUP('Données projet'!$B$13,Paramètres!$A$1:$I$89,3,0)*0.475*44/12</f>
        <v>1.2218842043253921E-18</v>
      </c>
      <c r="DI160" s="24">
        <f t="shared" si="175"/>
        <v>0.28855131361250269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1.0818439477588981E-13</v>
      </c>
      <c r="DQ160" s="14">
        <f t="shared" si="176"/>
        <v>1.6104228458716316E-12</v>
      </c>
      <c r="DR160" s="22">
        <f t="shared" si="177"/>
        <v>2.9932409441277661E-12</v>
      </c>
      <c r="DS160" s="62">
        <f t="shared" si="125"/>
        <v>293.33333333333633</v>
      </c>
      <c r="DT160" s="62">
        <f ca="1">AVERAGE(OFFSET($DS$3,0,0,'Données projet'!$E$14+1,1))-AVERAGE(OFFSET($H$3,0,0,'Données projet'!$E$14+1,1))</f>
        <v>404.20764079465965</v>
      </c>
      <c r="DU160" s="62">
        <f t="shared" si="152"/>
        <v>243.23852967152732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1.542863508907785E-18</v>
      </c>
      <c r="ED160" s="24">
        <f t="shared" si="178"/>
        <v>1.542863508907785E-18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439.06700232017681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0.2625537103309008</v>
      </c>
      <c r="AB161" s="23">
        <f>EXP(-LN(2)/2)*AB160+(1-EXP(-LN(2)/2))/(LN(2)/2)*V161*Y161*VLOOKUP('Données projet'!$B$9,Paramètres!$A$1:$I$89,3,0)*0.475*44/12</f>
        <v>8.082605030449351E-19</v>
      </c>
      <c r="AC161" s="24">
        <f t="shared" si="163"/>
        <v>0.2625537103309008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396.92963589781414</v>
      </c>
      <c r="AO161" s="62">
        <f t="shared" si="144"/>
        <v>294.38852181137639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4.4337866711430253E-14</v>
      </c>
      <c r="BF161" s="14">
        <f t="shared" si="167"/>
        <v>7.3222115536967035E-13</v>
      </c>
      <c r="BG161" s="22">
        <f t="shared" si="168"/>
        <v>1.3525069634579169E-12</v>
      </c>
      <c r="BH161" s="62">
        <f t="shared" si="116"/>
        <v>293.33333333333468</v>
      </c>
      <c r="BI161" s="62">
        <f ca="1">AVERAGE(OFFSET($BH$3,0,0,'Données projet'!$E$11+1,1))-AVERAGE(OFFSET($H$3,0,0,'Données projet'!$E$11+1,1))</f>
        <v>288.82868507674738</v>
      </c>
      <c r="BJ161" s="62">
        <f t="shared" si="146"/>
        <v>283.48738729114024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0.19969674439420473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0.19969674439420473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405.09126081846171</v>
      </c>
      <c r="CE161" s="62">
        <f t="shared" si="148"/>
        <v>534.22295841722166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0.19072190458336147</v>
      </c>
      <c r="CL161" s="23">
        <f>EXP(-LN(2)/25)*CL160+(1-EXP(-LN(2)/25))/(LN(2)/25)*Calculateur!CG161*Calculateur!CI161*VLOOKUP('Données projet'!$B$12,Paramètres!$A$1:$I$89,3,0)*0.475*44/12</f>
        <v>0.25066818423927573</v>
      </c>
      <c r="CM161" s="23">
        <f>EXP(-LN(2)/2)*CM160+(1-EXP(-LN(2)/2))/(LN(2)/2)*CG161*CJ161*VLOOKUP('Données projet'!$B$12,Paramètres!$A$1:$I$89,3,0)*0.475*44/12</f>
        <v>2.0055586126913119E-20</v>
      </c>
      <c r="CN161" s="24">
        <f t="shared" si="172"/>
        <v>0.44139008882263719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466.4945858005575</v>
      </c>
      <c r="CZ161" s="62">
        <f t="shared" si="150"/>
        <v>294.45557293177131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0.28066086276751473</v>
      </c>
      <c r="DH161" s="23">
        <f>EXP(-LN(2)/2)*DH160+(1-EXP(-LN(2)/2))/(LN(2)/2)*DB161*DE161*VLOOKUP('Données projet'!$B$13,Paramètres!$A$1:$I$89,3,0)*0.475*44/12</f>
        <v>8.6400260670321385E-19</v>
      </c>
      <c r="DI161" s="24">
        <f t="shared" si="175"/>
        <v>0.28066086276751473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1.0818439477588981E-13</v>
      </c>
      <c r="DQ161" s="14">
        <f t="shared" si="176"/>
        <v>1.6104228458716316E-12</v>
      </c>
      <c r="DR161" s="22">
        <f t="shared" si="177"/>
        <v>2.9932409441277661E-12</v>
      </c>
      <c r="DS161" s="62">
        <f t="shared" si="125"/>
        <v>293.33333333333633</v>
      </c>
      <c r="DT161" s="62">
        <f ca="1">AVERAGE(OFFSET($DS$3,0,0,'Données projet'!$E$14+1,1))-AVERAGE(OFFSET($H$3,0,0,'Données projet'!$E$14+1,1))</f>
        <v>404.20764079465965</v>
      </c>
      <c r="DU161" s="62">
        <f t="shared" si="152"/>
        <v>243.23852967152732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1.090969249593966E-18</v>
      </c>
      <c r="ED161" s="24">
        <f t="shared" si="178"/>
        <v>1.090969249593966E-18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439.06700232017681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0.25537416531480278</v>
      </c>
      <c r="AB162" s="23">
        <f>EXP(-LN(2)/2)*AB161+(1-EXP(-LN(2)/2))/(LN(2)/2)*V162*Y162*VLOOKUP('Données projet'!$B$9,Paramètres!$A$1:$I$89,3,0)*0.475*44/12</f>
        <v>5.7152648266832375E-19</v>
      </c>
      <c r="AC162" s="24">
        <f t="shared" si="163"/>
        <v>0.25537416531480278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396.92963589781414</v>
      </c>
      <c r="AO162" s="62">
        <f t="shared" si="144"/>
        <v>294.38852181137639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4.4337866711430253E-14</v>
      </c>
      <c r="BF162" s="14">
        <f t="shared" si="167"/>
        <v>7.3222115536967035E-13</v>
      </c>
      <c r="BG162" s="22">
        <f t="shared" si="168"/>
        <v>1.3525069634579169E-12</v>
      </c>
      <c r="BH162" s="62">
        <f t="shared" si="116"/>
        <v>293.33333333333468</v>
      </c>
      <c r="BI162" s="62">
        <f ca="1">AVERAGE(OFFSET($BH$3,0,0,'Données projet'!$E$11+1,1))-AVERAGE(OFFSET($H$3,0,0,'Données projet'!$E$11+1,1))</f>
        <v>288.82868507674738</v>
      </c>
      <c r="BJ162" s="62">
        <f t="shared" si="146"/>
        <v>283.48738729114024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0.19423602641714982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0.19423602641714982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405.09126081846171</v>
      </c>
      <c r="CE162" s="62">
        <f t="shared" si="148"/>
        <v>534.22295841722166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0.18698196436335701</v>
      </c>
      <c r="CL162" s="23">
        <f>EXP(-LN(2)/25)*CL161+(1-EXP(-LN(2)/25))/(LN(2)/25)*Calculateur!CG162*Calculateur!CI162*VLOOKUP('Données projet'!$B$12,Paramètres!$A$1:$I$89,3,0)*0.475*44/12</f>
        <v>0.24381364955918583</v>
      </c>
      <c r="CM162" s="23">
        <f>EXP(-LN(2)/2)*CM161+(1-EXP(-LN(2)/2))/(LN(2)/2)*CG162*CJ162*VLOOKUP('Données projet'!$B$12,Paramètres!$A$1:$I$89,3,0)*0.475*44/12</f>
        <v>1.4181440951011112E-20</v>
      </c>
      <c r="CN162" s="24">
        <f t="shared" si="172"/>
        <v>0.43079561392254284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466.4945858005575</v>
      </c>
      <c r="CZ162" s="62">
        <f t="shared" si="150"/>
        <v>294.45557293177131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0.2729861767158237</v>
      </c>
      <c r="DH162" s="23">
        <f>EXP(-LN(2)/2)*DH161+(1-EXP(-LN(2)/2))/(LN(2)/2)*DB162*DE162*VLOOKUP('Données projet'!$B$13,Paramètres!$A$1:$I$89,3,0)*0.475*44/12</f>
        <v>6.1094210216269616E-19</v>
      </c>
      <c r="DI162" s="24">
        <f t="shared" si="175"/>
        <v>0.2729861767158237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1.0818439477588981E-13</v>
      </c>
      <c r="DQ162" s="14">
        <f t="shared" si="176"/>
        <v>1.6104228458716316E-12</v>
      </c>
      <c r="DR162" s="22">
        <f t="shared" si="177"/>
        <v>2.9932409441277661E-12</v>
      </c>
      <c r="DS162" s="62">
        <f t="shared" si="125"/>
        <v>293.33333333333633</v>
      </c>
      <c r="DT162" s="62">
        <f ca="1">AVERAGE(OFFSET($DS$3,0,0,'Données projet'!$E$14+1,1))-AVERAGE(OFFSET($H$3,0,0,'Données projet'!$E$14+1,1))</f>
        <v>404.20764079465965</v>
      </c>
      <c r="DU162" s="62">
        <f t="shared" si="152"/>
        <v>243.23852967152732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7.7143175445389249E-19</v>
      </c>
      <c r="ED162" s="24">
        <f t="shared" si="178"/>
        <v>7.7143175445389249E-19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439.06700232017681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0.2483909453347258</v>
      </c>
      <c r="AB163" s="23">
        <f>EXP(-LN(2)/2)*AB162+(1-EXP(-LN(2)/2))/(LN(2)/2)*V163*Y163*VLOOKUP('Données projet'!$B$9,Paramètres!$A$1:$I$89,3,0)*0.475*44/12</f>
        <v>4.0413025152246755E-19</v>
      </c>
      <c r="AC163" s="24">
        <f t="shared" si="163"/>
        <v>0.2483909453347258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396.92963589781414</v>
      </c>
      <c r="AO163" s="62">
        <f t="shared" si="144"/>
        <v>294.38852181137639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4.4337866711430253E-14</v>
      </c>
      <c r="BF163" s="14">
        <f t="shared" si="167"/>
        <v>7.3222115536967035E-13</v>
      </c>
      <c r="BG163" s="22">
        <f t="shared" si="168"/>
        <v>1.3525069634579169E-12</v>
      </c>
      <c r="BH163" s="62">
        <f t="shared" si="116"/>
        <v>293.33333333333468</v>
      </c>
      <c r="BI163" s="62">
        <f ca="1">AVERAGE(OFFSET($BH$3,0,0,'Données projet'!$E$11+1,1))-AVERAGE(OFFSET($H$3,0,0,'Données projet'!$E$11+1,1))</f>
        <v>288.82868507674738</v>
      </c>
      <c r="BJ163" s="62">
        <f t="shared" si="146"/>
        <v>283.48738729114024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0.18892463206034416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0.18892463206034416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405.09126081846171</v>
      </c>
      <c r="CE163" s="62">
        <f t="shared" si="148"/>
        <v>534.22295841722166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0.18331536208992857</v>
      </c>
      <c r="CL163" s="23">
        <f>EXP(-LN(2)/25)*CL162+(1-EXP(-LN(2)/25))/(LN(2)/25)*Calculateur!CG163*Calculateur!CI163*VLOOKUP('Données projet'!$B$12,Paramètres!$A$1:$I$89,3,0)*0.475*44/12</f>
        <v>0.2371465524903873</v>
      </c>
      <c r="CM163" s="23">
        <f>EXP(-LN(2)/2)*CM162+(1-EXP(-LN(2)/2))/(LN(2)/2)*CG163*CJ163*VLOOKUP('Données projet'!$B$12,Paramètres!$A$1:$I$89,3,0)*0.475*44/12</f>
        <v>1.0027793063456559E-20</v>
      </c>
      <c r="CN163" s="24">
        <f t="shared" si="172"/>
        <v>0.4204619145803159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466.4945858005575</v>
      </c>
      <c r="CZ163" s="62">
        <f t="shared" si="150"/>
        <v>294.45557293177131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0.26552135535781041</v>
      </c>
      <c r="DH163" s="23">
        <f>EXP(-LN(2)/2)*DH162+(1-EXP(-LN(2)/2))/(LN(2)/2)*DB163*DE163*VLOOKUP('Données projet'!$B$13,Paramètres!$A$1:$I$89,3,0)*0.475*44/12</f>
        <v>4.3200130335160698E-19</v>
      </c>
      <c r="DI163" s="24">
        <f t="shared" si="175"/>
        <v>0.26552135535781041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1.0818439477588981E-13</v>
      </c>
      <c r="DQ163" s="14">
        <f t="shared" si="176"/>
        <v>1.6104228458716316E-12</v>
      </c>
      <c r="DR163" s="22">
        <f t="shared" si="177"/>
        <v>2.9932409441277661E-12</v>
      </c>
      <c r="DS163" s="62">
        <f t="shared" si="125"/>
        <v>293.33333333333633</v>
      </c>
      <c r="DT163" s="62">
        <f ca="1">AVERAGE(OFFSET($DS$3,0,0,'Données projet'!$E$14+1,1))-AVERAGE(OFFSET($H$3,0,0,'Données projet'!$E$14+1,1))</f>
        <v>404.20764079465965</v>
      </c>
      <c r="DU163" s="62">
        <f t="shared" si="152"/>
        <v>243.23852967152732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5.4548462479698301E-19</v>
      </c>
      <c r="ED163" s="24">
        <f t="shared" si="178"/>
        <v>5.4548462479698301E-19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439.06700232017681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0.24159868187223563</v>
      </c>
      <c r="AB164" s="23">
        <f>EXP(-LN(2)/2)*AB163+(1-EXP(-LN(2)/2))/(LN(2)/2)*V164*Y164*VLOOKUP('Données projet'!$B$9,Paramètres!$A$1:$I$89,3,0)*0.475*44/12</f>
        <v>2.8576324133416187E-19</v>
      </c>
      <c r="AC164" s="24">
        <f t="shared" si="163"/>
        <v>0.24159868187223563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396.92963589781414</v>
      </c>
      <c r="AO164" s="62">
        <f t="shared" si="144"/>
        <v>294.38852181137639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4.4337866711430253E-14</v>
      </c>
      <c r="BF164" s="14">
        <f t="shared" si="167"/>
        <v>7.3222115536967035E-13</v>
      </c>
      <c r="BG164" s="22">
        <f t="shared" si="168"/>
        <v>1.3525069634579169E-12</v>
      </c>
      <c r="BH164" s="62">
        <f t="shared" si="116"/>
        <v>293.33333333333468</v>
      </c>
      <c r="BI164" s="62">
        <f ca="1">AVERAGE(OFFSET($BH$3,0,0,'Données projet'!$E$11+1,1))-AVERAGE(OFFSET($H$3,0,0,'Données projet'!$E$11+1,1))</f>
        <v>288.82868507674738</v>
      </c>
      <c r="BJ164" s="62">
        <f t="shared" si="146"/>
        <v>283.48738729114024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0.18375847806153944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0.18375847806153944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405.09126081846171</v>
      </c>
      <c r="CE164" s="62">
        <f t="shared" si="148"/>
        <v>534.22295841722166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0.17972065965067549</v>
      </c>
      <c r="CL164" s="23">
        <f>EXP(-LN(2)/25)*CL163+(1-EXP(-LN(2)/25))/(LN(2)/25)*Calculateur!CG164*Calculateur!CI164*VLOOKUP('Données projet'!$B$12,Paramètres!$A$1:$I$89,3,0)*0.475*44/12</f>
        <v>0.23066176754154247</v>
      </c>
      <c r="CM164" s="23">
        <f>EXP(-LN(2)/2)*CM163+(1-EXP(-LN(2)/2))/(LN(2)/2)*CG164*CJ164*VLOOKUP('Données projet'!$B$12,Paramètres!$A$1:$I$89,3,0)*0.475*44/12</f>
        <v>7.0907204755055561E-21</v>
      </c>
      <c r="CN164" s="24">
        <f t="shared" si="172"/>
        <v>0.41038242719221796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466.4945858005575</v>
      </c>
      <c r="CZ164" s="62">
        <f t="shared" si="150"/>
        <v>294.45557293177131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0.25826065993238984</v>
      </c>
      <c r="DH164" s="23">
        <f>EXP(-LN(2)/2)*DH163+(1-EXP(-LN(2)/2))/(LN(2)/2)*DB164*DE164*VLOOKUP('Données projet'!$B$13,Paramètres!$A$1:$I$89,3,0)*0.475*44/12</f>
        <v>3.0547105108134813E-19</v>
      </c>
      <c r="DI164" s="24">
        <f t="shared" si="175"/>
        <v>0.25826065993238984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1.0818439477588981E-13</v>
      </c>
      <c r="DQ164" s="14">
        <f t="shared" si="176"/>
        <v>1.6104228458716316E-12</v>
      </c>
      <c r="DR164" s="22">
        <f t="shared" si="177"/>
        <v>2.9932409441277661E-12</v>
      </c>
      <c r="DS164" s="62">
        <f t="shared" si="125"/>
        <v>293.33333333333633</v>
      </c>
      <c r="DT164" s="62">
        <f ca="1">AVERAGE(OFFSET($DS$3,0,0,'Données projet'!$E$14+1,1))-AVERAGE(OFFSET($H$3,0,0,'Données projet'!$E$14+1,1))</f>
        <v>404.20764079465965</v>
      </c>
      <c r="DU164" s="62">
        <f t="shared" si="152"/>
        <v>243.23852967152732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3.8571587722694625E-19</v>
      </c>
      <c r="ED164" s="24">
        <f t="shared" si="178"/>
        <v>3.8571587722694625E-19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439.06700232017681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0.23499215321131683</v>
      </c>
      <c r="AB165" s="23">
        <f>EXP(-LN(2)/2)*AB164+(1-EXP(-LN(2)/2))/(LN(2)/2)*V165*Y165*VLOOKUP('Données projet'!$B$9,Paramètres!$A$1:$I$89,3,0)*0.475*44/12</f>
        <v>2.0206512576123377E-19</v>
      </c>
      <c r="AC165" s="24">
        <f t="shared" si="163"/>
        <v>0.23499215321131683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396.92963589781414</v>
      </c>
      <c r="AO165" s="62">
        <f t="shared" si="144"/>
        <v>294.38852181137639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4.4337866711430253E-14</v>
      </c>
      <c r="BF165" s="14">
        <f t="shared" si="167"/>
        <v>7.3222115536967035E-13</v>
      </c>
      <c r="BG165" s="22">
        <f t="shared" si="168"/>
        <v>1.3525069634579169E-12</v>
      </c>
      <c r="BH165" s="62">
        <f t="shared" si="116"/>
        <v>293.33333333333468</v>
      </c>
      <c r="BI165" s="62">
        <f ca="1">AVERAGE(OFFSET($BH$3,0,0,'Données projet'!$E$11+1,1))-AVERAGE(OFFSET($H$3,0,0,'Données projet'!$E$11+1,1))</f>
        <v>288.82868507674738</v>
      </c>
      <c r="BJ165" s="62">
        <f t="shared" si="146"/>
        <v>283.48738729114024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0.17873359281550827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0.17873359281550827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405.09126081846171</v>
      </c>
      <c r="CE165" s="62">
        <f t="shared" si="148"/>
        <v>534.22295841722166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0.17619644713370416</v>
      </c>
      <c r="CL165" s="23">
        <f>EXP(-LN(2)/25)*CL164+(1-EXP(-LN(2)/25))/(LN(2)/25)*Calculateur!CG165*Calculateur!CI165*VLOOKUP('Données projet'!$B$12,Paramètres!$A$1:$I$89,3,0)*0.475*44/12</f>
        <v>0.22435430937814382</v>
      </c>
      <c r="CM165" s="23">
        <f>EXP(-LN(2)/2)*CM164+(1-EXP(-LN(2)/2))/(LN(2)/2)*CG165*CJ165*VLOOKUP('Données projet'!$B$12,Paramètres!$A$1:$I$89,3,0)*0.475*44/12</f>
        <v>5.0138965317282796E-21</v>
      </c>
      <c r="CN165" s="24">
        <f t="shared" si="172"/>
        <v>0.40055075651184802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466.4945858005575</v>
      </c>
      <c r="CZ165" s="62">
        <f t="shared" si="150"/>
        <v>294.45557293177131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0.25119850860520077</v>
      </c>
      <c r="DH165" s="23">
        <f>EXP(-LN(2)/2)*DH164+(1-EXP(-LN(2)/2))/(LN(2)/2)*DB165*DE165*VLOOKUP('Données projet'!$B$13,Paramètres!$A$1:$I$89,3,0)*0.475*44/12</f>
        <v>2.1600065167580354E-19</v>
      </c>
      <c r="DI165" s="24">
        <f t="shared" si="175"/>
        <v>0.25119850860520077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1.0818439477588981E-13</v>
      </c>
      <c r="DQ165" s="14">
        <f t="shared" si="176"/>
        <v>1.6104228458716316E-12</v>
      </c>
      <c r="DR165" s="22">
        <f t="shared" si="177"/>
        <v>2.9932409441277661E-12</v>
      </c>
      <c r="DS165" s="62">
        <f t="shared" si="125"/>
        <v>293.33333333333633</v>
      </c>
      <c r="DT165" s="62">
        <f ca="1">AVERAGE(OFFSET($DS$3,0,0,'Données projet'!$E$14+1,1))-AVERAGE(OFFSET($H$3,0,0,'Données projet'!$E$14+1,1))</f>
        <v>404.20764079465965</v>
      </c>
      <c r="DU165" s="62">
        <f t="shared" si="152"/>
        <v>243.23852967152732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2.727423123984915E-19</v>
      </c>
      <c r="ED165" s="24">
        <f t="shared" si="178"/>
        <v>2.727423123984915E-19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439.06700232017681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0.22856628042405311</v>
      </c>
      <c r="AB166" s="23">
        <f>EXP(-LN(2)/2)*AB165+(1-EXP(-LN(2)/2))/(LN(2)/2)*V166*Y166*VLOOKUP('Données projet'!$B$9,Paramètres!$A$1:$I$89,3,0)*0.475*44/12</f>
        <v>1.4288162066708094E-19</v>
      </c>
      <c r="AC166" s="24">
        <f t="shared" si="163"/>
        <v>0.22856628042405311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396.92963589781414</v>
      </c>
      <c r="AO166" s="62">
        <f t="shared" si="144"/>
        <v>294.38852181137639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4.4337866711430253E-14</v>
      </c>
      <c r="BF166" s="14">
        <f t="shared" si="167"/>
        <v>7.3222115536967035E-13</v>
      </c>
      <c r="BG166" s="22">
        <f t="shared" si="168"/>
        <v>1.3525069634579169E-12</v>
      </c>
      <c r="BH166" s="62">
        <f t="shared" si="116"/>
        <v>293.33333333333468</v>
      </c>
      <c r="BI166" s="62">
        <f ca="1">AVERAGE(OFFSET($BH$3,0,0,'Données projet'!$E$11+1,1))-AVERAGE(OFFSET($H$3,0,0,'Données projet'!$E$11+1,1))</f>
        <v>288.82868507674738</v>
      </c>
      <c r="BJ166" s="62">
        <f t="shared" si="146"/>
        <v>283.48738729114024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0.17384611332077704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0.17384611332077704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405.09126081846171</v>
      </c>
      <c r="CE166" s="62">
        <f t="shared" si="148"/>
        <v>534.22295841722166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0.17274134227463328</v>
      </c>
      <c r="CL166" s="23">
        <f>EXP(-LN(2)/25)*CL165+(1-EXP(-LN(2)/25))/(LN(2)/25)*Calculateur!CG166*Calculateur!CI166*VLOOKUP('Données projet'!$B$12,Paramètres!$A$1:$I$89,3,0)*0.475*44/12</f>
        <v>0.21821932898991811</v>
      </c>
      <c r="CM166" s="23">
        <f>EXP(-LN(2)/2)*CM165+(1-EXP(-LN(2)/2))/(LN(2)/2)*CG166*CJ166*VLOOKUP('Données projet'!$B$12,Paramètres!$A$1:$I$89,3,0)*0.475*44/12</f>
        <v>3.5453602377527781E-21</v>
      </c>
      <c r="CN166" s="24">
        <f t="shared" si="172"/>
        <v>0.39096067126455136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466.4945858005575</v>
      </c>
      <c r="CZ166" s="62">
        <f t="shared" si="150"/>
        <v>294.45557293177131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0.24432947217743611</v>
      </c>
      <c r="DH166" s="23">
        <f>EXP(-LN(2)/2)*DH165+(1-EXP(-LN(2)/2))/(LN(2)/2)*DB166*DE166*VLOOKUP('Données projet'!$B$13,Paramètres!$A$1:$I$89,3,0)*0.475*44/12</f>
        <v>1.5273552554067409E-19</v>
      </c>
      <c r="DI166" s="24">
        <f t="shared" si="175"/>
        <v>0.24432947217743611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1.0818439477588981E-13</v>
      </c>
      <c r="DQ166" s="14">
        <f t="shared" si="176"/>
        <v>1.6104228458716316E-12</v>
      </c>
      <c r="DR166" s="22">
        <f t="shared" si="177"/>
        <v>2.9932409441277661E-12</v>
      </c>
      <c r="DS166" s="62">
        <f t="shared" si="125"/>
        <v>293.33333333333633</v>
      </c>
      <c r="DT166" s="62">
        <f ca="1">AVERAGE(OFFSET($DS$3,0,0,'Données projet'!$E$14+1,1))-AVERAGE(OFFSET($H$3,0,0,'Données projet'!$E$14+1,1))</f>
        <v>404.20764079465965</v>
      </c>
      <c r="DU166" s="62">
        <f t="shared" si="152"/>
        <v>243.23852967152732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1.9285793861347312E-19</v>
      </c>
      <c r="ED166" s="24">
        <f t="shared" si="178"/>
        <v>1.9285793861347312E-19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439.06700232017681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0.2223161234660791</v>
      </c>
      <c r="AB167" s="23">
        <f>EXP(-LN(2)/2)*AB166+(1-EXP(-LN(2)/2))/(LN(2)/2)*V167*Y167*VLOOKUP('Données projet'!$B$9,Paramètres!$A$1:$I$89,3,0)*0.475*44/12</f>
        <v>1.0103256288061689E-19</v>
      </c>
      <c r="AC167" s="24">
        <f t="shared" si="163"/>
        <v>0.2223161234660791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396.92963589781414</v>
      </c>
      <c r="AO167" s="62">
        <f t="shared" si="144"/>
        <v>294.38852181137639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4.4337866711430253E-14</v>
      </c>
      <c r="BF167" s="14">
        <f t="shared" si="167"/>
        <v>7.3222115536967035E-13</v>
      </c>
      <c r="BG167" s="22">
        <f t="shared" si="168"/>
        <v>1.3525069634579169E-12</v>
      </c>
      <c r="BH167" s="62">
        <f t="shared" si="116"/>
        <v>293.33333333333468</v>
      </c>
      <c r="BI167" s="62">
        <f ca="1">AVERAGE(OFFSET($BH$3,0,0,'Données projet'!$E$11+1,1))-AVERAGE(OFFSET($H$3,0,0,'Données projet'!$E$11+1,1))</f>
        <v>288.82868507674738</v>
      </c>
      <c r="BJ167" s="62">
        <f t="shared" si="146"/>
        <v>283.48738729114024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0.16909228220985062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0.16909228220985062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405.09126081846171</v>
      </c>
      <c r="CE167" s="62">
        <f t="shared" si="148"/>
        <v>534.22295841722166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0.16935398991444289</v>
      </c>
      <c r="CL167" s="23">
        <f>EXP(-LN(2)/25)*CL166+(1-EXP(-LN(2)/25))/(LN(2)/25)*Calculateur!CG167*Calculateur!CI167*VLOOKUP('Données projet'!$B$12,Paramètres!$A$1:$I$89,3,0)*0.475*44/12</f>
        <v>0.21225210996303304</v>
      </c>
      <c r="CM167" s="23">
        <f>EXP(-LN(2)/2)*CM166+(1-EXP(-LN(2)/2))/(LN(2)/2)*CG167*CJ167*VLOOKUP('Données projet'!$B$12,Paramètres!$A$1:$I$89,3,0)*0.475*44/12</f>
        <v>2.5069482658641398E-21</v>
      </c>
      <c r="CN167" s="24">
        <f t="shared" si="172"/>
        <v>0.38160609987747596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466.4945858005575</v>
      </c>
      <c r="CZ167" s="62">
        <f t="shared" si="150"/>
        <v>294.45557293177131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0.2376482699120156</v>
      </c>
      <c r="DH167" s="23">
        <f>EXP(-LN(2)/2)*DH166+(1-EXP(-LN(2)/2))/(LN(2)/2)*DB167*DE167*VLOOKUP('Données projet'!$B$13,Paramètres!$A$1:$I$89,3,0)*0.475*44/12</f>
        <v>1.0800032583790178E-19</v>
      </c>
      <c r="DI167" s="24">
        <f t="shared" si="175"/>
        <v>0.2376482699120156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1.0818439477588981E-13</v>
      </c>
      <c r="DQ167" s="14">
        <f t="shared" si="176"/>
        <v>1.6104228458716316E-12</v>
      </c>
      <c r="DR167" s="22">
        <f t="shared" si="177"/>
        <v>2.9932409441277661E-12</v>
      </c>
      <c r="DS167" s="62">
        <f t="shared" si="125"/>
        <v>293.33333333333633</v>
      </c>
      <c r="DT167" s="62">
        <f ca="1">AVERAGE(OFFSET($DS$3,0,0,'Données projet'!$E$14+1,1))-AVERAGE(OFFSET($H$3,0,0,'Données projet'!$E$14+1,1))</f>
        <v>404.20764079465965</v>
      </c>
      <c r="DU167" s="62">
        <f t="shared" si="152"/>
        <v>243.23852967152732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1.3637115619924575E-19</v>
      </c>
      <c r="ED167" s="24">
        <f t="shared" si="178"/>
        <v>1.3637115619924575E-19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439.06700232017681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0.21623687737880234</v>
      </c>
      <c r="AB168" s="23">
        <f>EXP(-LN(2)/2)*AB167+(1-EXP(-LN(2)/2))/(LN(2)/2)*V168*Y168*VLOOKUP('Données projet'!$B$9,Paramètres!$A$1:$I$89,3,0)*0.475*44/12</f>
        <v>7.1440810333540468E-20</v>
      </c>
      <c r="AC168" s="24">
        <f t="shared" si="163"/>
        <v>0.21623687737880234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396.92963589781414</v>
      </c>
      <c r="AO168" s="62">
        <f t="shared" si="144"/>
        <v>294.38852181137639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4.4337866711430253E-14</v>
      </c>
      <c r="BF168" s="14">
        <f t="shared" si="167"/>
        <v>7.3222115536967035E-13</v>
      </c>
      <c r="BG168" s="22">
        <f t="shared" si="168"/>
        <v>1.3525069634579169E-12</v>
      </c>
      <c r="BH168" s="62">
        <f t="shared" si="116"/>
        <v>293.33333333333468</v>
      </c>
      <c r="BI168" s="62">
        <f ca="1">AVERAGE(OFFSET($BH$3,0,0,'Données projet'!$E$11+1,1))-AVERAGE(OFFSET($H$3,0,0,'Données projet'!$E$11+1,1))</f>
        <v>288.82868507674738</v>
      </c>
      <c r="BJ168" s="62">
        <f t="shared" si="146"/>
        <v>283.48738729114024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0.1644684448606456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0.1644684448606456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405.09126081846171</v>
      </c>
      <c r="CE168" s="62">
        <f t="shared" si="148"/>
        <v>534.22295841722166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0.16603306146795491</v>
      </c>
      <c r="CL168" s="23">
        <f>EXP(-LN(2)/25)*CL167+(1-EXP(-LN(2)/25))/(LN(2)/25)*Calculateur!CG168*Calculateur!CI168*VLOOKUP('Données projet'!$B$12,Paramètres!$A$1:$I$89,3,0)*0.475*44/12</f>
        <v>0.20644806485424055</v>
      </c>
      <c r="CM168" s="23">
        <f>EXP(-LN(2)/2)*CM167+(1-EXP(-LN(2)/2))/(LN(2)/2)*CG168*CJ168*VLOOKUP('Données projet'!$B$12,Paramètres!$A$1:$I$89,3,0)*0.475*44/12</f>
        <v>1.772680118876389E-21</v>
      </c>
      <c r="CN168" s="24">
        <f t="shared" si="172"/>
        <v>0.37248112632219543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466.4945858005575</v>
      </c>
      <c r="CZ168" s="62">
        <f t="shared" si="150"/>
        <v>294.45557293177131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0.23114976547389215</v>
      </c>
      <c r="DH168" s="23">
        <f>EXP(-LN(2)/2)*DH167+(1-EXP(-LN(2)/2))/(LN(2)/2)*DB168*DE168*VLOOKUP('Données projet'!$B$13,Paramètres!$A$1:$I$89,3,0)*0.475*44/12</f>
        <v>7.6367762770337056E-20</v>
      </c>
      <c r="DI168" s="24">
        <f t="shared" si="175"/>
        <v>0.23114976547389215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1.0818439477588981E-13</v>
      </c>
      <c r="DQ168" s="14">
        <f t="shared" si="176"/>
        <v>1.6104228458716316E-12</v>
      </c>
      <c r="DR168" s="22">
        <f t="shared" si="177"/>
        <v>2.9932409441277661E-12</v>
      </c>
      <c r="DS168" s="62">
        <f t="shared" si="125"/>
        <v>293.33333333333633</v>
      </c>
      <c r="DT168" s="62">
        <f ca="1">AVERAGE(OFFSET($DS$3,0,0,'Données projet'!$E$14+1,1))-AVERAGE(OFFSET($H$3,0,0,'Données projet'!$E$14+1,1))</f>
        <v>404.20764079465965</v>
      </c>
      <c r="DU168" s="62">
        <f t="shared" si="152"/>
        <v>243.23852967152732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9.6428969306736561E-20</v>
      </c>
      <c r="ED168" s="24">
        <f t="shared" si="178"/>
        <v>9.6428969306736561E-20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439.06700232017681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0.21032386859547583</v>
      </c>
      <c r="AB169" s="23">
        <f>EXP(-LN(2)/2)*AB168+(1-EXP(-LN(2)/2))/(LN(2)/2)*V169*Y169*VLOOKUP('Données projet'!$B$9,Paramètres!$A$1:$I$89,3,0)*0.475*44/12</f>
        <v>5.0516281440308444E-20</v>
      </c>
      <c r="AC169" s="24">
        <f t="shared" si="163"/>
        <v>0.21032386859547583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396.92963589781414</v>
      </c>
      <c r="AO169" s="62">
        <f t="shared" si="144"/>
        <v>294.38852181137639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4.4337866711430253E-14</v>
      </c>
      <c r="BF169" s="14">
        <f t="shared" si="167"/>
        <v>7.3222115536967035E-13</v>
      </c>
      <c r="BG169" s="22">
        <f t="shared" si="168"/>
        <v>1.3525069634579169E-12</v>
      </c>
      <c r="BH169" s="62">
        <f t="shared" si="116"/>
        <v>293.33333333333468</v>
      </c>
      <c r="BI169" s="62">
        <f ca="1">AVERAGE(OFFSET($BH$3,0,0,'Données projet'!$E$11+1,1))-AVERAGE(OFFSET($H$3,0,0,'Données projet'!$E$11+1,1))</f>
        <v>288.82868507674738</v>
      </c>
      <c r="BJ169" s="62">
        <f t="shared" si="146"/>
        <v>283.48738729114024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0.15997104658691164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0.15997104658691164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405.09126081846171</v>
      </c>
      <c r="CE169" s="62">
        <f t="shared" si="148"/>
        <v>534.22295841722166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0.16277725440273622</v>
      </c>
      <c r="CL169" s="23">
        <f>EXP(-LN(2)/25)*CL168+(1-EXP(-LN(2)/25))/(LN(2)/25)*Calculateur!CG169*Calculateur!CI169*VLOOKUP('Données projet'!$B$12,Paramètres!$A$1:$I$89,3,0)*0.475*44/12</f>
        <v>0.20080273166416945</v>
      </c>
      <c r="CM169" s="23">
        <f>EXP(-LN(2)/2)*CM168+(1-EXP(-LN(2)/2))/(LN(2)/2)*CG169*CJ169*VLOOKUP('Données projet'!$B$12,Paramètres!$A$1:$I$89,3,0)*0.475*44/12</f>
        <v>1.2534741329320699E-21</v>
      </c>
      <c r="CN169" s="24">
        <f t="shared" si="172"/>
        <v>0.36357998606690567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466.4945858005575</v>
      </c>
      <c r="CZ169" s="62">
        <f t="shared" si="150"/>
        <v>294.45557293177131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0.2248289629813707</v>
      </c>
      <c r="DH169" s="23">
        <f>EXP(-LN(2)/2)*DH168+(1-EXP(-LN(2)/2))/(LN(2)/2)*DB169*DE169*VLOOKUP('Données projet'!$B$13,Paramètres!$A$1:$I$89,3,0)*0.475*44/12</f>
        <v>5.4000162918950896E-20</v>
      </c>
      <c r="DI169" s="24">
        <f t="shared" si="175"/>
        <v>0.2248289629813707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1.0818439477588981E-13</v>
      </c>
      <c r="DQ169" s="14">
        <f t="shared" si="176"/>
        <v>1.6104228458716316E-12</v>
      </c>
      <c r="DR169" s="22">
        <f t="shared" si="177"/>
        <v>2.9932409441277661E-12</v>
      </c>
      <c r="DS169" s="62">
        <f t="shared" si="125"/>
        <v>293.33333333333633</v>
      </c>
      <c r="DT169" s="62">
        <f ca="1">AVERAGE(OFFSET($DS$3,0,0,'Données projet'!$E$14+1,1))-AVERAGE(OFFSET($H$3,0,0,'Données projet'!$E$14+1,1))</f>
        <v>404.20764079465965</v>
      </c>
      <c r="DU169" s="62">
        <f t="shared" si="152"/>
        <v>243.23852967152732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6.8185578099622876E-20</v>
      </c>
      <c r="ED169" s="24">
        <f t="shared" si="178"/>
        <v>6.8185578099622876E-20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439.06700232017681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0.20457255134828101</v>
      </c>
      <c r="AB170" s="23">
        <f>EXP(-LN(2)/2)*AB169+(1-EXP(-LN(2)/2))/(LN(2)/2)*V170*Y170*VLOOKUP('Données projet'!$B$9,Paramètres!$A$1:$I$89,3,0)*0.475*44/12</f>
        <v>3.5720405166770234E-20</v>
      </c>
      <c r="AC170" s="24">
        <f t="shared" si="163"/>
        <v>0.20457255134828101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396.92963589781414</v>
      </c>
      <c r="AO170" s="62">
        <f t="shared" si="144"/>
        <v>294.38852181137639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4.4337866711430253E-14</v>
      </c>
      <c r="BF170" s="14">
        <f t="shared" si="167"/>
        <v>7.3222115536967035E-13</v>
      </c>
      <c r="BG170" s="22">
        <f t="shared" si="168"/>
        <v>1.3525069634579169E-12</v>
      </c>
      <c r="BH170" s="62">
        <f t="shared" si="116"/>
        <v>293.33333333333468</v>
      </c>
      <c r="BI170" s="62">
        <f ca="1">AVERAGE(OFFSET($BH$3,0,0,'Données projet'!$E$11+1,1))-AVERAGE(OFFSET($H$3,0,0,'Données projet'!$E$11+1,1))</f>
        <v>288.82868507674738</v>
      </c>
      <c r="BJ170" s="62">
        <f t="shared" si="146"/>
        <v>283.48738729114024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0.15559662990548082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0.15559662990548082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405.09126081846171</v>
      </c>
      <c r="CE170" s="62">
        <f t="shared" si="148"/>
        <v>534.22295841722166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0.15958529172822022</v>
      </c>
      <c r="CL170" s="23">
        <f>EXP(-LN(2)/25)*CL169+(1-EXP(-LN(2)/25))/(LN(2)/25)*Calculateur!CG170*Calculateur!CI170*VLOOKUP('Données projet'!$B$12,Paramètres!$A$1:$I$89,3,0)*0.475*44/12</f>
        <v>0.19531177040705602</v>
      </c>
      <c r="CM170" s="23">
        <f>EXP(-LN(2)/2)*CM169+(1-EXP(-LN(2)/2))/(LN(2)/2)*CG170*CJ170*VLOOKUP('Données projet'!$B$12,Paramètres!$A$1:$I$89,3,0)*0.475*44/12</f>
        <v>8.8634005943819451E-22</v>
      </c>
      <c r="CN170" s="24">
        <f t="shared" si="172"/>
        <v>0.35489706213527628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466.4945858005575</v>
      </c>
      <c r="CZ170" s="62">
        <f t="shared" si="150"/>
        <v>294.45557293177131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0.21868100316540381</v>
      </c>
      <c r="DH170" s="23">
        <f>EXP(-LN(2)/2)*DH169+(1-EXP(-LN(2)/2))/(LN(2)/2)*DB170*DE170*VLOOKUP('Données projet'!$B$13,Paramètres!$A$1:$I$89,3,0)*0.475*44/12</f>
        <v>3.8183881385168534E-20</v>
      </c>
      <c r="DI170" s="24">
        <f t="shared" si="175"/>
        <v>0.21868100316540381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1.0818439477588981E-13</v>
      </c>
      <c r="DQ170" s="14">
        <f t="shared" si="176"/>
        <v>1.6104228458716316E-12</v>
      </c>
      <c r="DR170" s="22">
        <f t="shared" si="177"/>
        <v>2.9932409441277661E-12</v>
      </c>
      <c r="DS170" s="62">
        <f t="shared" si="125"/>
        <v>293.33333333333633</v>
      </c>
      <c r="DT170" s="62">
        <f ca="1">AVERAGE(OFFSET($DS$3,0,0,'Données projet'!$E$14+1,1))-AVERAGE(OFFSET($H$3,0,0,'Données projet'!$E$14+1,1))</f>
        <v>404.20764079465965</v>
      </c>
      <c r="DU170" s="62">
        <f t="shared" si="152"/>
        <v>243.23852967152732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4.8214484653368281E-20</v>
      </c>
      <c r="ED170" s="24">
        <f t="shared" si="178"/>
        <v>4.8214484653368281E-20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439.06700232017681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0.19897850417365934</v>
      </c>
      <c r="AB171" s="23">
        <f>EXP(-LN(2)/2)*AB170+(1-EXP(-LN(2)/2))/(LN(2)/2)*V171*Y171*VLOOKUP('Données projet'!$B$9,Paramètres!$A$1:$I$89,3,0)*0.475*44/12</f>
        <v>2.5258140720154222E-20</v>
      </c>
      <c r="AC171" s="24">
        <f t="shared" si="163"/>
        <v>0.19897850417365934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396.92963589781414</v>
      </c>
      <c r="AO171" s="62">
        <f t="shared" si="144"/>
        <v>294.38852181137639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4.4337866711430253E-14</v>
      </c>
      <c r="BF171" s="14">
        <f t="shared" si="167"/>
        <v>7.3222115536967035E-13</v>
      </c>
      <c r="BG171" s="22">
        <f t="shared" si="168"/>
        <v>1.3525069634579169E-12</v>
      </c>
      <c r="BH171" s="62">
        <f t="shared" si="116"/>
        <v>293.33333333333468</v>
      </c>
      <c r="BI171" s="62">
        <f ca="1">AVERAGE(OFFSET($BH$3,0,0,'Données projet'!$E$11+1,1))-AVERAGE(OFFSET($H$3,0,0,'Données projet'!$E$11+1,1))</f>
        <v>288.82868507674738</v>
      </c>
      <c r="BJ171" s="62">
        <f t="shared" si="146"/>
        <v>283.48738729114024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0.15134183187824429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0.15134183187824429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405.09126081846171</v>
      </c>
      <c r="CE171" s="62">
        <f t="shared" si="148"/>
        <v>534.22295841722166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0.15645592149484649</v>
      </c>
      <c r="CL171" s="23">
        <f>EXP(-LN(2)/25)*CL170+(1-EXP(-LN(2)/25))/(LN(2)/25)*Calculateur!CG171*Calculateur!CI171*VLOOKUP('Données projet'!$B$12,Paramètres!$A$1:$I$89,3,0)*0.475*44/12</f>
        <v>0.18997095977427547</v>
      </c>
      <c r="CM171" s="23">
        <f>EXP(-LN(2)/2)*CM170+(1-EXP(-LN(2)/2))/(LN(2)/2)*CG171*CJ171*VLOOKUP('Données projet'!$B$12,Paramètres!$A$1:$I$89,3,0)*0.475*44/12</f>
        <v>6.2673706646603495E-22</v>
      </c>
      <c r="CN171" s="24">
        <f t="shared" si="172"/>
        <v>0.34642688126912197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466.4945858005575</v>
      </c>
      <c r="CZ171" s="62">
        <f t="shared" si="150"/>
        <v>294.45557293177131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0.2127011596339117</v>
      </c>
      <c r="DH171" s="23">
        <f>EXP(-LN(2)/2)*DH170+(1-EXP(-LN(2)/2))/(LN(2)/2)*DB171*DE171*VLOOKUP('Données projet'!$B$13,Paramètres!$A$1:$I$89,3,0)*0.475*44/12</f>
        <v>2.7000081459475454E-20</v>
      </c>
      <c r="DI171" s="24">
        <f t="shared" si="175"/>
        <v>0.2127011596339117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1.0818439477588981E-13</v>
      </c>
      <c r="DQ171" s="14">
        <f t="shared" si="176"/>
        <v>1.6104228458716316E-12</v>
      </c>
      <c r="DR171" s="22">
        <f t="shared" si="177"/>
        <v>2.9932409441277661E-12</v>
      </c>
      <c r="DS171" s="62">
        <f t="shared" si="125"/>
        <v>293.33333333333633</v>
      </c>
      <c r="DT171" s="62">
        <f ca="1">AVERAGE(OFFSET($DS$3,0,0,'Données projet'!$E$14+1,1))-AVERAGE(OFFSET($H$3,0,0,'Données projet'!$E$14+1,1))</f>
        <v>404.20764079465965</v>
      </c>
      <c r="DU171" s="62">
        <f t="shared" si="152"/>
        <v>243.23852967152732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3.4092789049811438E-20</v>
      </c>
      <c r="ED171" s="24">
        <f t="shared" si="178"/>
        <v>3.4092789049811438E-20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439.06700232017681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0.19353742651320585</v>
      </c>
      <c r="AB172" s="23">
        <f>EXP(-LN(2)/2)*AB171+(1-EXP(-LN(2)/2))/(LN(2)/2)*V172*Y172*VLOOKUP('Données projet'!$B$9,Paramètres!$A$1:$I$89,3,0)*0.475*44/12</f>
        <v>1.7860202583385117E-20</v>
      </c>
      <c r="AC172" s="24">
        <f t="shared" si="163"/>
        <v>0.19353742651320585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396.92963589781414</v>
      </c>
      <c r="AO172" s="62">
        <f t="shared" si="144"/>
        <v>294.38852181137639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4.4337866711430253E-14</v>
      </c>
      <c r="BF172" s="14">
        <f t="shared" si="167"/>
        <v>7.3222115536967035E-13</v>
      </c>
      <c r="BG172" s="22">
        <f t="shared" si="168"/>
        <v>1.3525069634579169E-12</v>
      </c>
      <c r="BH172" s="62">
        <f t="shared" si="116"/>
        <v>293.33333333333468</v>
      </c>
      <c r="BI172" s="62">
        <f ca="1">AVERAGE(OFFSET($BH$3,0,0,'Données projet'!$E$11+1,1))-AVERAGE(OFFSET($H$3,0,0,'Données projet'!$E$11+1,1))</f>
        <v>288.82868507674738</v>
      </c>
      <c r="BJ172" s="62">
        <f t="shared" si="146"/>
        <v>283.48738729114024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0.14720338152681267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0.14720338152681267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405.09126081846171</v>
      </c>
      <c r="CE172" s="62">
        <f t="shared" si="148"/>
        <v>534.22295841722166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0.15338791630302187</v>
      </c>
      <c r="CL172" s="23">
        <f>EXP(-LN(2)/25)*CL171+(1-EXP(-LN(2)/25))/(LN(2)/25)*Calculateur!CG172*Calculateur!CI172*VLOOKUP('Données projet'!$B$12,Paramètres!$A$1:$I$89,3,0)*0.475*44/12</f>
        <v>0.18477619388910932</v>
      </c>
      <c r="CM172" s="23">
        <f>EXP(-LN(2)/2)*CM171+(1-EXP(-LN(2)/2))/(LN(2)/2)*CG172*CJ172*VLOOKUP('Données projet'!$B$12,Paramètres!$A$1:$I$89,3,0)*0.475*44/12</f>
        <v>4.4317002971909726E-22</v>
      </c>
      <c r="CN172" s="24">
        <f t="shared" si="172"/>
        <v>0.33816411019213122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466.4945858005575</v>
      </c>
      <c r="CZ172" s="62">
        <f t="shared" si="150"/>
        <v>294.45557293177131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0.20688483523825454</v>
      </c>
      <c r="DH172" s="23">
        <f>EXP(-LN(2)/2)*DH171+(1-EXP(-LN(2)/2))/(LN(2)/2)*DB172*DE172*VLOOKUP('Données projet'!$B$13,Paramètres!$A$1:$I$89,3,0)*0.475*44/12</f>
        <v>1.909194069258427E-20</v>
      </c>
      <c r="DI172" s="24">
        <f t="shared" si="175"/>
        <v>0.20688483523825454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1.0818439477588981E-13</v>
      </c>
      <c r="DQ172" s="14">
        <f t="shared" si="176"/>
        <v>1.6104228458716316E-12</v>
      </c>
      <c r="DR172" s="22">
        <f t="shared" si="177"/>
        <v>2.9932409441277661E-12</v>
      </c>
      <c r="DS172" s="62">
        <f t="shared" si="125"/>
        <v>293.33333333333633</v>
      </c>
      <c r="DT172" s="62">
        <f ca="1">AVERAGE(OFFSET($DS$3,0,0,'Données projet'!$E$14+1,1))-AVERAGE(OFFSET($H$3,0,0,'Données projet'!$E$14+1,1))</f>
        <v>404.20764079465965</v>
      </c>
      <c r="DU172" s="62">
        <f t="shared" si="152"/>
        <v>243.23852967152732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2.410724232668414E-20</v>
      </c>
      <c r="ED172" s="24">
        <f t="shared" si="178"/>
        <v>2.410724232668414E-20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439.06700232017681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0.18824513540751131</v>
      </c>
      <c r="AB173" s="23">
        <f>EXP(-LN(2)/2)*AB172+(1-EXP(-LN(2)/2))/(LN(2)/2)*V173*Y173*VLOOKUP('Données projet'!$B$9,Paramètres!$A$1:$I$89,3,0)*0.475*44/12</f>
        <v>1.2629070360077111E-20</v>
      </c>
      <c r="AC173" s="24">
        <f t="shared" si="163"/>
        <v>0.18824513540751131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396.92963589781414</v>
      </c>
      <c r="AO173" s="62">
        <f t="shared" si="144"/>
        <v>294.38852181137639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4.4337866711430253E-14</v>
      </c>
      <c r="BF173" s="14">
        <f t="shared" si="167"/>
        <v>7.3222115536967035E-13</v>
      </c>
      <c r="BG173" s="22">
        <f t="shared" si="168"/>
        <v>1.3525069634579169E-12</v>
      </c>
      <c r="BH173" s="62">
        <f t="shared" si="116"/>
        <v>293.33333333333468</v>
      </c>
      <c r="BI173" s="62">
        <f ca="1">AVERAGE(OFFSET($BH$3,0,0,'Données projet'!$E$11+1,1))-AVERAGE(OFFSET($H$3,0,0,'Données projet'!$E$11+1,1))</f>
        <v>288.82868507674738</v>
      </c>
      <c r="BJ173" s="62">
        <f t="shared" si="146"/>
        <v>283.48738729114024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0.14317809731787259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0.14317809731787259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405.09126081846171</v>
      </c>
      <c r="CE173" s="62">
        <f t="shared" si="148"/>
        <v>534.22295841722166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0.15038007282171054</v>
      </c>
      <c r="CL173" s="23">
        <f>EXP(-LN(2)/25)*CL172+(1-EXP(-LN(2)/25))/(LN(2)/25)*Calculateur!CG173*Calculateur!CI173*VLOOKUP('Données projet'!$B$12,Paramètres!$A$1:$I$89,3,0)*0.475*44/12</f>
        <v>0.17972347915025391</v>
      </c>
      <c r="CM173" s="23">
        <f>EXP(-LN(2)/2)*CM172+(1-EXP(-LN(2)/2))/(LN(2)/2)*CG173*CJ173*VLOOKUP('Données projet'!$B$12,Paramètres!$A$1:$I$89,3,0)*0.475*44/12</f>
        <v>3.1336853323301748E-22</v>
      </c>
      <c r="CN173" s="24">
        <f t="shared" si="172"/>
        <v>0.33010355197196445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466.4945858005575</v>
      </c>
      <c r="CZ173" s="62">
        <f t="shared" si="150"/>
        <v>294.45557293177131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0.20122755853906382</v>
      </c>
      <c r="DH173" s="23">
        <f>EXP(-LN(2)/2)*DH172+(1-EXP(-LN(2)/2))/(LN(2)/2)*DB173*DE173*VLOOKUP('Données projet'!$B$13,Paramètres!$A$1:$I$89,3,0)*0.475*44/12</f>
        <v>1.3500040729737729E-20</v>
      </c>
      <c r="DI173" s="24">
        <f t="shared" si="175"/>
        <v>0.20122755853906382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1.0818439477588981E-13</v>
      </c>
      <c r="DQ173" s="14">
        <f t="shared" si="176"/>
        <v>1.6104228458716316E-12</v>
      </c>
      <c r="DR173" s="22">
        <f t="shared" si="177"/>
        <v>2.9932409441277661E-12</v>
      </c>
      <c r="DS173" s="62">
        <f t="shared" si="125"/>
        <v>293.33333333333633</v>
      </c>
      <c r="DT173" s="62">
        <f ca="1">AVERAGE(OFFSET($DS$3,0,0,'Données projet'!$E$14+1,1))-AVERAGE(OFFSET($H$3,0,0,'Données projet'!$E$14+1,1))</f>
        <v>404.20764079465965</v>
      </c>
      <c r="DU173" s="62">
        <f t="shared" si="152"/>
        <v>243.23852967152732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1.7046394524905719E-20</v>
      </c>
      <c r="ED173" s="24">
        <f t="shared" si="178"/>
        <v>1.7046394524905719E-20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439.06700232017681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0.18309756228041149</v>
      </c>
      <c r="AB174" s="23">
        <f>EXP(-LN(2)/2)*AB173+(1-EXP(-LN(2)/2))/(LN(2)/2)*V174*Y174*VLOOKUP('Données projet'!$B$9,Paramètres!$A$1:$I$89,3,0)*0.475*44/12</f>
        <v>8.9301012916925585E-21</v>
      </c>
      <c r="AC174" s="24">
        <f t="shared" si="163"/>
        <v>0.18309756228041149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396.92963589781414</v>
      </c>
      <c r="AO174" s="62">
        <f t="shared" si="144"/>
        <v>294.38852181137639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4.4337866711430253E-14</v>
      </c>
      <c r="BF174" s="14">
        <f t="shared" si="167"/>
        <v>7.3222115536967035E-13</v>
      </c>
      <c r="BG174" s="22">
        <f t="shared" si="168"/>
        <v>1.3525069634579169E-12</v>
      </c>
      <c r="BH174" s="62">
        <f t="shared" si="116"/>
        <v>293.33333333333468</v>
      </c>
      <c r="BI174" s="62">
        <f ca="1">AVERAGE(OFFSET($BH$3,0,0,'Données projet'!$E$11+1,1))-AVERAGE(OFFSET($H$3,0,0,'Données projet'!$E$11+1,1))</f>
        <v>288.82868507674738</v>
      </c>
      <c r="BJ174" s="62">
        <f t="shared" si="146"/>
        <v>283.48738729114024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0.13926288471730647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0.13926288471730647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405.09126081846171</v>
      </c>
      <c r="CE174" s="62">
        <f t="shared" si="148"/>
        <v>534.22295841722166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0.14743121131646433</v>
      </c>
      <c r="CL174" s="23">
        <f>EXP(-LN(2)/25)*CL173+(1-EXP(-LN(2)/25))/(LN(2)/25)*Calculateur!CG174*Calculateur!CI174*VLOOKUP('Données projet'!$B$12,Paramètres!$A$1:$I$89,3,0)*0.475*44/12</f>
        <v>0.17480893116164323</v>
      </c>
      <c r="CM174" s="23">
        <f>EXP(-LN(2)/2)*CM173+(1-EXP(-LN(2)/2))/(LN(2)/2)*CG174*CJ174*VLOOKUP('Données projet'!$B$12,Paramètres!$A$1:$I$89,3,0)*0.475*44/12</f>
        <v>2.2158501485954863E-22</v>
      </c>
      <c r="CN174" s="24">
        <f t="shared" si="172"/>
        <v>0.32224014247810756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466.4945858005575</v>
      </c>
      <c r="CZ174" s="62">
        <f t="shared" si="150"/>
        <v>294.45557293177131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0.19572498036871572</v>
      </c>
      <c r="DH174" s="23">
        <f>EXP(-LN(2)/2)*DH173+(1-EXP(-LN(2)/2))/(LN(2)/2)*DB174*DE174*VLOOKUP('Données projet'!$B$13,Paramètres!$A$1:$I$89,3,0)*0.475*44/12</f>
        <v>9.5459703462921366E-21</v>
      </c>
      <c r="DI174" s="24">
        <f t="shared" si="175"/>
        <v>0.19572498036871572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1.0818439477588981E-13</v>
      </c>
      <c r="DQ174" s="14">
        <f t="shared" si="176"/>
        <v>1.6104228458716316E-12</v>
      </c>
      <c r="DR174" s="22">
        <f t="shared" si="177"/>
        <v>2.9932409441277661E-12</v>
      </c>
      <c r="DS174" s="62">
        <f t="shared" si="125"/>
        <v>293.33333333333633</v>
      </c>
      <c r="DT174" s="62">
        <f ca="1">AVERAGE(OFFSET($DS$3,0,0,'Données projet'!$E$14+1,1))-AVERAGE(OFFSET($H$3,0,0,'Données projet'!$E$14+1,1))</f>
        <v>404.20764079465965</v>
      </c>
      <c r="DU174" s="62">
        <f t="shared" si="152"/>
        <v>243.23852967152732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1.205362116334207E-20</v>
      </c>
      <c r="ED174" s="24">
        <f t="shared" si="178"/>
        <v>1.205362116334207E-20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439.06700232017681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0.17809074981117132</v>
      </c>
      <c r="AB175" s="23">
        <f>EXP(-LN(2)/2)*AB174+(1-EXP(-LN(2)/2))/(LN(2)/2)*V175*Y175*VLOOKUP('Données projet'!$B$9,Paramètres!$A$1:$I$89,3,0)*0.475*44/12</f>
        <v>6.3145351800385555E-21</v>
      </c>
      <c r="AC175" s="24">
        <f t="shared" si="163"/>
        <v>0.17809074981117132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396.92963589781414</v>
      </c>
      <c r="AO175" s="62">
        <f t="shared" si="144"/>
        <v>294.38852181137639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4.4337866711430253E-14</v>
      </c>
      <c r="BF175" s="14">
        <f t="shared" si="167"/>
        <v>7.3222115536967035E-13</v>
      </c>
      <c r="BG175" s="22">
        <f t="shared" si="168"/>
        <v>1.3525069634579169E-12</v>
      </c>
      <c r="BH175" s="62">
        <f t="shared" si="116"/>
        <v>293.33333333333468</v>
      </c>
      <c r="BI175" s="62">
        <f ca="1">AVERAGE(OFFSET($BH$3,0,0,'Données projet'!$E$11+1,1))-AVERAGE(OFFSET($H$3,0,0,'Données projet'!$E$11+1,1))</f>
        <v>288.82868507674738</v>
      </c>
      <c r="BJ175" s="62">
        <f t="shared" si="146"/>
        <v>283.48738729114024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0.13545473381119491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0.13545473381119491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405.09126081846171</v>
      </c>
      <c r="CE175" s="62">
        <f t="shared" si="148"/>
        <v>534.22295841722166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0.14454017518670809</v>
      </c>
      <c r="CL175" s="23">
        <f>EXP(-LN(2)/25)*CL174+(1-EXP(-LN(2)/25))/(LN(2)/25)*Calculateur!CG175*Calculateur!CI175*VLOOKUP('Données projet'!$B$12,Paramètres!$A$1:$I$89,3,0)*0.475*44/12</f>
        <v>0.17002877174622594</v>
      </c>
      <c r="CM175" s="23">
        <f>EXP(-LN(2)/2)*CM174+(1-EXP(-LN(2)/2))/(LN(2)/2)*CG175*CJ175*VLOOKUP('Données projet'!$B$12,Paramètres!$A$1:$I$89,3,0)*0.475*44/12</f>
        <v>1.5668426661650874E-22</v>
      </c>
      <c r="CN175" s="24">
        <f t="shared" si="172"/>
        <v>0.31456894693293402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466.4945858005575</v>
      </c>
      <c r="CZ175" s="62">
        <f t="shared" si="150"/>
        <v>294.45557293177131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0.1903728704878038</v>
      </c>
      <c r="DH175" s="23">
        <f>EXP(-LN(2)/2)*DH174+(1-EXP(-LN(2)/2))/(LN(2)/2)*DB175*DE175*VLOOKUP('Données projet'!$B$13,Paramètres!$A$1:$I$89,3,0)*0.475*44/12</f>
        <v>6.7500203648688658E-21</v>
      </c>
      <c r="DI175" s="24">
        <f t="shared" si="175"/>
        <v>0.1903728704878038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1.0818439477588981E-13</v>
      </c>
      <c r="DQ175" s="14">
        <f t="shared" si="176"/>
        <v>1.6104228458716316E-12</v>
      </c>
      <c r="DR175" s="22">
        <f t="shared" si="177"/>
        <v>2.9932409441277661E-12</v>
      </c>
      <c r="DS175" s="62">
        <f t="shared" si="125"/>
        <v>293.33333333333633</v>
      </c>
      <c r="DT175" s="62">
        <f ca="1">AVERAGE(OFFSET($DS$3,0,0,'Données projet'!$E$14+1,1))-AVERAGE(OFFSET($H$3,0,0,'Données projet'!$E$14+1,1))</f>
        <v>404.20764079465965</v>
      </c>
      <c r="DU175" s="62">
        <f t="shared" si="152"/>
        <v>243.23852967152732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8.5231972624528595E-21</v>
      </c>
      <c r="ED175" s="24">
        <f t="shared" si="178"/>
        <v>8.5231972624528595E-21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439.06700232017681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0.17322084889219933</v>
      </c>
      <c r="AB176" s="23">
        <f>EXP(-LN(2)/2)*AB175+(1-EXP(-LN(2)/2))/(LN(2)/2)*V176*Y176*VLOOKUP('Données projet'!$B$9,Paramètres!$A$1:$I$89,3,0)*0.475*44/12</f>
        <v>4.4650506458462793E-21</v>
      </c>
      <c r="AC176" s="24">
        <f t="shared" si="163"/>
        <v>0.17322084889219933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396.92963589781414</v>
      </c>
      <c r="AO176" s="62">
        <f t="shared" si="144"/>
        <v>294.38852181137639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4.4337866711430253E-14</v>
      </c>
      <c r="BF176" s="14">
        <f t="shared" si="167"/>
        <v>7.3222115536967035E-13</v>
      </c>
      <c r="BG176" s="22">
        <f t="shared" si="168"/>
        <v>1.3525069634579169E-12</v>
      </c>
      <c r="BH176" s="62">
        <f t="shared" si="116"/>
        <v>293.33333333333468</v>
      </c>
      <c r="BI176" s="62">
        <f ca="1">AVERAGE(OFFSET($BH$3,0,0,'Données projet'!$E$11+1,1))-AVERAGE(OFFSET($H$3,0,0,'Données projet'!$E$11+1,1))</f>
        <v>288.82868507674738</v>
      </c>
      <c r="BJ176" s="62">
        <f t="shared" si="146"/>
        <v>283.48738729114024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0.13175071699187291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0.13175071699187291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405.09126081846171</v>
      </c>
      <c r="CE176" s="62">
        <f t="shared" si="148"/>
        <v>534.22295841722166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0.14170583051209845</v>
      </c>
      <c r="CL176" s="23">
        <f>EXP(-LN(2)/25)*CL175+(1-EXP(-LN(2)/25))/(LN(2)/25)*Calculateur!CG176*Calculateur!CI176*VLOOKUP('Données projet'!$B$12,Paramètres!$A$1:$I$89,3,0)*0.475*44/12</f>
        <v>0.16537932604140088</v>
      </c>
      <c r="CM176" s="23">
        <f>EXP(-LN(2)/2)*CM175+(1-EXP(-LN(2)/2))/(LN(2)/2)*CG176*CJ176*VLOOKUP('Données projet'!$B$12,Paramètres!$A$1:$I$89,3,0)*0.475*44/12</f>
        <v>1.1079250742977431E-22</v>
      </c>
      <c r="CN176" s="24">
        <f t="shared" si="172"/>
        <v>0.30708515655349933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466.4945858005575</v>
      </c>
      <c r="CZ176" s="62">
        <f t="shared" si="150"/>
        <v>294.45557293177131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0.18516711433304064</v>
      </c>
      <c r="DH176" s="23">
        <f>EXP(-LN(2)/2)*DH175+(1-EXP(-LN(2)/2))/(LN(2)/2)*DB176*DE176*VLOOKUP('Données projet'!$B$13,Paramètres!$A$1:$I$89,3,0)*0.475*44/12</f>
        <v>4.772985173146069E-21</v>
      </c>
      <c r="DI176" s="24">
        <f t="shared" si="175"/>
        <v>0.18516711433304064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1.0818439477588981E-13</v>
      </c>
      <c r="DQ176" s="14">
        <f t="shared" si="176"/>
        <v>1.6104228458716316E-12</v>
      </c>
      <c r="DR176" s="22">
        <f t="shared" si="177"/>
        <v>2.9932409441277661E-12</v>
      </c>
      <c r="DS176" s="62">
        <f t="shared" si="125"/>
        <v>293.33333333333633</v>
      </c>
      <c r="DT176" s="62">
        <f ca="1">AVERAGE(OFFSET($DS$3,0,0,'Données projet'!$E$14+1,1))-AVERAGE(OFFSET($H$3,0,0,'Données projet'!$E$14+1,1))</f>
        <v>404.20764079465965</v>
      </c>
      <c r="DU176" s="62">
        <f t="shared" si="152"/>
        <v>243.23852967152732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6.0268105816710351E-21</v>
      </c>
      <c r="ED176" s="24">
        <f t="shared" si="178"/>
        <v>6.0268105816710351E-21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439.06700232017681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0.16848411566995358</v>
      </c>
      <c r="AB177" s="23">
        <f>EXP(-LN(2)/2)*AB176+(1-EXP(-LN(2)/2))/(LN(2)/2)*V177*Y177*VLOOKUP('Données projet'!$B$9,Paramètres!$A$1:$I$89,3,0)*0.475*44/12</f>
        <v>3.1572675900192777E-21</v>
      </c>
      <c r="AC177" s="24">
        <f t="shared" si="163"/>
        <v>0.16848411566995358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396.92963589781414</v>
      </c>
      <c r="AO177" s="62">
        <f t="shared" si="144"/>
        <v>294.38852181137639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4.4337866711430253E-14</v>
      </c>
      <c r="BF177" s="14">
        <f t="shared" si="167"/>
        <v>7.3222115536967035E-13</v>
      </c>
      <c r="BG177" s="22">
        <f t="shared" si="168"/>
        <v>1.3525069634579169E-12</v>
      </c>
      <c r="BH177" s="62">
        <f t="shared" si="116"/>
        <v>293.33333333333468</v>
      </c>
      <c r="BI177" s="62">
        <f ca="1">AVERAGE(OFFSET($BH$3,0,0,'Données projet'!$E$11+1,1))-AVERAGE(OFFSET($H$3,0,0,'Données projet'!$E$11+1,1))</f>
        <v>288.82868507674738</v>
      </c>
      <c r="BJ177" s="62">
        <f t="shared" si="146"/>
        <v>283.48738729114024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0.12814798670726105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0.12814798670726105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405.09126081846171</v>
      </c>
      <c r="CE177" s="62">
        <f t="shared" si="148"/>
        <v>534.22295841722166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0.13892706560777837</v>
      </c>
      <c r="CL177" s="23">
        <f>EXP(-LN(2)/25)*CL176+(1-EXP(-LN(2)/25))/(LN(2)/25)*Calculateur!CG177*Calculateur!CI177*VLOOKUP('Données projet'!$B$12,Paramètres!$A$1:$I$89,3,0)*0.475*44/12</f>
        <v>0.160857019673878</v>
      </c>
      <c r="CM177" s="23">
        <f>EXP(-LN(2)/2)*CM176+(1-EXP(-LN(2)/2))/(LN(2)/2)*CG177*CJ177*VLOOKUP('Données projet'!$B$12,Paramètres!$A$1:$I$89,3,0)*0.475*44/12</f>
        <v>7.8342133308254369E-23</v>
      </c>
      <c r="CN177" s="24">
        <f t="shared" si="172"/>
        <v>0.29978408528165634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466.4945858005575</v>
      </c>
      <c r="CZ177" s="62">
        <f t="shared" si="150"/>
        <v>294.45557293177131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0.1801037098540883</v>
      </c>
      <c r="DH177" s="23">
        <f>EXP(-LN(2)/2)*DH176+(1-EXP(-LN(2)/2))/(LN(2)/2)*DB177*DE177*VLOOKUP('Données projet'!$B$13,Paramètres!$A$1:$I$89,3,0)*0.475*44/12</f>
        <v>3.3750101824344333E-21</v>
      </c>
      <c r="DI177" s="24">
        <f t="shared" si="175"/>
        <v>0.1801037098540883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1.0818439477588981E-13</v>
      </c>
      <c r="DQ177" s="14">
        <f t="shared" si="176"/>
        <v>1.6104228458716316E-12</v>
      </c>
      <c r="DR177" s="22">
        <f t="shared" si="177"/>
        <v>2.9932409441277661E-12</v>
      </c>
      <c r="DS177" s="62">
        <f t="shared" si="125"/>
        <v>293.33333333333633</v>
      </c>
      <c r="DT177" s="62">
        <f ca="1">AVERAGE(OFFSET($DS$3,0,0,'Données projet'!$E$14+1,1))-AVERAGE(OFFSET($H$3,0,0,'Données projet'!$E$14+1,1))</f>
        <v>404.20764079465965</v>
      </c>
      <c r="DU177" s="62">
        <f t="shared" si="152"/>
        <v>243.23852967152732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4.2615986312264297E-21</v>
      </c>
      <c r="ED177" s="24">
        <f t="shared" si="178"/>
        <v>4.2615986312264297E-21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439.06700232017681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0.16387690866676413</v>
      </c>
      <c r="AB178" s="23">
        <f>EXP(-LN(2)/2)*AB177+(1-EXP(-LN(2)/2))/(LN(2)/2)*V178*Y178*VLOOKUP('Données projet'!$B$9,Paramètres!$A$1:$I$89,3,0)*0.475*44/12</f>
        <v>2.2325253229231396E-21</v>
      </c>
      <c r="AC178" s="24">
        <f t="shared" si="163"/>
        <v>0.16387690866676413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396.92963589781414</v>
      </c>
      <c r="AO178" s="62">
        <f t="shared" si="144"/>
        <v>294.38852181137639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4.4337866711430253E-14</v>
      </c>
      <c r="BF178" s="14">
        <f t="shared" si="167"/>
        <v>7.3222115536967035E-13</v>
      </c>
      <c r="BG178" s="22">
        <f t="shared" si="168"/>
        <v>1.3525069634579169E-12</v>
      </c>
      <c r="BH178" s="62">
        <f t="shared" si="116"/>
        <v>293.33333333333468</v>
      </c>
      <c r="BI178" s="62">
        <f ca="1">AVERAGE(OFFSET($BH$3,0,0,'Données projet'!$E$11+1,1))-AVERAGE(OFFSET($H$3,0,0,'Données projet'!$E$11+1,1))</f>
        <v>288.82868507674738</v>
      </c>
      <c r="BJ178" s="62">
        <f t="shared" si="146"/>
        <v>283.48738729114024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0.12464377327174125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0.12464377327174125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405.09126081846171</v>
      </c>
      <c r="CE178" s="62">
        <f t="shared" si="148"/>
        <v>534.22295841722166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0.13620279058835277</v>
      </c>
      <c r="CL178" s="23">
        <f>EXP(-LN(2)/25)*CL177+(1-EXP(-LN(2)/25))/(LN(2)/25)*Calculateur!CG178*Calculateur!CI178*VLOOKUP('Données projet'!$B$12,Paramètres!$A$1:$I$89,3,0)*0.475*44/12</f>
        <v>0.15645837601179277</v>
      </c>
      <c r="CM178" s="23">
        <f>EXP(-LN(2)/2)*CM177+(1-EXP(-LN(2)/2))/(LN(2)/2)*CG178*CJ178*VLOOKUP('Données projet'!$B$12,Paramètres!$A$1:$I$89,3,0)*0.475*44/12</f>
        <v>5.5396253714887157E-23</v>
      </c>
      <c r="CN178" s="24">
        <f t="shared" si="172"/>
        <v>0.29266116660014552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466.4945858005575</v>
      </c>
      <c r="CZ178" s="62">
        <f t="shared" si="150"/>
        <v>294.45557293177131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0.17517876443688579</v>
      </c>
      <c r="DH178" s="23">
        <f>EXP(-LN(2)/2)*DH177+(1-EXP(-LN(2)/2))/(LN(2)/2)*DB178*DE178*VLOOKUP('Données projet'!$B$13,Paramètres!$A$1:$I$89,3,0)*0.475*44/12</f>
        <v>2.3864925865730349E-21</v>
      </c>
      <c r="DI178" s="24">
        <f t="shared" si="175"/>
        <v>0.17517876443688579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1.0818439477588981E-13</v>
      </c>
      <c r="DQ178" s="14">
        <f t="shared" si="176"/>
        <v>1.6104228458716316E-12</v>
      </c>
      <c r="DR178" s="22">
        <f t="shared" si="177"/>
        <v>2.9932409441277661E-12</v>
      </c>
      <c r="DS178" s="62">
        <f t="shared" si="125"/>
        <v>293.33333333333633</v>
      </c>
      <c r="DT178" s="62">
        <f ca="1">AVERAGE(OFFSET($DS$3,0,0,'Données projet'!$E$14+1,1))-AVERAGE(OFFSET($H$3,0,0,'Données projet'!$E$14+1,1))</f>
        <v>404.20764079465965</v>
      </c>
      <c r="DU178" s="62">
        <f t="shared" si="152"/>
        <v>243.23852967152732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3.0134052908355175E-21</v>
      </c>
      <c r="ED178" s="24">
        <f t="shared" si="178"/>
        <v>3.0134052908355175E-21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439.06700232017681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0.15939568598135939</v>
      </c>
      <c r="AB179" s="23">
        <f>EXP(-LN(2)/2)*AB178+(1-EXP(-LN(2)/2))/(LN(2)/2)*V179*Y179*VLOOKUP('Données projet'!$B$9,Paramètres!$A$1:$I$89,3,0)*0.475*44/12</f>
        <v>1.5786337950096389E-21</v>
      </c>
      <c r="AC179" s="24">
        <f t="shared" si="163"/>
        <v>0.15939568598135939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396.92963589781414</v>
      </c>
      <c r="AO179" s="62">
        <f t="shared" si="144"/>
        <v>294.38852181137639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4.4337866711430253E-14</v>
      </c>
      <c r="BF179" s="14">
        <f t="shared" si="167"/>
        <v>7.3222115536967035E-13</v>
      </c>
      <c r="BG179" s="22">
        <f t="shared" si="168"/>
        <v>1.3525069634579169E-12</v>
      </c>
      <c r="BH179" s="62">
        <f t="shared" si="116"/>
        <v>293.33333333333468</v>
      </c>
      <c r="BI179" s="62">
        <f ca="1">AVERAGE(OFFSET($BH$3,0,0,'Données projet'!$E$11+1,1))-AVERAGE(OFFSET($H$3,0,0,'Données projet'!$E$11+1,1))</f>
        <v>288.82868507674738</v>
      </c>
      <c r="BJ179" s="62">
        <f t="shared" si="146"/>
        <v>283.48738729114024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0.12123538273689433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0.12123538273689433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405.09126081846171</v>
      </c>
      <c r="CE179" s="62">
        <f t="shared" si="148"/>
        <v>534.22295841722166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0.1335319369404144</v>
      </c>
      <c r="CL179" s="23">
        <f>EXP(-LN(2)/25)*CL178+(1-EXP(-LN(2)/25))/(LN(2)/25)*Calculateur!CG179*Calculateur!CI179*VLOOKUP('Données projet'!$B$12,Paramètres!$A$1:$I$89,3,0)*0.475*44/12</f>
        <v>0.15218001349196189</v>
      </c>
      <c r="CM179" s="23">
        <f>EXP(-LN(2)/2)*CM178+(1-EXP(-LN(2)/2))/(LN(2)/2)*CG179*CJ179*VLOOKUP('Données projet'!$B$12,Paramètres!$A$1:$I$89,3,0)*0.475*44/12</f>
        <v>3.9171066654127185E-23</v>
      </c>
      <c r="CN179" s="24">
        <f t="shared" si="172"/>
        <v>0.28571195043237629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466.4945858005575</v>
      </c>
      <c r="CZ179" s="62">
        <f t="shared" si="150"/>
        <v>294.45557293177131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0.1703884919111083</v>
      </c>
      <c r="DH179" s="23">
        <f>EXP(-LN(2)/2)*DH178+(1-EXP(-LN(2)/2))/(LN(2)/2)*DB179*DE179*VLOOKUP('Données projet'!$B$13,Paramètres!$A$1:$I$89,3,0)*0.475*44/12</f>
        <v>1.687505091217217E-21</v>
      </c>
      <c r="DI179" s="24">
        <f t="shared" si="175"/>
        <v>0.1703884919111083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1.0818439477588981E-13</v>
      </c>
      <c r="DQ179" s="14">
        <f t="shared" si="176"/>
        <v>1.6104228458716316E-12</v>
      </c>
      <c r="DR179" s="22">
        <f t="shared" si="177"/>
        <v>2.9932409441277661E-12</v>
      </c>
      <c r="DS179" s="62">
        <f t="shared" si="125"/>
        <v>293.33333333333633</v>
      </c>
      <c r="DT179" s="62">
        <f ca="1">AVERAGE(OFFSET($DS$3,0,0,'Données projet'!$E$14+1,1))-AVERAGE(OFFSET($H$3,0,0,'Données projet'!$E$14+1,1))</f>
        <v>404.20764079465965</v>
      </c>
      <c r="DU179" s="62">
        <f t="shared" si="152"/>
        <v>243.23852967152732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2.1307993156132149E-21</v>
      </c>
      <c r="ED179" s="24">
        <f t="shared" si="178"/>
        <v>2.1307993156132149E-21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439.06700232017681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0.1550370025659443</v>
      </c>
      <c r="AB180" s="23">
        <f>EXP(-LN(2)/2)*AB179+(1-EXP(-LN(2)/2))/(LN(2)/2)*V180*Y180*VLOOKUP('Données projet'!$B$9,Paramètres!$A$1:$I$89,3,0)*0.475*44/12</f>
        <v>1.1162626614615698E-21</v>
      </c>
      <c r="AC180" s="24">
        <f t="shared" si="163"/>
        <v>0.1550370025659443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396.92963589781414</v>
      </c>
      <c r="AO180" s="62">
        <f t="shared" si="144"/>
        <v>294.38852181137639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4.4337866711430253E-14</v>
      </c>
      <c r="BF180" s="14">
        <f t="shared" si="167"/>
        <v>7.3222115536967035E-13</v>
      </c>
      <c r="BG180" s="22">
        <f t="shared" si="168"/>
        <v>1.3525069634579169E-12</v>
      </c>
      <c r="BH180" s="62">
        <f t="shared" si="116"/>
        <v>293.33333333333468</v>
      </c>
      <c r="BI180" s="62">
        <f ca="1">AVERAGE(OFFSET($BH$3,0,0,'Données projet'!$E$11+1,1))-AVERAGE(OFFSET($H$3,0,0,'Données projet'!$E$11+1,1))</f>
        <v>288.82868507674738</v>
      </c>
      <c r="BJ180" s="62">
        <f t="shared" si="146"/>
        <v>283.48738729114024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0.11792019482046226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0.11792019482046226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405.09126081846171</v>
      </c>
      <c r="CE180" s="62">
        <f t="shared" si="148"/>
        <v>534.22295841722166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0.13091345710345223</v>
      </c>
      <c r="CL180" s="23">
        <f>EXP(-LN(2)/25)*CL179+(1-EXP(-LN(2)/25))/(LN(2)/25)*Calculateur!CG180*Calculateur!CI180*VLOOKUP('Données projet'!$B$12,Paramètres!$A$1:$I$89,3,0)*0.475*44/12</f>
        <v>0.1480186430202251</v>
      </c>
      <c r="CM180" s="23">
        <f>EXP(-LN(2)/2)*CM179+(1-EXP(-LN(2)/2))/(LN(2)/2)*CG180*CJ180*VLOOKUP('Données projet'!$B$12,Paramètres!$A$1:$I$89,3,0)*0.475*44/12</f>
        <v>2.7698126857443579E-23</v>
      </c>
      <c r="CN180" s="24">
        <f t="shared" si="172"/>
        <v>0.27893210012367731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466.4945858005575</v>
      </c>
      <c r="CZ180" s="62">
        <f t="shared" si="150"/>
        <v>294.45557293177131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0.1657292096394577</v>
      </c>
      <c r="DH180" s="23">
        <f>EXP(-LN(2)/2)*DH179+(1-EXP(-LN(2)/2))/(LN(2)/2)*DB180*DE180*VLOOKUP('Données projet'!$B$13,Paramètres!$A$1:$I$89,3,0)*0.475*44/12</f>
        <v>1.1932462932865176E-21</v>
      </c>
      <c r="DI180" s="24">
        <f t="shared" si="175"/>
        <v>0.1657292096394577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1.0818439477588981E-13</v>
      </c>
      <c r="DQ180" s="14">
        <f t="shared" si="176"/>
        <v>1.6104228458716316E-12</v>
      </c>
      <c r="DR180" s="22">
        <f t="shared" si="177"/>
        <v>2.9932409441277661E-12</v>
      </c>
      <c r="DS180" s="62">
        <f t="shared" si="125"/>
        <v>293.33333333333633</v>
      </c>
      <c r="DT180" s="62">
        <f ca="1">AVERAGE(OFFSET($DS$3,0,0,'Données projet'!$E$14+1,1))-AVERAGE(OFFSET($H$3,0,0,'Données projet'!$E$14+1,1))</f>
        <v>404.20764079465965</v>
      </c>
      <c r="DU180" s="62">
        <f t="shared" si="152"/>
        <v>243.23852967152732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1.5067026454177588E-21</v>
      </c>
      <c r="ED180" s="24">
        <f t="shared" si="178"/>
        <v>1.5067026454177588E-21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439.06700232017681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0.15079750757773694</v>
      </c>
      <c r="AB181" s="23">
        <f>EXP(-LN(2)/2)*AB180+(1-EXP(-LN(2)/2))/(LN(2)/2)*V181*Y181*VLOOKUP('Données projet'!$B$9,Paramètres!$A$1:$I$89,3,0)*0.475*44/12</f>
        <v>7.8931689750481943E-22</v>
      </c>
      <c r="AC181" s="24">
        <f t="shared" si="163"/>
        <v>0.15079750757773694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396.92963589781414</v>
      </c>
      <c r="AO181" s="62">
        <f t="shared" si="144"/>
        <v>294.38852181137639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4.4337866711430253E-14</v>
      </c>
      <c r="BF181" s="14">
        <f t="shared" si="167"/>
        <v>7.3222115536967035E-13</v>
      </c>
      <c r="BG181" s="22">
        <f t="shared" si="168"/>
        <v>1.3525069634579169E-12</v>
      </c>
      <c r="BH181" s="62">
        <f t="shared" si="116"/>
        <v>293.33333333333468</v>
      </c>
      <c r="BI181" s="62">
        <f ca="1">AVERAGE(OFFSET($BH$3,0,0,'Données projet'!$E$11+1,1))-AVERAGE(OFFSET($H$3,0,0,'Données projet'!$E$11+1,1))</f>
        <v>288.82868507674738</v>
      </c>
      <c r="BJ181" s="62">
        <f t="shared" si="146"/>
        <v>283.48738729114024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0.11469566089194318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0.11469566089194318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405.09126081846171</v>
      </c>
      <c r="CE181" s="62">
        <f t="shared" si="148"/>
        <v>534.22295841722166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0.12834632405897789</v>
      </c>
      <c r="CL181" s="23">
        <f>EXP(-LN(2)/25)*CL180+(1-EXP(-LN(2)/25))/(LN(2)/25)*Calculateur!CG181*Calculateur!CI181*VLOOKUP('Données projet'!$B$12,Paramètres!$A$1:$I$89,3,0)*0.475*44/12</f>
        <v>0.14397106544287491</v>
      </c>
      <c r="CM181" s="23">
        <f>EXP(-LN(2)/2)*CM180+(1-EXP(-LN(2)/2))/(LN(2)/2)*CG181*CJ181*VLOOKUP('Données projet'!$B$12,Paramètres!$A$1:$I$89,3,0)*0.475*44/12</f>
        <v>1.9585533327063592E-23</v>
      </c>
      <c r="CN181" s="24">
        <f t="shared" si="172"/>
        <v>0.2723173895018528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466.4945858005575</v>
      </c>
      <c r="CZ181" s="62">
        <f t="shared" si="150"/>
        <v>294.45557293177131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0.16119733568654637</v>
      </c>
      <c r="DH181" s="23">
        <f>EXP(-LN(2)/2)*DH180+(1-EXP(-LN(2)/2))/(LN(2)/2)*DB181*DE181*VLOOKUP('Données projet'!$B$13,Paramètres!$A$1:$I$89,3,0)*0.475*44/12</f>
        <v>8.437525456086086E-22</v>
      </c>
      <c r="DI181" s="24">
        <f t="shared" si="175"/>
        <v>0.16119733568654637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1.0818439477588981E-13</v>
      </c>
      <c r="DQ181" s="14">
        <f t="shared" si="176"/>
        <v>1.6104228458716316E-12</v>
      </c>
      <c r="DR181" s="22">
        <f t="shared" si="177"/>
        <v>2.9932409441277661E-12</v>
      </c>
      <c r="DS181" s="62">
        <f t="shared" si="125"/>
        <v>293.33333333333633</v>
      </c>
      <c r="DT181" s="62">
        <f ca="1">AVERAGE(OFFSET($DS$3,0,0,'Données projet'!$E$14+1,1))-AVERAGE(OFFSET($H$3,0,0,'Données projet'!$E$14+1,1))</f>
        <v>404.20764079465965</v>
      </c>
      <c r="DU181" s="62">
        <f t="shared" si="152"/>
        <v>243.23852967152732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1.0653996578066074E-21</v>
      </c>
      <c r="ED181" s="24">
        <f t="shared" si="178"/>
        <v>1.0653996578066074E-21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439.06700232017681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0.14667394180292745</v>
      </c>
      <c r="AB182" s="23">
        <f>EXP(-LN(2)/2)*AB181+(1-EXP(-LN(2)/2))/(LN(2)/2)*V182*Y182*VLOOKUP('Données projet'!$B$9,Paramètres!$A$1:$I$89,3,0)*0.475*44/12</f>
        <v>5.5813133073078491E-22</v>
      </c>
      <c r="AC182" s="24">
        <f t="shared" si="163"/>
        <v>0.14667394180292745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396.92963589781414</v>
      </c>
      <c r="AO182" s="62">
        <f t="shared" si="144"/>
        <v>294.38852181137639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4.4337866711430253E-14</v>
      </c>
      <c r="BF182" s="14">
        <f t="shared" si="167"/>
        <v>7.3222115536967035E-13</v>
      </c>
      <c r="BG182" s="22">
        <f t="shared" si="168"/>
        <v>1.3525069634579169E-12</v>
      </c>
      <c r="BH182" s="62">
        <f t="shared" si="116"/>
        <v>293.33333333333468</v>
      </c>
      <c r="BI182" s="62">
        <f ca="1">AVERAGE(OFFSET($BH$3,0,0,'Données projet'!$E$11+1,1))-AVERAGE(OFFSET($H$3,0,0,'Données projet'!$E$11+1,1))</f>
        <v>288.82868507674738</v>
      </c>
      <c r="BJ182" s="62">
        <f t="shared" si="146"/>
        <v>283.48738729114024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0.11155930201327033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0.11155930201327033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405.09126081846171</v>
      </c>
      <c r="CE182" s="62">
        <f t="shared" si="148"/>
        <v>534.22295841722166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0.12582953092770915</v>
      </c>
      <c r="CL182" s="23">
        <f>EXP(-LN(2)/25)*CL181+(1-EXP(-LN(2)/25))/(LN(2)/25)*Calculateur!CG182*Calculateur!CI182*VLOOKUP('Données projet'!$B$12,Paramètres!$A$1:$I$89,3,0)*0.475*44/12</f>
        <v>0.14003416908723021</v>
      </c>
      <c r="CM182" s="23">
        <f>EXP(-LN(2)/2)*CM181+(1-EXP(-LN(2)/2))/(LN(2)/2)*CG182*CJ182*VLOOKUP('Données projet'!$B$12,Paramètres!$A$1:$I$89,3,0)*0.475*44/12</f>
        <v>1.3849063428721789E-23</v>
      </c>
      <c r="CN182" s="24">
        <f t="shared" si="172"/>
        <v>0.26586370001493936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466.4945858005575</v>
      </c>
      <c r="CZ182" s="62">
        <f t="shared" si="150"/>
        <v>294.45557293177131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0.15678938606519829</v>
      </c>
      <c r="DH182" s="23">
        <f>EXP(-LN(2)/2)*DH181+(1-EXP(-LN(2)/2))/(LN(2)/2)*DB182*DE182*VLOOKUP('Données projet'!$B$13,Paramètres!$A$1:$I$89,3,0)*0.475*44/12</f>
        <v>5.9662314664325891E-22</v>
      </c>
      <c r="DI182" s="24">
        <f t="shared" si="175"/>
        <v>0.15678938606519829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1.0818439477588981E-13</v>
      </c>
      <c r="DQ182" s="14">
        <f t="shared" si="176"/>
        <v>1.6104228458716316E-12</v>
      </c>
      <c r="DR182" s="22">
        <f t="shared" si="177"/>
        <v>2.9932409441277661E-12</v>
      </c>
      <c r="DS182" s="62">
        <f t="shared" si="125"/>
        <v>293.33333333333633</v>
      </c>
      <c r="DT182" s="62">
        <f ca="1">AVERAGE(OFFSET($DS$3,0,0,'Données projet'!$E$14+1,1))-AVERAGE(OFFSET($H$3,0,0,'Données projet'!$E$14+1,1))</f>
        <v>404.20764079465965</v>
      </c>
      <c r="DU182" s="62">
        <f t="shared" si="152"/>
        <v>243.23852967152732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7.5335132270887939E-22</v>
      </c>
      <c r="ED182" s="24">
        <f t="shared" si="178"/>
        <v>7.5335132270887939E-22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439.06700232017681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0.14266313515107903</v>
      </c>
      <c r="AB183" s="23">
        <f>EXP(-LN(2)/2)*AB182+(1-EXP(-LN(2)/2))/(LN(2)/2)*V183*Y183*VLOOKUP('Données projet'!$B$9,Paramètres!$A$1:$I$89,3,0)*0.475*44/12</f>
        <v>3.9465844875240972E-22</v>
      </c>
      <c r="AC183" s="24">
        <f t="shared" si="163"/>
        <v>0.14266313515107903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396.92963589781414</v>
      </c>
      <c r="AO183" s="62">
        <f t="shared" si="144"/>
        <v>294.38852181137639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4.4337866711430253E-14</v>
      </c>
      <c r="BF183" s="14">
        <f t="shared" si="167"/>
        <v>7.3222115536967035E-13</v>
      </c>
      <c r="BG183" s="22">
        <f t="shared" si="168"/>
        <v>1.3525069634579169E-12</v>
      </c>
      <c r="BH183" s="62">
        <f t="shared" si="116"/>
        <v>293.33333333333468</v>
      </c>
      <c r="BI183" s="62">
        <f ca="1">AVERAGE(OFFSET($BH$3,0,0,'Données projet'!$E$11+1,1))-AVERAGE(OFFSET($H$3,0,0,'Données projet'!$E$11+1,1))</f>
        <v>288.82868507674738</v>
      </c>
      <c r="BJ183" s="62">
        <f t="shared" si="146"/>
        <v>283.48738729114024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0.10850870703306872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0.10850870703306872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405.09126081846171</v>
      </c>
      <c r="CE183" s="62">
        <f t="shared" si="148"/>
        <v>534.22295841722166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0.12336209057465236</v>
      </c>
      <c r="CL183" s="23">
        <f>EXP(-LN(2)/25)*CL182+(1-EXP(-LN(2)/25))/(LN(2)/25)*Calculateur!CG183*Calculateur!CI183*VLOOKUP('Données projet'!$B$12,Paramètres!$A$1:$I$89,3,0)*0.475*44/12</f>
        <v>0.13620492736946299</v>
      </c>
      <c r="CM183" s="23">
        <f>EXP(-LN(2)/2)*CM182+(1-EXP(-LN(2)/2))/(LN(2)/2)*CG183*CJ183*VLOOKUP('Données projet'!$B$12,Paramètres!$A$1:$I$89,3,0)*0.475*44/12</f>
        <v>9.7927666635317962E-24</v>
      </c>
      <c r="CN183" s="24">
        <f t="shared" si="172"/>
        <v>0.25956701794411535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466.4945858005575</v>
      </c>
      <c r="CZ183" s="62">
        <f t="shared" si="150"/>
        <v>294.45557293177131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0.15250197205804997</v>
      </c>
      <c r="DH183" s="23">
        <f>EXP(-LN(2)/2)*DH182+(1-EXP(-LN(2)/2))/(LN(2)/2)*DB183*DE183*VLOOKUP('Données projet'!$B$13,Paramètres!$A$1:$I$89,3,0)*0.475*44/12</f>
        <v>4.2187627280430435E-22</v>
      </c>
      <c r="DI183" s="24">
        <f t="shared" si="175"/>
        <v>0.15250197205804997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1.0818439477588981E-13</v>
      </c>
      <c r="DQ183" s="14">
        <f t="shared" si="176"/>
        <v>1.6104228458716316E-12</v>
      </c>
      <c r="DR183" s="22">
        <f t="shared" si="177"/>
        <v>2.9932409441277661E-12</v>
      </c>
      <c r="DS183" s="62">
        <f t="shared" si="125"/>
        <v>293.33333333333633</v>
      </c>
      <c r="DT183" s="62">
        <f ca="1">AVERAGE(OFFSET($DS$3,0,0,'Données projet'!$E$14+1,1))-AVERAGE(OFFSET($H$3,0,0,'Données projet'!$E$14+1,1))</f>
        <v>404.20764079465965</v>
      </c>
      <c r="DU183" s="62">
        <f t="shared" si="152"/>
        <v>243.23852967152732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5.3269982890330372E-22</v>
      </c>
      <c r="ED183" s="24">
        <f t="shared" si="178"/>
        <v>5.3269982890330372E-22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439.06700232017681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0.13876200421804455</v>
      </c>
      <c r="AB184" s="23">
        <f>EXP(-LN(2)/2)*AB183+(1-EXP(-LN(2)/2))/(LN(2)/2)*V184*Y184*VLOOKUP('Données projet'!$B$9,Paramètres!$A$1:$I$89,3,0)*0.475*44/12</f>
        <v>2.7906566536539245E-22</v>
      </c>
      <c r="AC184" s="24">
        <f t="shared" si="163"/>
        <v>0.13876200421804455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396.92963589781414</v>
      </c>
      <c r="AO184" s="62">
        <f t="shared" si="144"/>
        <v>294.38852181137639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4.4337866711430253E-14</v>
      </c>
      <c r="BF184" s="14">
        <f t="shared" si="167"/>
        <v>7.3222115536967035E-13</v>
      </c>
      <c r="BG184" s="22">
        <f t="shared" si="168"/>
        <v>1.3525069634579169E-12</v>
      </c>
      <c r="BH184" s="62">
        <f t="shared" si="116"/>
        <v>293.33333333333468</v>
      </c>
      <c r="BI184" s="62">
        <f ca="1">AVERAGE(OFFSET($BH$3,0,0,'Données projet'!$E$11+1,1))-AVERAGE(OFFSET($H$3,0,0,'Données projet'!$E$11+1,1))</f>
        <v>288.82868507674738</v>
      </c>
      <c r="BJ184" s="62">
        <f t="shared" si="146"/>
        <v>283.48738729114024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0.10554153073302455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0.10554153073302455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405.09126081846171</v>
      </c>
      <c r="CE184" s="62">
        <f t="shared" si="148"/>
        <v>534.22295841722166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0.12094303522192901</v>
      </c>
      <c r="CL184" s="23">
        <f>EXP(-LN(2)/25)*CL183+(1-EXP(-LN(2)/25))/(LN(2)/25)*Calculateur!CG184*Calculateur!CI184*VLOOKUP('Données projet'!$B$12,Paramètres!$A$1:$I$89,3,0)*0.475*44/12</f>
        <v>0.13248039646783918</v>
      </c>
      <c r="CM184" s="23">
        <f>EXP(-LN(2)/2)*CM183+(1-EXP(-LN(2)/2))/(LN(2)/2)*CG184*CJ184*VLOOKUP('Données projet'!$B$12,Paramètres!$A$1:$I$89,3,0)*0.475*44/12</f>
        <v>6.9245317143608946E-24</v>
      </c>
      <c r="CN184" s="24">
        <f t="shared" si="172"/>
        <v>0.25342343168976822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466.4945858005575</v>
      </c>
      <c r="CZ184" s="62">
        <f t="shared" si="150"/>
        <v>294.45557293177131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0.14833179761239243</v>
      </c>
      <c r="DH184" s="23">
        <f>EXP(-LN(2)/2)*DH183+(1-EXP(-LN(2)/2))/(LN(2)/2)*DB184*DE184*VLOOKUP('Données projet'!$B$13,Paramètres!$A$1:$I$89,3,0)*0.475*44/12</f>
        <v>2.983115733216295E-22</v>
      </c>
      <c r="DI184" s="24">
        <f t="shared" si="175"/>
        <v>0.14833179761239243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1.0818439477588981E-13</v>
      </c>
      <c r="DQ184" s="14">
        <f t="shared" si="176"/>
        <v>1.6104228458716316E-12</v>
      </c>
      <c r="DR184" s="22">
        <f t="shared" si="177"/>
        <v>2.9932409441277661E-12</v>
      </c>
      <c r="DS184" s="62">
        <f t="shared" si="125"/>
        <v>293.33333333333633</v>
      </c>
      <c r="DT184" s="62">
        <f ca="1">AVERAGE(OFFSET($DS$3,0,0,'Données projet'!$E$14+1,1))-AVERAGE(OFFSET($H$3,0,0,'Données projet'!$E$14+1,1))</f>
        <v>404.20764079465965</v>
      </c>
      <c r="DU184" s="62">
        <f t="shared" si="152"/>
        <v>243.23852967152732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3.7667566135443969E-22</v>
      </c>
      <c r="ED184" s="24">
        <f t="shared" si="178"/>
        <v>3.7667566135443969E-22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439.06700232017681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0.13496754991552545</v>
      </c>
      <c r="AB185" s="23">
        <f>EXP(-LN(2)/2)*AB184+(1-EXP(-LN(2)/2))/(LN(2)/2)*V185*Y185*VLOOKUP('Données projet'!$B$9,Paramètres!$A$1:$I$89,3,0)*0.475*44/12</f>
        <v>1.9732922437620486E-22</v>
      </c>
      <c r="AC185" s="24">
        <f t="shared" si="163"/>
        <v>0.13496754991552545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396.92963589781414</v>
      </c>
      <c r="AO185" s="62">
        <f t="shared" si="144"/>
        <v>294.38852181137639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4.4337866711430253E-14</v>
      </c>
      <c r="BF185" s="14">
        <f t="shared" si="167"/>
        <v>7.3222115536967035E-13</v>
      </c>
      <c r="BG185" s="22">
        <f t="shared" si="168"/>
        <v>1.3525069634579169E-12</v>
      </c>
      <c r="BH185" s="62">
        <f t="shared" si="116"/>
        <v>293.33333333333468</v>
      </c>
      <c r="BI185" s="62">
        <f ca="1">AVERAGE(OFFSET($BH$3,0,0,'Données projet'!$E$11+1,1))-AVERAGE(OFFSET($H$3,0,0,'Données projet'!$E$11+1,1))</f>
        <v>288.82868507674738</v>
      </c>
      <c r="BJ185" s="62">
        <f t="shared" si="146"/>
        <v>283.48738729114024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0.10265549202494212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0.10265549202494212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405.09126081846171</v>
      </c>
      <c r="CE185" s="62">
        <f t="shared" si="148"/>
        <v>534.22295841722166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0.11857141606919448</v>
      </c>
      <c r="CL185" s="23">
        <f>EXP(-LN(2)/25)*CL184+(1-EXP(-LN(2)/25))/(LN(2)/25)*Calculateur!CG185*Calculateur!CI185*VLOOKUP('Données projet'!$B$12,Paramètres!$A$1:$I$89,3,0)*0.475*44/12</f>
        <v>0.12885771305958485</v>
      </c>
      <c r="CM185" s="23">
        <f>EXP(-LN(2)/2)*CM184+(1-EXP(-LN(2)/2))/(LN(2)/2)*CG185*CJ185*VLOOKUP('Données projet'!$B$12,Paramètres!$A$1:$I$89,3,0)*0.475*44/12</f>
        <v>4.8963833317658981E-24</v>
      </c>
      <c r="CN185" s="24">
        <f t="shared" si="172"/>
        <v>0.24742912912877935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466.4945858005575</v>
      </c>
      <c r="CZ185" s="62">
        <f t="shared" si="150"/>
        <v>294.45557293177131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0.14427565680625135</v>
      </c>
      <c r="DH185" s="23">
        <f>EXP(-LN(2)/2)*DH184+(1-EXP(-LN(2)/2))/(LN(2)/2)*DB185*DE185*VLOOKUP('Données projet'!$B$13,Paramètres!$A$1:$I$89,3,0)*0.475*44/12</f>
        <v>2.1093813640215222E-22</v>
      </c>
      <c r="DI185" s="24">
        <f t="shared" si="175"/>
        <v>0.14427565680625135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1.0818439477588981E-13</v>
      </c>
      <c r="DQ185" s="14">
        <f t="shared" si="176"/>
        <v>1.6104228458716316E-12</v>
      </c>
      <c r="DR185" s="22">
        <f t="shared" si="177"/>
        <v>2.9932409441277661E-12</v>
      </c>
      <c r="DS185" s="62">
        <f t="shared" si="125"/>
        <v>293.33333333333633</v>
      </c>
      <c r="DT185" s="62">
        <f ca="1">AVERAGE(OFFSET($DS$3,0,0,'Données projet'!$E$14+1,1))-AVERAGE(OFFSET($H$3,0,0,'Données projet'!$E$14+1,1))</f>
        <v>404.20764079465965</v>
      </c>
      <c r="DU185" s="62">
        <f t="shared" si="152"/>
        <v>243.23852967152732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2.6634991445165186E-22</v>
      </c>
      <c r="ED185" s="24">
        <f t="shared" si="178"/>
        <v>2.6634991445165186E-22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439.06700232017681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0.13127685516545043</v>
      </c>
      <c r="AB186" s="23">
        <f>EXP(-LN(2)/2)*AB185+(1-EXP(-LN(2)/2))/(LN(2)/2)*V186*Y186*VLOOKUP('Données projet'!$B$9,Paramètres!$A$1:$I$89,3,0)*0.475*44/12</f>
        <v>1.3953283268269623E-22</v>
      </c>
      <c r="AC186" s="24">
        <f t="shared" si="163"/>
        <v>0.13127685516545043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396.92963589781414</v>
      </c>
      <c r="AO186" s="62">
        <f t="shared" si="144"/>
        <v>294.38852181137639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4.4337866711430253E-14</v>
      </c>
      <c r="BF186" s="14">
        <f t="shared" si="167"/>
        <v>7.3222115536967035E-13</v>
      </c>
      <c r="BG186" s="22">
        <f t="shared" si="168"/>
        <v>1.3525069634579169E-12</v>
      </c>
      <c r="BH186" s="62">
        <f t="shared" si="116"/>
        <v>293.33333333333468</v>
      </c>
      <c r="BI186" s="62">
        <f ca="1">AVERAGE(OFFSET($BH$3,0,0,'Données projet'!$E$11+1,1))-AVERAGE(OFFSET($H$3,0,0,'Données projet'!$E$11+1,1))</f>
        <v>288.82868507674738</v>
      </c>
      <c r="BJ186" s="62">
        <f t="shared" si="146"/>
        <v>283.48738729114024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9.9848372197102367E-2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9.9848372197102367E-2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405.09126081846171</v>
      </c>
      <c r="CE186" s="62">
        <f t="shared" si="148"/>
        <v>534.22295841722166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0.11624630292150023</v>
      </c>
      <c r="CL186" s="23">
        <f>EXP(-LN(2)/25)*CL185+(1-EXP(-LN(2)/25))/(LN(2)/25)*Calculateur!CG186*Calculateur!CI186*VLOOKUP('Données projet'!$B$12,Paramètres!$A$1:$I$89,3,0)*0.475*44/12</f>
        <v>0.12533409211963789</v>
      </c>
      <c r="CM186" s="23">
        <f>EXP(-LN(2)/2)*CM185+(1-EXP(-LN(2)/2))/(LN(2)/2)*CG186*CJ186*VLOOKUP('Données projet'!$B$12,Paramètres!$A$1:$I$89,3,0)*0.475*44/12</f>
        <v>3.4622658571804473E-24</v>
      </c>
      <c r="CN186" s="24">
        <f t="shared" si="172"/>
        <v>0.24158039504113812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466.4945858005575</v>
      </c>
      <c r="CZ186" s="62">
        <f t="shared" si="150"/>
        <v>294.45557293177131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0.14033043138375736</v>
      </c>
      <c r="DH186" s="23">
        <f>EXP(-LN(2)/2)*DH185+(1-EXP(-LN(2)/2))/(LN(2)/2)*DB186*DE186*VLOOKUP('Données projet'!$B$13,Paramètres!$A$1:$I$89,3,0)*0.475*44/12</f>
        <v>1.4915578666081477E-22</v>
      </c>
      <c r="DI186" s="24">
        <f t="shared" si="175"/>
        <v>0.14033043138375736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1.0818439477588981E-13</v>
      </c>
      <c r="DQ186" s="14">
        <f t="shared" si="176"/>
        <v>1.6104228458716316E-12</v>
      </c>
      <c r="DR186" s="22">
        <f t="shared" si="177"/>
        <v>2.9932409441277661E-12</v>
      </c>
      <c r="DS186" s="62">
        <f t="shared" si="125"/>
        <v>293.33333333333633</v>
      </c>
      <c r="DT186" s="62">
        <f ca="1">AVERAGE(OFFSET($DS$3,0,0,'Données projet'!$E$14+1,1))-AVERAGE(OFFSET($H$3,0,0,'Données projet'!$E$14+1,1))</f>
        <v>404.20764079465965</v>
      </c>
      <c r="DU186" s="62">
        <f t="shared" si="152"/>
        <v>243.23852967152732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1.8833783067721985E-22</v>
      </c>
      <c r="ED186" s="24">
        <f t="shared" si="178"/>
        <v>1.8833783067721985E-22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439.06700232017681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0.12768708265740142</v>
      </c>
      <c r="AB187" s="23">
        <f>EXP(-LN(2)/2)*AB186+(1-EXP(-LN(2)/2))/(LN(2)/2)*V187*Y187*VLOOKUP('Données projet'!$B$9,Paramètres!$A$1:$I$89,3,0)*0.475*44/12</f>
        <v>9.8664612188102429E-23</v>
      </c>
      <c r="AC187" s="24">
        <f t="shared" si="163"/>
        <v>0.12768708265740142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396.92963589781414</v>
      </c>
      <c r="AO187" s="62">
        <f t="shared" si="144"/>
        <v>294.38852181137639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4.4337866711430253E-14</v>
      </c>
      <c r="BF187" s="14">
        <f t="shared" si="167"/>
        <v>7.3222115536967035E-13</v>
      </c>
      <c r="BG187" s="22">
        <f t="shared" si="168"/>
        <v>1.3525069634579169E-12</v>
      </c>
      <c r="BH187" s="62">
        <f t="shared" si="116"/>
        <v>293.33333333333468</v>
      </c>
      <c r="BI187" s="62">
        <f ca="1">AVERAGE(OFFSET($BH$3,0,0,'Données projet'!$E$11+1,1))-AVERAGE(OFFSET($H$3,0,0,'Données projet'!$E$11+1,1))</f>
        <v>288.82868507674738</v>
      </c>
      <c r="BJ187" s="62">
        <f t="shared" si="146"/>
        <v>283.48738729114024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9.711801320857491E-2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9.711801320857491E-2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405.09126081846171</v>
      </c>
      <c r="CE187" s="62">
        <f t="shared" si="148"/>
        <v>534.22295841722166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0.11396678382445329</v>
      </c>
      <c r="CL187" s="23">
        <f>EXP(-LN(2)/25)*CL186+(1-EXP(-LN(2)/25))/(LN(2)/25)*Calculateur!CG187*Calculateur!CI187*VLOOKUP('Données projet'!$B$12,Paramètres!$A$1:$I$89,3,0)*0.475*44/12</f>
        <v>0.12190682477959294</v>
      </c>
      <c r="CM187" s="23">
        <f>EXP(-LN(2)/2)*CM186+(1-EXP(-LN(2)/2))/(LN(2)/2)*CG187*CJ187*VLOOKUP('Données projet'!$B$12,Paramètres!$A$1:$I$89,3,0)*0.475*44/12</f>
        <v>2.448191665882949E-24</v>
      </c>
      <c r="CN187" s="24">
        <f t="shared" si="172"/>
        <v>0.23587360860404621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466.4945858005575</v>
      </c>
      <c r="CZ187" s="62">
        <f t="shared" si="150"/>
        <v>294.45557293177131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0.13649308835791185</v>
      </c>
      <c r="DH187" s="23">
        <f>EXP(-LN(2)/2)*DH186+(1-EXP(-LN(2)/2))/(LN(2)/2)*DB187*DE187*VLOOKUP('Données projet'!$B$13,Paramètres!$A$1:$I$89,3,0)*0.475*44/12</f>
        <v>1.0546906820107612E-22</v>
      </c>
      <c r="DI187" s="24">
        <f t="shared" si="175"/>
        <v>0.13649308835791185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1.0818439477588981E-13</v>
      </c>
      <c r="DQ187" s="14">
        <f t="shared" si="176"/>
        <v>1.6104228458716316E-12</v>
      </c>
      <c r="DR187" s="22">
        <f t="shared" si="177"/>
        <v>2.9932409441277661E-12</v>
      </c>
      <c r="DS187" s="62">
        <f t="shared" si="125"/>
        <v>293.33333333333633</v>
      </c>
      <c r="DT187" s="62">
        <f ca="1">AVERAGE(OFFSET($DS$3,0,0,'Données projet'!$E$14+1,1))-AVERAGE(OFFSET($H$3,0,0,'Données projet'!$E$14+1,1))</f>
        <v>404.20764079465965</v>
      </c>
      <c r="DU187" s="62">
        <f t="shared" si="152"/>
        <v>243.23852967152732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1.3317495722582593E-22</v>
      </c>
      <c r="ED187" s="24">
        <f t="shared" si="178"/>
        <v>1.3317495722582593E-22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439.06700232017681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0.12419547266736293</v>
      </c>
      <c r="AB188" s="23">
        <f>EXP(-LN(2)/2)*AB187+(1-EXP(-LN(2)/2))/(LN(2)/2)*V188*Y188*VLOOKUP('Données projet'!$B$9,Paramètres!$A$1:$I$89,3,0)*0.475*44/12</f>
        <v>6.9766416341348114E-23</v>
      </c>
      <c r="AC188" s="24">
        <f t="shared" si="163"/>
        <v>0.12419547266736293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396.92963589781414</v>
      </c>
      <c r="AO188" s="62">
        <f t="shared" si="144"/>
        <v>294.38852181137639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4.4337866711430253E-14</v>
      </c>
      <c r="BF188" s="14">
        <f t="shared" si="167"/>
        <v>7.3222115536967035E-13</v>
      </c>
      <c r="BG188" s="22">
        <f t="shared" si="168"/>
        <v>1.3525069634579169E-12</v>
      </c>
      <c r="BH188" s="62">
        <f t="shared" si="116"/>
        <v>293.33333333333468</v>
      </c>
      <c r="BI188" s="62">
        <f ca="1">AVERAGE(OFFSET($BH$3,0,0,'Données projet'!$E$11+1,1))-AVERAGE(OFFSET($H$3,0,0,'Données projet'!$E$11+1,1))</f>
        <v>288.82868507674738</v>
      </c>
      <c r="BJ188" s="62">
        <f t="shared" si="146"/>
        <v>283.48738729114024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9.4462316030172078E-2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9.4462316030172078E-2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405.09126081846171</v>
      </c>
      <c r="CE188" s="62">
        <f t="shared" si="148"/>
        <v>534.22295841722166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0.11173196470653006</v>
      </c>
      <c r="CL188" s="23">
        <f>EXP(-LN(2)/25)*CL187+(1-EXP(-LN(2)/25))/(LN(2)/25)*Calculateur!CG188*Calculateur!CI188*VLOOKUP('Données projet'!$B$12,Paramètres!$A$1:$I$89,3,0)*0.475*44/12</f>
        <v>0.11857327624519368</v>
      </c>
      <c r="CM188" s="23">
        <f>EXP(-LN(2)/2)*CM187+(1-EXP(-LN(2)/2))/(LN(2)/2)*CG188*CJ188*VLOOKUP('Données projet'!$B$12,Paramètres!$A$1:$I$89,3,0)*0.475*44/12</f>
        <v>1.7311329285902237E-24</v>
      </c>
      <c r="CN188" s="24">
        <f t="shared" si="172"/>
        <v>0.23030524095172372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466.4945858005575</v>
      </c>
      <c r="CZ188" s="62">
        <f t="shared" si="150"/>
        <v>294.45557293177131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0.1327606776789052</v>
      </c>
      <c r="DH188" s="23">
        <f>EXP(-LN(2)/2)*DH187+(1-EXP(-LN(2)/2))/(LN(2)/2)*DB188*DE188*VLOOKUP('Données projet'!$B$13,Paramètres!$A$1:$I$89,3,0)*0.475*44/12</f>
        <v>7.4577893330407399E-23</v>
      </c>
      <c r="DI188" s="24">
        <f t="shared" si="175"/>
        <v>0.1327606776789052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1.0818439477588981E-13</v>
      </c>
      <c r="DQ188" s="14">
        <f t="shared" si="176"/>
        <v>1.6104228458716316E-12</v>
      </c>
      <c r="DR188" s="22">
        <f t="shared" si="177"/>
        <v>2.9932409441277661E-12</v>
      </c>
      <c r="DS188" s="62">
        <f t="shared" si="125"/>
        <v>293.33333333333633</v>
      </c>
      <c r="DT188" s="62">
        <f ca="1">AVERAGE(OFFSET($DS$3,0,0,'Données projet'!$E$14+1,1))-AVERAGE(OFFSET($H$3,0,0,'Données projet'!$E$14+1,1))</f>
        <v>404.20764079465965</v>
      </c>
      <c r="DU188" s="62">
        <f t="shared" si="152"/>
        <v>243.23852967152732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9.4168915338609923E-23</v>
      </c>
      <c r="ED188" s="24">
        <f t="shared" si="178"/>
        <v>9.4168915338609923E-23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439.06700232017681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0.12079934093611784</v>
      </c>
      <c r="AB189" s="23">
        <f>EXP(-LN(2)/2)*AB188+(1-EXP(-LN(2)/2))/(LN(2)/2)*V189*Y189*VLOOKUP('Données projet'!$B$9,Paramètres!$A$1:$I$89,3,0)*0.475*44/12</f>
        <v>4.9332306094051215E-23</v>
      </c>
      <c r="AC189" s="24">
        <f t="shared" si="163"/>
        <v>0.12079934093611784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396.92963589781414</v>
      </c>
      <c r="AO189" s="62">
        <f t="shared" si="144"/>
        <v>294.38852181137639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4.4337866711430253E-14</v>
      </c>
      <c r="BF189" s="14">
        <f t="shared" si="167"/>
        <v>7.3222115536967035E-13</v>
      </c>
      <c r="BG189" s="22">
        <f t="shared" si="168"/>
        <v>1.3525069634579169E-12</v>
      </c>
      <c r="BH189" s="62">
        <f t="shared" si="116"/>
        <v>293.33333333333468</v>
      </c>
      <c r="BI189" s="62">
        <f ca="1">AVERAGE(OFFSET($BH$3,0,0,'Données projet'!$E$11+1,1))-AVERAGE(OFFSET($H$3,0,0,'Données projet'!$E$11+1,1))</f>
        <v>288.82868507674738</v>
      </c>
      <c r="BJ189" s="62">
        <f t="shared" si="146"/>
        <v>283.48738729114024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9.1879239030769722E-2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9.1879239030769722E-2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405.09126081846171</v>
      </c>
      <c r="CE189" s="62">
        <f t="shared" si="148"/>
        <v>534.22295841722166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0.10954096902840424</v>
      </c>
      <c r="CL189" s="23">
        <f>EXP(-LN(2)/25)*CL188+(1-EXP(-LN(2)/25))/(LN(2)/25)*Calculateur!CG189*Calculateur!CI189*VLOOKUP('Données projet'!$B$12,Paramètres!$A$1:$I$89,3,0)*0.475*44/12</f>
        <v>0.11533088377077126</v>
      </c>
      <c r="CM189" s="23">
        <f>EXP(-LN(2)/2)*CM188+(1-EXP(-LN(2)/2))/(LN(2)/2)*CG189*CJ189*VLOOKUP('Données projet'!$B$12,Paramètres!$A$1:$I$89,3,0)*0.475*44/12</f>
        <v>1.2240958329414745E-24</v>
      </c>
      <c r="CN189" s="24">
        <f t="shared" si="172"/>
        <v>0.22487185279917549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466.4945858005575</v>
      </c>
      <c r="CZ189" s="62">
        <f t="shared" si="150"/>
        <v>294.45557293177131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0.12913032996619492</v>
      </c>
      <c r="DH189" s="23">
        <f>EXP(-LN(2)/2)*DH188+(1-EXP(-LN(2)/2))/(LN(2)/2)*DB189*DE189*VLOOKUP('Données projet'!$B$13,Paramètres!$A$1:$I$89,3,0)*0.475*44/12</f>
        <v>5.2734534100538073E-23</v>
      </c>
      <c r="DI189" s="24">
        <f t="shared" si="175"/>
        <v>0.12913032996619492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1.0818439477588981E-13</v>
      </c>
      <c r="DQ189" s="14">
        <f t="shared" si="176"/>
        <v>1.6104228458716316E-12</v>
      </c>
      <c r="DR189" s="22">
        <f t="shared" si="177"/>
        <v>2.9932409441277661E-12</v>
      </c>
      <c r="DS189" s="62">
        <f t="shared" si="125"/>
        <v>293.33333333333633</v>
      </c>
      <c r="DT189" s="62">
        <f ca="1">AVERAGE(OFFSET($DS$3,0,0,'Données projet'!$E$14+1,1))-AVERAGE(OFFSET($H$3,0,0,'Données projet'!$E$14+1,1))</f>
        <v>404.20764079465965</v>
      </c>
      <c r="DU189" s="62">
        <f t="shared" si="152"/>
        <v>243.23852967152732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6.6587478612912965E-23</v>
      </c>
      <c r="ED189" s="24">
        <f t="shared" si="178"/>
        <v>6.6587478612912965E-23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439.06700232017681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0.11749607660565844</v>
      </c>
      <c r="AB190" s="23">
        <f>EXP(-LN(2)/2)*AB189+(1-EXP(-LN(2)/2))/(LN(2)/2)*V190*Y190*VLOOKUP('Données projet'!$B$9,Paramètres!$A$1:$I$89,3,0)*0.475*44/12</f>
        <v>3.4883208170674057E-23</v>
      </c>
      <c r="AC190" s="24">
        <f t="shared" si="163"/>
        <v>0.11749607660565844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396.92963589781414</v>
      </c>
      <c r="AO190" s="62">
        <f t="shared" si="144"/>
        <v>294.38852181137639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4.4337866711430253E-14</v>
      </c>
      <c r="BF190" s="14">
        <f t="shared" si="167"/>
        <v>7.3222115536967035E-13</v>
      </c>
      <c r="BG190" s="22">
        <f t="shared" si="168"/>
        <v>1.3525069634579169E-12</v>
      </c>
      <c r="BH190" s="62">
        <f t="shared" si="116"/>
        <v>293.33333333333468</v>
      </c>
      <c r="BI190" s="62">
        <f ca="1">AVERAGE(OFFSET($BH$3,0,0,'Données projet'!$E$11+1,1))-AVERAGE(OFFSET($H$3,0,0,'Données projet'!$E$11+1,1))</f>
        <v>288.82868507674738</v>
      </c>
      <c r="BJ190" s="62">
        <f t="shared" si="146"/>
        <v>283.48738729114024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8.9366796407754134E-2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8.9366796407754134E-2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405.09126081846171</v>
      </c>
      <c r="CE190" s="62">
        <f t="shared" si="148"/>
        <v>534.22295841722166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0.10739293743915107</v>
      </c>
      <c r="CL190" s="23">
        <f>EXP(-LN(2)/25)*CL189+(1-EXP(-LN(2)/25))/(LN(2)/25)*Calculateur!CG190*Calculateur!CI190*VLOOKUP('Données projet'!$B$12,Paramètres!$A$1:$I$89,3,0)*0.475*44/12</f>
        <v>0.11217715468907194</v>
      </c>
      <c r="CM190" s="23">
        <f>EXP(-LN(2)/2)*CM189+(1-EXP(-LN(2)/2))/(LN(2)/2)*CG190*CJ190*VLOOKUP('Données projet'!$B$12,Paramètres!$A$1:$I$89,3,0)*0.475*44/12</f>
        <v>8.6556646429511183E-25</v>
      </c>
      <c r="CN190" s="24">
        <f t="shared" si="172"/>
        <v>0.21957009212822301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466.4945858005575</v>
      </c>
      <c r="CZ190" s="62">
        <f t="shared" si="150"/>
        <v>294.45557293177131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0.12559925430260038</v>
      </c>
      <c r="DH190" s="23">
        <f>EXP(-LN(2)/2)*DH189+(1-EXP(-LN(2)/2))/(LN(2)/2)*DB190*DE190*VLOOKUP('Données projet'!$B$13,Paramètres!$A$1:$I$89,3,0)*0.475*44/12</f>
        <v>3.7288946665203705E-23</v>
      </c>
      <c r="DI190" s="24">
        <f t="shared" si="175"/>
        <v>0.12559925430260038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1.0818439477588981E-13</v>
      </c>
      <c r="DQ190" s="14">
        <f t="shared" si="176"/>
        <v>1.6104228458716316E-12</v>
      </c>
      <c r="DR190" s="22">
        <f t="shared" si="177"/>
        <v>2.9932409441277661E-12</v>
      </c>
      <c r="DS190" s="62">
        <f t="shared" si="125"/>
        <v>293.33333333333633</v>
      </c>
      <c r="DT190" s="62">
        <f ca="1">AVERAGE(OFFSET($DS$3,0,0,'Données projet'!$E$14+1,1))-AVERAGE(OFFSET($H$3,0,0,'Données projet'!$E$14+1,1))</f>
        <v>404.20764079465965</v>
      </c>
      <c r="DU190" s="62">
        <f t="shared" si="152"/>
        <v>243.23852967152732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4.7084457669304962E-23</v>
      </c>
      <c r="ED190" s="24">
        <f t="shared" si="178"/>
        <v>4.7084457669304962E-23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439.06700232017681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0.11428314021202658</v>
      </c>
      <c r="AB191" s="23">
        <f>EXP(-LN(2)/2)*AB190+(1-EXP(-LN(2)/2))/(LN(2)/2)*V191*Y191*VLOOKUP('Données projet'!$B$9,Paramètres!$A$1:$I$89,3,0)*0.475*44/12</f>
        <v>2.4666153047025607E-23</v>
      </c>
      <c r="AC191" s="24">
        <f t="shared" si="163"/>
        <v>0.11428314021202658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396.92963589781414</v>
      </c>
      <c r="AO191" s="62">
        <f t="shared" si="144"/>
        <v>294.38852181137639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4.4337866711430253E-14</v>
      </c>
      <c r="BF191" s="14">
        <f t="shared" si="167"/>
        <v>7.3222115536967035E-13</v>
      </c>
      <c r="BG191" s="22">
        <f t="shared" si="168"/>
        <v>1.3525069634579169E-12</v>
      </c>
      <c r="BH191" s="62">
        <f t="shared" si="116"/>
        <v>293.33333333333468</v>
      </c>
      <c r="BI191" s="62">
        <f ca="1">AVERAGE(OFFSET($BH$3,0,0,'Données projet'!$E$11+1,1))-AVERAGE(OFFSET($H$3,0,0,'Données projet'!$E$11+1,1))</f>
        <v>288.82868507674738</v>
      </c>
      <c r="BJ191" s="62">
        <f t="shared" si="146"/>
        <v>283.48738729114024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8.692305666038852E-2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8.692305666038852E-2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405.09126081846171</v>
      </c>
      <c r="CE191" s="62">
        <f t="shared" si="148"/>
        <v>534.22295841722166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0.10528702743919326</v>
      </c>
      <c r="CL191" s="23">
        <f>EXP(-LN(2)/25)*CL190+(1-EXP(-LN(2)/25))/(LN(2)/25)*Calculateur!CG191*Calculateur!CI191*VLOOKUP('Données projet'!$B$12,Paramètres!$A$1:$I$89,3,0)*0.475*44/12</f>
        <v>0.10910966449495908</v>
      </c>
      <c r="CM191" s="23">
        <f>EXP(-LN(2)/2)*CM190+(1-EXP(-LN(2)/2))/(LN(2)/2)*CG191*CJ191*VLOOKUP('Données projet'!$B$12,Paramètres!$A$1:$I$89,3,0)*0.475*44/12</f>
        <v>6.1204791647073726E-25</v>
      </c>
      <c r="CN191" s="24">
        <f t="shared" si="172"/>
        <v>0.21439669193415234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466.4945858005575</v>
      </c>
      <c r="CZ191" s="62">
        <f t="shared" si="150"/>
        <v>294.45557293177131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0.12216473608871806</v>
      </c>
      <c r="DH191" s="23">
        <f>EXP(-LN(2)/2)*DH190+(1-EXP(-LN(2)/2))/(LN(2)/2)*DB191*DE191*VLOOKUP('Données projet'!$B$13,Paramètres!$A$1:$I$89,3,0)*0.475*44/12</f>
        <v>2.6367267050269039E-23</v>
      </c>
      <c r="DI191" s="24">
        <f t="shared" si="175"/>
        <v>0.12216473608871806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1.0818439477588981E-13</v>
      </c>
      <c r="DQ191" s="14">
        <f t="shared" si="176"/>
        <v>1.6104228458716316E-12</v>
      </c>
      <c r="DR191" s="22">
        <f t="shared" si="177"/>
        <v>2.9932409441277661E-12</v>
      </c>
      <c r="DS191" s="62">
        <f t="shared" si="125"/>
        <v>293.33333333333633</v>
      </c>
      <c r="DT191" s="62">
        <f ca="1">AVERAGE(OFFSET($DS$3,0,0,'Données projet'!$E$14+1,1))-AVERAGE(OFFSET($H$3,0,0,'Données projet'!$E$14+1,1))</f>
        <v>404.20764079465965</v>
      </c>
      <c r="DU191" s="62">
        <f t="shared" si="152"/>
        <v>243.23852967152732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3.3293739306456482E-23</v>
      </c>
      <c r="ED191" s="24">
        <f t="shared" si="178"/>
        <v>3.3293739306456482E-23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439.06700232017681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0.11115806173303958</v>
      </c>
      <c r="AB192" s="23">
        <f>EXP(-LN(2)/2)*AB191+(1-EXP(-LN(2)/2))/(LN(2)/2)*V192*Y192*VLOOKUP('Données projet'!$B$9,Paramètres!$A$1:$I$89,3,0)*0.475*44/12</f>
        <v>1.7441604085337028E-23</v>
      </c>
      <c r="AC192" s="24">
        <f t="shared" si="163"/>
        <v>0.11115806173303958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396.92963589781414</v>
      </c>
      <c r="AO192" s="62">
        <f t="shared" si="144"/>
        <v>294.38852181137639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4.4337866711430253E-14</v>
      </c>
      <c r="BF192" s="14">
        <f t="shared" si="167"/>
        <v>7.3222115536967035E-13</v>
      </c>
      <c r="BG192" s="22">
        <f t="shared" si="168"/>
        <v>1.3525069634579169E-12</v>
      </c>
      <c r="BH192" s="62">
        <f t="shared" si="116"/>
        <v>293.33333333333468</v>
      </c>
      <c r="BI192" s="62">
        <f ca="1">AVERAGE(OFFSET($BH$3,0,0,'Données projet'!$E$11+1,1))-AVERAGE(OFFSET($H$3,0,0,'Données projet'!$E$11+1,1))</f>
        <v>288.82868507674738</v>
      </c>
      <c r="BJ192" s="62">
        <f t="shared" si="146"/>
        <v>283.48738729114024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8.454614110492531E-2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8.454614110492531E-2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405.09126081846171</v>
      </c>
      <c r="CE192" s="62">
        <f t="shared" si="148"/>
        <v>534.22295841722166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0.10322241304985634</v>
      </c>
      <c r="CL192" s="23">
        <f>EXP(-LN(2)/25)*CL191+(1-EXP(-LN(2)/25))/(LN(2)/25)*Calculateur!CG192*Calculateur!CI192*VLOOKUP('Données projet'!$B$12,Paramètres!$A$1:$I$89,3,0)*0.475*44/12</f>
        <v>0.10612605498151655</v>
      </c>
      <c r="CM192" s="23">
        <f>EXP(-LN(2)/2)*CM191+(1-EXP(-LN(2)/2))/(LN(2)/2)*CG192*CJ192*VLOOKUP('Données projet'!$B$12,Paramètres!$A$1:$I$89,3,0)*0.475*44/12</f>
        <v>4.3278323214755591E-25</v>
      </c>
      <c r="CN192" s="24">
        <f t="shared" si="172"/>
        <v>0.20934846803137289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466.4945858005575</v>
      </c>
      <c r="CZ192" s="62">
        <f t="shared" si="150"/>
        <v>294.45557293177131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0.1188241349560078</v>
      </c>
      <c r="DH192" s="23">
        <f>EXP(-LN(2)/2)*DH191+(1-EXP(-LN(2)/2))/(LN(2)/2)*DB192*DE192*VLOOKUP('Données projet'!$B$13,Paramètres!$A$1:$I$89,3,0)*0.475*44/12</f>
        <v>1.8644473332601856E-23</v>
      </c>
      <c r="DI192" s="24">
        <f t="shared" si="175"/>
        <v>0.1188241349560078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1.0818439477588981E-13</v>
      </c>
      <c r="DQ192" s="14">
        <f t="shared" si="176"/>
        <v>1.6104228458716316E-12</v>
      </c>
      <c r="DR192" s="22">
        <f t="shared" si="177"/>
        <v>2.9932409441277661E-12</v>
      </c>
      <c r="DS192" s="62">
        <f t="shared" si="125"/>
        <v>293.33333333333633</v>
      </c>
      <c r="DT192" s="62">
        <f ca="1">AVERAGE(OFFSET($DS$3,0,0,'Données projet'!$E$14+1,1))-AVERAGE(OFFSET($H$3,0,0,'Données projet'!$E$14+1,1))</f>
        <v>404.20764079465965</v>
      </c>
      <c r="DU192" s="62">
        <f t="shared" si="152"/>
        <v>243.23852967152732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2.3542228834652481E-23</v>
      </c>
      <c r="ED192" s="24">
        <f t="shared" si="178"/>
        <v>2.3542228834652481E-23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439.06700232017681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0.1081184386894012</v>
      </c>
      <c r="AB193" s="23">
        <f>EXP(-LN(2)/2)*AB192+(1-EXP(-LN(2)/2))/(LN(2)/2)*V193*Y193*VLOOKUP('Données projet'!$B$9,Paramètres!$A$1:$I$89,3,0)*0.475*44/12</f>
        <v>1.2333076523512804E-23</v>
      </c>
      <c r="AC193" s="24">
        <f t="shared" si="163"/>
        <v>0.1081184386894012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396.92963589781414</v>
      </c>
      <c r="AO193" s="62">
        <f t="shared" si="144"/>
        <v>294.38852181137639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4.4337866711430253E-14</v>
      </c>
      <c r="BF193" s="14">
        <f t="shared" si="167"/>
        <v>7.3222115536967035E-13</v>
      </c>
      <c r="BG193" s="22">
        <f t="shared" si="168"/>
        <v>1.3525069634579169E-12</v>
      </c>
      <c r="BH193" s="62">
        <f t="shared" si="116"/>
        <v>293.33333333333468</v>
      </c>
      <c r="BI193" s="62">
        <f ca="1">AVERAGE(OFFSET($BH$3,0,0,'Données projet'!$E$11+1,1))-AVERAGE(OFFSET($H$3,0,0,'Données projet'!$E$11+1,1))</f>
        <v>288.82868507674738</v>
      </c>
      <c r="BJ193" s="62">
        <f t="shared" si="146"/>
        <v>283.48738729114024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8.2234222430322801E-2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8.2234222430322801E-2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405.09126081846171</v>
      </c>
      <c r="CE193" s="62">
        <f t="shared" si="148"/>
        <v>534.22295841722166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0.10119828448940389</v>
      </c>
      <c r="CL193" s="23">
        <f>EXP(-LN(2)/25)*CL192+(1-EXP(-LN(2)/25))/(LN(2)/25)*Calculateur!CG193*Calculateur!CI193*VLOOKUP('Données projet'!$B$12,Paramètres!$A$1:$I$89,3,0)*0.475*44/12</f>
        <v>0.1032240324271203</v>
      </c>
      <c r="CM193" s="23">
        <f>EXP(-LN(2)/2)*CM192+(1-EXP(-LN(2)/2))/(LN(2)/2)*CG193*CJ193*VLOOKUP('Données projet'!$B$12,Paramètres!$A$1:$I$89,3,0)*0.475*44/12</f>
        <v>3.0602395823536863E-25</v>
      </c>
      <c r="CN193" s="24">
        <f t="shared" si="172"/>
        <v>0.20442231691652418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466.4945858005575</v>
      </c>
      <c r="CZ193" s="62">
        <f t="shared" si="150"/>
        <v>294.45557293177131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0.11557488273694608</v>
      </c>
      <c r="DH193" s="23">
        <f>EXP(-LN(2)/2)*DH192+(1-EXP(-LN(2)/2))/(LN(2)/2)*DB193*DE193*VLOOKUP('Données projet'!$B$13,Paramètres!$A$1:$I$89,3,0)*0.475*44/12</f>
        <v>1.3183633525134521E-23</v>
      </c>
      <c r="DI193" s="24">
        <f t="shared" si="175"/>
        <v>0.11557488273694608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1.0818439477588981E-13</v>
      </c>
      <c r="DQ193" s="14">
        <f t="shared" si="176"/>
        <v>1.6104228458716316E-12</v>
      </c>
      <c r="DR193" s="22">
        <f t="shared" si="177"/>
        <v>2.9932409441277661E-12</v>
      </c>
      <c r="DS193" s="62">
        <f t="shared" si="125"/>
        <v>293.33333333333633</v>
      </c>
      <c r="DT193" s="62">
        <f ca="1">AVERAGE(OFFSET($DS$3,0,0,'Données projet'!$E$14+1,1))-AVERAGE(OFFSET($H$3,0,0,'Données projet'!$E$14+1,1))</f>
        <v>404.20764079465965</v>
      </c>
      <c r="DU193" s="62">
        <f t="shared" si="152"/>
        <v>243.23852967152732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1.6646869653228241E-23</v>
      </c>
      <c r="ED193" s="24">
        <f t="shared" si="178"/>
        <v>1.6646869653228241E-23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439.06700232017681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0.10516193429773794</v>
      </c>
      <c r="AB194" s="23">
        <f>EXP(-LN(2)/2)*AB193+(1-EXP(-LN(2)/2))/(LN(2)/2)*V194*Y194*VLOOKUP('Données projet'!$B$9,Paramètres!$A$1:$I$89,3,0)*0.475*44/12</f>
        <v>8.7208020426685142E-24</v>
      </c>
      <c r="AC194" s="24">
        <f t="shared" si="163"/>
        <v>0.10516193429773794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396.92963589781414</v>
      </c>
      <c r="AO194" s="62">
        <f t="shared" si="144"/>
        <v>294.38852181137639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4.4337866711430253E-14</v>
      </c>
      <c r="BF194" s="14">
        <f t="shared" si="167"/>
        <v>7.3222115536967035E-13</v>
      </c>
      <c r="BG194" s="22">
        <f t="shared" si="168"/>
        <v>1.3525069634579169E-12</v>
      </c>
      <c r="BH194" s="62">
        <f t="shared" si="116"/>
        <v>293.33333333333468</v>
      </c>
      <c r="BI194" s="62">
        <f ca="1">AVERAGE(OFFSET($BH$3,0,0,'Données projet'!$E$11+1,1))-AVERAGE(OFFSET($H$3,0,0,'Données projet'!$E$11+1,1))</f>
        <v>288.82868507674738</v>
      </c>
      <c r="BJ194" s="62">
        <f t="shared" si="146"/>
        <v>283.48738729114024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7.9985523293455818E-2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7.9985523293455818E-2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405.09126081846171</v>
      </c>
      <c r="CE194" s="62">
        <f t="shared" si="148"/>
        <v>534.22295841722166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9.9213847855425391E-2</v>
      </c>
      <c r="CL194" s="23">
        <f>EXP(-LN(2)/25)*CL193+(1-EXP(-LN(2)/25))/(LN(2)/25)*Calculateur!CG194*Calculateur!CI194*VLOOKUP('Données projet'!$B$12,Paramètres!$A$1:$I$89,3,0)*0.475*44/12</f>
        <v>0.10040136583208475</v>
      </c>
      <c r="CM194" s="23">
        <f>EXP(-LN(2)/2)*CM193+(1-EXP(-LN(2)/2))/(LN(2)/2)*CG194*CJ194*VLOOKUP('Données projet'!$B$12,Paramètres!$A$1:$I$89,3,0)*0.475*44/12</f>
        <v>2.1639161607377796E-25</v>
      </c>
      <c r="CN194" s="24">
        <f t="shared" si="172"/>
        <v>0.19961521368751015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466.4945858005575</v>
      </c>
      <c r="CZ194" s="62">
        <f t="shared" si="150"/>
        <v>294.45557293177131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0.11241448149068535</v>
      </c>
      <c r="DH194" s="23">
        <f>EXP(-LN(2)/2)*DH193+(1-EXP(-LN(2)/2))/(LN(2)/2)*DB194*DE194*VLOOKUP('Données projet'!$B$13,Paramètres!$A$1:$I$89,3,0)*0.475*44/12</f>
        <v>9.3222366663009293E-24</v>
      </c>
      <c r="DI194" s="24">
        <f t="shared" si="175"/>
        <v>0.11241448149068535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1.0818439477588981E-13</v>
      </c>
      <c r="DQ194" s="14">
        <f t="shared" si="176"/>
        <v>1.6104228458716316E-12</v>
      </c>
      <c r="DR194" s="22">
        <f t="shared" si="177"/>
        <v>2.9932409441277661E-12</v>
      </c>
      <c r="DS194" s="62">
        <f t="shared" si="125"/>
        <v>293.33333333333633</v>
      </c>
      <c r="DT194" s="62">
        <f ca="1">AVERAGE(OFFSET($DS$3,0,0,'Données projet'!$E$14+1,1))-AVERAGE(OFFSET($H$3,0,0,'Données projet'!$E$14+1,1))</f>
        <v>404.20764079465965</v>
      </c>
      <c r="DU194" s="62">
        <f t="shared" si="152"/>
        <v>243.23852967152732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1.177111441732624E-23</v>
      </c>
      <c r="ED194" s="24">
        <f t="shared" si="178"/>
        <v>1.177111441732624E-23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439.06700232017681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0.10228627567414053</v>
      </c>
      <c r="AB195" s="23">
        <f>EXP(-LN(2)/2)*AB194+(1-EXP(-LN(2)/2))/(LN(2)/2)*V195*Y195*VLOOKUP('Données projet'!$B$9,Paramètres!$A$1:$I$89,3,0)*0.475*44/12</f>
        <v>6.1665382617564018E-24</v>
      </c>
      <c r="AC195" s="24">
        <f t="shared" si="163"/>
        <v>0.10228627567414053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396.92963589781414</v>
      </c>
      <c r="AO195" s="62">
        <f t="shared" si="144"/>
        <v>294.38852181137639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4.4337866711430253E-14</v>
      </c>
      <c r="BF195" s="14">
        <f t="shared" si="167"/>
        <v>7.3222115536967035E-13</v>
      </c>
      <c r="BG195" s="22">
        <f t="shared" si="168"/>
        <v>1.3525069634579169E-12</v>
      </c>
      <c r="BH195" s="62">
        <f t="shared" si="116"/>
        <v>293.33333333333468</v>
      </c>
      <c r="BI195" s="62">
        <f ca="1">AVERAGE(OFFSET($BH$3,0,0,'Données projet'!$E$11+1,1))-AVERAGE(OFFSET($H$3,0,0,'Données projet'!$E$11+1,1))</f>
        <v>288.82868507674738</v>
      </c>
      <c r="BJ195" s="62">
        <f t="shared" si="146"/>
        <v>283.48738729114024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7.7798314952740408E-2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7.7798314952740408E-2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405.09126081846171</v>
      </c>
      <c r="CE195" s="62">
        <f t="shared" si="148"/>
        <v>534.22295841722166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9.7268324813452378E-2</v>
      </c>
      <c r="CL195" s="23">
        <f>EXP(-LN(2)/25)*CL194+(1-EXP(-LN(2)/25))/(LN(2)/25)*Calculateur!CG195*Calculateur!CI195*VLOOKUP('Données projet'!$B$12,Paramètres!$A$1:$I$89,3,0)*0.475*44/12</f>
        <v>9.7655885203528039E-2</v>
      </c>
      <c r="CM195" s="23">
        <f>EXP(-LN(2)/2)*CM194+(1-EXP(-LN(2)/2))/(LN(2)/2)*CG195*CJ195*VLOOKUP('Données projet'!$B$12,Paramètres!$A$1:$I$89,3,0)*0.475*44/12</f>
        <v>1.5301197911768432E-25</v>
      </c>
      <c r="CN195" s="24">
        <f t="shared" si="172"/>
        <v>0.1949242100169804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466.4945858005575</v>
      </c>
      <c r="CZ195" s="62">
        <f t="shared" si="150"/>
        <v>294.45557293177131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0.10934050158270191</v>
      </c>
      <c r="DH195" s="23">
        <f>EXP(-LN(2)/2)*DH194+(1-EXP(-LN(2)/2))/(LN(2)/2)*DB195*DE195*VLOOKUP('Données projet'!$B$13,Paramètres!$A$1:$I$89,3,0)*0.475*44/12</f>
        <v>6.591816762567262E-24</v>
      </c>
      <c r="DI195" s="24">
        <f t="shared" si="175"/>
        <v>0.10934050158270191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1.0818439477588981E-13</v>
      </c>
      <c r="DQ195" s="14">
        <f t="shared" si="176"/>
        <v>1.6104228458716316E-12</v>
      </c>
      <c r="DR195" s="22">
        <f t="shared" si="177"/>
        <v>2.9932409441277661E-12</v>
      </c>
      <c r="DS195" s="62">
        <f t="shared" si="125"/>
        <v>293.33333333333633</v>
      </c>
      <c r="DT195" s="62">
        <f ca="1">AVERAGE(OFFSET($DS$3,0,0,'Données projet'!$E$14+1,1))-AVERAGE(OFFSET($H$3,0,0,'Données projet'!$E$14+1,1))</f>
        <v>404.20764079465965</v>
      </c>
      <c r="DU195" s="62">
        <f t="shared" si="152"/>
        <v>243.23852967152732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8.3234348266141206E-24</v>
      </c>
      <c r="ED195" s="24">
        <f t="shared" si="178"/>
        <v>8.3234348266141206E-24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439.06700232017681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9.9489252086829696E-2</v>
      </c>
      <c r="AB196" s="23">
        <f>EXP(-LN(2)/2)*AB195+(1-EXP(-LN(2)/2))/(LN(2)/2)*V196*Y196*VLOOKUP('Données projet'!$B$9,Paramètres!$A$1:$I$89,3,0)*0.475*44/12</f>
        <v>4.3604010213342571E-24</v>
      </c>
      <c r="AC196" s="24">
        <f t="shared" si="163"/>
        <v>9.9489252086829696E-2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396.92963589781414</v>
      </c>
      <c r="AO196" s="62">
        <f t="shared" si="144"/>
        <v>294.38852181137639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4.4337866711430253E-14</v>
      </c>
      <c r="BF196" s="14">
        <f t="shared" si="167"/>
        <v>7.3222115536967035E-13</v>
      </c>
      <c r="BG196" s="22">
        <f t="shared" si="168"/>
        <v>1.3525069634579169E-12</v>
      </c>
      <c r="BH196" s="62">
        <f t="shared" ref="BH196:BH203" si="194">BG196+(AY196+AZ196)*44/12</f>
        <v>293.33333333333468</v>
      </c>
      <c r="BI196" s="62">
        <f ca="1">AVERAGE(OFFSET($BH$3,0,0,'Données projet'!$E$11+1,1))-AVERAGE(OFFSET($H$3,0,0,'Données projet'!$E$11+1,1))</f>
        <v>288.82868507674738</v>
      </c>
      <c r="BJ196" s="62">
        <f t="shared" si="146"/>
        <v>283.48738729114024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7.5670915939122146E-2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7.5670915939122146E-2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405.09126081846171</v>
      </c>
      <c r="CE196" s="62">
        <f t="shared" si="148"/>
        <v>534.22295841722166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9.5360952291680581E-2</v>
      </c>
      <c r="CL196" s="23">
        <f>EXP(-LN(2)/25)*CL195+(1-EXP(-LN(2)/25))/(LN(2)/25)*Calculateur!CG196*Calculateur!CI196*VLOOKUP('Données projet'!$B$12,Paramètres!$A$1:$I$89,3,0)*0.475*44/12</f>
        <v>9.4985479887137764E-2</v>
      </c>
      <c r="CM196" s="23">
        <f>EXP(-LN(2)/2)*CM195+(1-EXP(-LN(2)/2))/(LN(2)/2)*CG196*CJ196*VLOOKUP('Données projet'!$B$12,Paramètres!$A$1:$I$89,3,0)*0.475*44/12</f>
        <v>1.0819580803688898E-25</v>
      </c>
      <c r="CN196" s="24">
        <f t="shared" si="172"/>
        <v>0.19034643217881836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466.4945858005575</v>
      </c>
      <c r="CZ196" s="62">
        <f t="shared" si="150"/>
        <v>294.45557293177131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0.10635057981695585</v>
      </c>
      <c r="DH196" s="23">
        <f>EXP(-LN(2)/2)*DH195+(1-EXP(-LN(2)/2))/(LN(2)/2)*DB196*DE196*VLOOKUP('Données projet'!$B$13,Paramètres!$A$1:$I$89,3,0)*0.475*44/12</f>
        <v>4.6611183331504654E-24</v>
      </c>
      <c r="DI196" s="24">
        <f t="shared" si="175"/>
        <v>0.10635057981695585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1.0818439477588981E-13</v>
      </c>
      <c r="DQ196" s="14">
        <f t="shared" si="176"/>
        <v>1.6104228458716316E-12</v>
      </c>
      <c r="DR196" s="22">
        <f t="shared" si="177"/>
        <v>2.9932409441277661E-12</v>
      </c>
      <c r="DS196" s="62">
        <f t="shared" ref="DS196:DS203" si="197">DR196+(DJ196+DK196)*44/12</f>
        <v>293.33333333333633</v>
      </c>
      <c r="DT196" s="62">
        <f ca="1">AVERAGE(OFFSET($DS$3,0,0,'Données projet'!$E$14+1,1))-AVERAGE(OFFSET($H$3,0,0,'Données projet'!$E$14+1,1))</f>
        <v>404.20764079465965</v>
      </c>
      <c r="DU196" s="62">
        <f t="shared" si="152"/>
        <v>243.23852967152732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5.8855572086631202E-24</v>
      </c>
      <c r="ED196" s="24">
        <f t="shared" si="178"/>
        <v>5.8855572086631202E-24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439.06700232017681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9.6768713256602953E-2</v>
      </c>
      <c r="AB197" s="23">
        <f>EXP(-LN(2)/2)*AB196+(1-EXP(-LN(2)/2))/(LN(2)/2)*V197*Y197*VLOOKUP('Données projet'!$B$9,Paramètres!$A$1:$I$89,3,0)*0.475*44/12</f>
        <v>3.0832691308782009E-24</v>
      </c>
      <c r="AC197" s="24">
        <f t="shared" si="163"/>
        <v>9.6768713256602953E-2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396.92963589781414</v>
      </c>
      <c r="AO197" s="62">
        <f t="shared" ref="AO197:AO203" si="205">$AO$3</f>
        <v>294.38852181137639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4.4337866711430253E-14</v>
      </c>
      <c r="BF197" s="14">
        <f t="shared" si="167"/>
        <v>7.3222115536967035E-13</v>
      </c>
      <c r="BG197" s="22">
        <f t="shared" si="168"/>
        <v>1.3525069634579169E-12</v>
      </c>
      <c r="BH197" s="62">
        <f t="shared" si="194"/>
        <v>293.33333333333468</v>
      </c>
      <c r="BI197" s="62">
        <f ca="1">AVERAGE(OFFSET($BH$3,0,0,'Données projet'!$E$11+1,1))-AVERAGE(OFFSET($H$3,0,0,'Données projet'!$E$11+1,1))</f>
        <v>288.82868507674738</v>
      </c>
      <c r="BJ197" s="62">
        <f t="shared" ref="BJ197:BJ203" si="206">$BJ$3</f>
        <v>283.48738729114024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7.3601690763406336E-2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7.3601690763406336E-2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405.09126081846171</v>
      </c>
      <c r="CE197" s="62">
        <f t="shared" ref="CE197:CE203" si="207">$CE$3</f>
        <v>534.22295841722166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9.3490982181678367E-2</v>
      </c>
      <c r="CL197" s="23">
        <f>EXP(-LN(2)/25)*CL196+(1-EXP(-LN(2)/25))/(LN(2)/25)*Calculateur!CG197*Calculateur!CI197*VLOOKUP('Données projet'!$B$12,Paramètres!$A$1:$I$89,3,0)*0.475*44/12</f>
        <v>9.2388096944554687E-2</v>
      </c>
      <c r="CM197" s="23">
        <f>EXP(-LN(2)/2)*CM196+(1-EXP(-LN(2)/2))/(LN(2)/2)*CG197*CJ197*VLOOKUP('Données projet'!$B$12,Paramètres!$A$1:$I$89,3,0)*0.475*44/12</f>
        <v>7.6505989558842158E-26</v>
      </c>
      <c r="CN197" s="24">
        <f t="shared" si="172"/>
        <v>0.18587907912623305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466.4945858005575</v>
      </c>
      <c r="CZ197" s="62">
        <f t="shared" ref="CZ197:CZ203" si="208">$CZ$3</f>
        <v>294.45557293177131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0.10344241761912727</v>
      </c>
      <c r="DH197" s="23">
        <f>EXP(-LN(2)/2)*DH196+(1-EXP(-LN(2)/2))/(LN(2)/2)*DB197*DE197*VLOOKUP('Données projet'!$B$13,Paramètres!$A$1:$I$89,3,0)*0.475*44/12</f>
        <v>3.2959083812836314E-24</v>
      </c>
      <c r="DI197" s="24">
        <f t="shared" si="175"/>
        <v>0.10344241761912727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1.0818439477588981E-13</v>
      </c>
      <c r="DQ197" s="14">
        <f t="shared" si="176"/>
        <v>1.6104228458716316E-12</v>
      </c>
      <c r="DR197" s="22">
        <f t="shared" si="177"/>
        <v>2.9932409441277661E-12</v>
      </c>
      <c r="DS197" s="62">
        <f t="shared" si="197"/>
        <v>293.33333333333633</v>
      </c>
      <c r="DT197" s="62">
        <f ca="1">AVERAGE(OFFSET($DS$3,0,0,'Données projet'!$E$14+1,1))-AVERAGE(OFFSET($H$3,0,0,'Données projet'!$E$14+1,1))</f>
        <v>404.20764079465965</v>
      </c>
      <c r="DU197" s="62">
        <f t="shared" ref="DU197:DU203" si="209">$DU$3</f>
        <v>243.23852967152732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4.1617174133070603E-24</v>
      </c>
      <c r="ED197" s="24">
        <f t="shared" si="178"/>
        <v>4.1617174133070603E-24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439.06700232017681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9.4122567703755683E-2</v>
      </c>
      <c r="AB198" s="23">
        <f>EXP(-LN(2)/2)*AB197+(1-EXP(-LN(2)/2))/(LN(2)/2)*V198*Y198*VLOOKUP('Données projet'!$B$9,Paramètres!$A$1:$I$89,3,0)*0.475*44/12</f>
        <v>2.1802005106671286E-24</v>
      </c>
      <c r="AC198" s="24">
        <f t="shared" si="163"/>
        <v>9.4122567703755683E-2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396.92963589781414</v>
      </c>
      <c r="AO198" s="62">
        <f t="shared" si="205"/>
        <v>294.38852181137639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4.4337866711430253E-14</v>
      </c>
      <c r="BF198" s="14">
        <f t="shared" si="167"/>
        <v>7.3222115536967035E-13</v>
      </c>
      <c r="BG198" s="22">
        <f t="shared" si="168"/>
        <v>1.3525069634579169E-12</v>
      </c>
      <c r="BH198" s="62">
        <f t="shared" si="194"/>
        <v>293.33333333333468</v>
      </c>
      <c r="BI198" s="62">
        <f ca="1">AVERAGE(OFFSET($BH$3,0,0,'Données projet'!$E$11+1,1))-AVERAGE(OFFSET($H$3,0,0,'Données projet'!$E$11+1,1))</f>
        <v>288.82868507674738</v>
      </c>
      <c r="BJ198" s="62">
        <f t="shared" si="206"/>
        <v>283.48738729114024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7.1589048658936297E-2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7.1589048658936297E-2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405.09126081846171</v>
      </c>
      <c r="CE198" s="62">
        <f t="shared" si="207"/>
        <v>534.22295841722166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9.1657681044964148E-2</v>
      </c>
      <c r="CL198" s="23">
        <f>EXP(-LN(2)/25)*CL197+(1-EXP(-LN(2)/25))/(LN(2)/25)*Calculateur!CG198*Calculateur!CI198*VLOOKUP('Données projet'!$B$12,Paramètres!$A$1:$I$89,3,0)*0.475*44/12</f>
        <v>8.9861739575126984E-2</v>
      </c>
      <c r="CM198" s="23">
        <f>EXP(-LN(2)/2)*CM197+(1-EXP(-LN(2)/2))/(LN(2)/2)*CG198*CJ198*VLOOKUP('Données projet'!$B$12,Paramètres!$A$1:$I$89,3,0)*0.475*44/12</f>
        <v>5.4097904018444489E-26</v>
      </c>
      <c r="CN198" s="24">
        <f t="shared" si="172"/>
        <v>0.18151942062009113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466.4945858005575</v>
      </c>
      <c r="CZ198" s="62">
        <f t="shared" si="208"/>
        <v>294.45557293177131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0.10061377926953191</v>
      </c>
      <c r="DH198" s="23">
        <f>EXP(-LN(2)/2)*DH197+(1-EXP(-LN(2)/2))/(LN(2)/2)*DB198*DE198*VLOOKUP('Données projet'!$B$13,Paramètres!$A$1:$I$89,3,0)*0.475*44/12</f>
        <v>2.3305591665752331E-24</v>
      </c>
      <c r="DI198" s="24">
        <f t="shared" si="175"/>
        <v>0.10061377926953191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1.0818439477588981E-13</v>
      </c>
      <c r="DQ198" s="14">
        <f t="shared" si="176"/>
        <v>1.6104228458716316E-12</v>
      </c>
      <c r="DR198" s="22">
        <f t="shared" si="177"/>
        <v>2.9932409441277661E-12</v>
      </c>
      <c r="DS198" s="62">
        <f t="shared" si="197"/>
        <v>293.33333333333633</v>
      </c>
      <c r="DT198" s="62">
        <f ca="1">AVERAGE(OFFSET($DS$3,0,0,'Données projet'!$E$14+1,1))-AVERAGE(OFFSET($H$3,0,0,'Données projet'!$E$14+1,1))</f>
        <v>404.20764079465965</v>
      </c>
      <c r="DU198" s="62">
        <f t="shared" si="209"/>
        <v>243.23852967152732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2.9427786043315601E-24</v>
      </c>
      <c r="ED198" s="24">
        <f t="shared" si="178"/>
        <v>2.9427786043315601E-24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439.06700232017681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9.1548781140205773E-2</v>
      </c>
      <c r="AB199" s="23">
        <f>EXP(-LN(2)/2)*AB198+(1-EXP(-LN(2)/2))/(LN(2)/2)*V199*Y199*VLOOKUP('Données projet'!$B$9,Paramètres!$A$1:$I$89,3,0)*0.475*44/12</f>
        <v>1.5416345654391005E-24</v>
      </c>
      <c r="AC199" s="24">
        <f t="shared" si="163"/>
        <v>9.1548781140205773E-2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396.92963589781414</v>
      </c>
      <c r="AO199" s="62">
        <f t="shared" si="205"/>
        <v>294.38852181137639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4.4337866711430253E-14</v>
      </c>
      <c r="BF199" s="14">
        <f t="shared" si="167"/>
        <v>7.3222115536967035E-13</v>
      </c>
      <c r="BG199" s="22">
        <f t="shared" si="168"/>
        <v>1.3525069634579169E-12</v>
      </c>
      <c r="BH199" s="62">
        <f t="shared" si="194"/>
        <v>293.33333333333468</v>
      </c>
      <c r="BI199" s="62">
        <f ca="1">AVERAGE(OFFSET($BH$3,0,0,'Données projet'!$E$11+1,1))-AVERAGE(OFFSET($H$3,0,0,'Données projet'!$E$11+1,1))</f>
        <v>288.82868507674738</v>
      </c>
      <c r="BJ199" s="62">
        <f t="shared" si="206"/>
        <v>283.48738729114024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6.9631442358653234E-2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6.9631442358653234E-2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405.09126081846171</v>
      </c>
      <c r="CE199" s="62">
        <f t="shared" si="207"/>
        <v>534.22295841722166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8.9860329825337606E-2</v>
      </c>
      <c r="CL199" s="23">
        <f>EXP(-LN(2)/25)*CL198+(1-EXP(-LN(2)/25))/(LN(2)/25)*Calculateur!CG199*Calculateur!CI199*VLOOKUP('Données projet'!$B$12,Paramètres!$A$1:$I$89,3,0)*0.475*44/12</f>
        <v>8.7404465580821628E-2</v>
      </c>
      <c r="CM199" s="23">
        <f>EXP(-LN(2)/2)*CM198+(1-EXP(-LN(2)/2))/(LN(2)/2)*CG199*CJ199*VLOOKUP('Données projet'!$B$12,Paramètres!$A$1:$I$89,3,0)*0.475*44/12</f>
        <v>3.8252994779421079E-26</v>
      </c>
      <c r="CN199" s="24">
        <f t="shared" si="172"/>
        <v>0.17726479540615925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466.4945858005575</v>
      </c>
      <c r="CZ199" s="62">
        <f t="shared" si="208"/>
        <v>294.45557293177131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9.7862490184357859E-2</v>
      </c>
      <c r="DH199" s="23">
        <f>EXP(-LN(2)/2)*DH198+(1-EXP(-LN(2)/2))/(LN(2)/2)*DB199*DE199*VLOOKUP('Données projet'!$B$13,Paramètres!$A$1:$I$89,3,0)*0.475*44/12</f>
        <v>1.6479541906418161E-24</v>
      </c>
      <c r="DI199" s="24">
        <f t="shared" si="175"/>
        <v>9.7862490184357859E-2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1.0818439477588981E-13</v>
      </c>
      <c r="DQ199" s="14">
        <f t="shared" si="176"/>
        <v>1.6104228458716316E-12</v>
      </c>
      <c r="DR199" s="22">
        <f t="shared" si="177"/>
        <v>2.9932409441277661E-12</v>
      </c>
      <c r="DS199" s="62">
        <f t="shared" si="197"/>
        <v>293.33333333333633</v>
      </c>
      <c r="DT199" s="62">
        <f ca="1">AVERAGE(OFFSET($DS$3,0,0,'Données projet'!$E$14+1,1))-AVERAGE(OFFSET($H$3,0,0,'Données projet'!$E$14+1,1))</f>
        <v>404.20764079465965</v>
      </c>
      <c r="DU199" s="62">
        <f t="shared" si="209"/>
        <v>243.23852967152732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2.0808587066535301E-24</v>
      </c>
      <c r="ED199" s="24">
        <f t="shared" si="178"/>
        <v>2.0808587066535301E-24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439.06700232017681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8.9045374905585686E-2</v>
      </c>
      <c r="AB200" s="23">
        <f>EXP(-LN(2)/2)*AB199+(1-EXP(-LN(2)/2))/(LN(2)/2)*V200*Y200*VLOOKUP('Données projet'!$B$9,Paramètres!$A$1:$I$89,3,0)*0.475*44/12</f>
        <v>1.0901002553335643E-24</v>
      </c>
      <c r="AC200" s="24">
        <f t="shared" si="163"/>
        <v>8.9045374905585686E-2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396.92963589781414</v>
      </c>
      <c r="AO200" s="62">
        <f t="shared" si="205"/>
        <v>294.38852181137639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4.4337866711430253E-14</v>
      </c>
      <c r="BF200" s="14">
        <f t="shared" si="167"/>
        <v>7.3222115536967035E-13</v>
      </c>
      <c r="BG200" s="22">
        <f t="shared" si="168"/>
        <v>1.3525069634579169E-12</v>
      </c>
      <c r="BH200" s="62">
        <f t="shared" si="194"/>
        <v>293.33333333333468</v>
      </c>
      <c r="BI200" s="62">
        <f ca="1">AVERAGE(OFFSET($BH$3,0,0,'Données projet'!$E$11+1,1))-AVERAGE(OFFSET($H$3,0,0,'Données projet'!$E$11+1,1))</f>
        <v>288.82868507674738</v>
      </c>
      <c r="BJ200" s="62">
        <f t="shared" si="206"/>
        <v>283.48738729114024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6.7727366905597455E-2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6.7727366905597455E-2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405.09126081846171</v>
      </c>
      <c r="CE200" s="62">
        <f t="shared" si="207"/>
        <v>534.22295841722166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8.8098223566851958E-2</v>
      </c>
      <c r="CL200" s="23">
        <f>EXP(-LN(2)/25)*CL199+(1-EXP(-LN(2)/25))/(LN(2)/25)*Calculateur!CG200*Calculateur!CI200*VLOOKUP('Données projet'!$B$12,Paramètres!$A$1:$I$89,3,0)*0.475*44/12</f>
        <v>8.5014385873112983E-2</v>
      </c>
      <c r="CM200" s="23">
        <f>EXP(-LN(2)/2)*CM199+(1-EXP(-LN(2)/2))/(LN(2)/2)*CG200*CJ200*VLOOKUP('Données projet'!$B$12,Paramètres!$A$1:$I$89,3,0)*0.475*44/12</f>
        <v>2.7048952009222245E-26</v>
      </c>
      <c r="CN200" s="24">
        <f t="shared" si="172"/>
        <v>0.17311260943996493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466.4945858005575</v>
      </c>
      <c r="CZ200" s="62">
        <f t="shared" si="208"/>
        <v>294.45557293177131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9.5186435243901898E-2</v>
      </c>
      <c r="DH200" s="23">
        <f>EXP(-LN(2)/2)*DH199+(1-EXP(-LN(2)/2))/(LN(2)/2)*DB200*DE200*VLOOKUP('Données projet'!$B$13,Paramètres!$A$1:$I$89,3,0)*0.475*44/12</f>
        <v>1.1652795832876167E-24</v>
      </c>
      <c r="DI200" s="24">
        <f t="shared" si="175"/>
        <v>9.5186435243901898E-2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1.0818439477588981E-13</v>
      </c>
      <c r="DQ200" s="14">
        <f t="shared" si="176"/>
        <v>1.6104228458716316E-12</v>
      </c>
      <c r="DR200" s="22">
        <f t="shared" si="177"/>
        <v>2.9932409441277661E-12</v>
      </c>
      <c r="DS200" s="62">
        <f t="shared" si="197"/>
        <v>293.33333333333633</v>
      </c>
      <c r="DT200" s="62">
        <f ca="1">AVERAGE(OFFSET($DS$3,0,0,'Données projet'!$E$14+1,1))-AVERAGE(OFFSET($H$3,0,0,'Données projet'!$E$14+1,1))</f>
        <v>404.20764079465965</v>
      </c>
      <c r="DU200" s="62">
        <f t="shared" si="209"/>
        <v>243.23852967152732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1.47138930216578E-24</v>
      </c>
      <c r="ED200" s="24">
        <f t="shared" si="178"/>
        <v>1.47138930216578E-24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439.06700232017681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8.661042444609969E-2</v>
      </c>
      <c r="AB201" s="23">
        <f>EXP(-LN(2)/2)*AB200+(1-EXP(-LN(2)/2))/(LN(2)/2)*V201*Y201*VLOOKUP('Données projet'!$B$9,Paramètres!$A$1:$I$89,3,0)*0.475*44/12</f>
        <v>7.7081728271955023E-25</v>
      </c>
      <c r="AC201" s="24">
        <f t="shared" si="163"/>
        <v>8.661042444609969E-2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396.92963589781414</v>
      </c>
      <c r="AO201" s="62">
        <f t="shared" si="205"/>
        <v>294.38852181137639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4.4337866711430253E-14</v>
      </c>
      <c r="BF201" s="14">
        <f t="shared" si="167"/>
        <v>7.3222115536967035E-13</v>
      </c>
      <c r="BG201" s="22">
        <f t="shared" si="168"/>
        <v>1.3525069634579169E-12</v>
      </c>
      <c r="BH201" s="62">
        <f t="shared" si="194"/>
        <v>293.33333333333468</v>
      </c>
      <c r="BI201" s="62">
        <f ca="1">AVERAGE(OFFSET($BH$3,0,0,'Données projet'!$E$11+1,1))-AVERAGE(OFFSET($H$3,0,0,'Données projet'!$E$11+1,1))</f>
        <v>288.82868507674738</v>
      </c>
      <c r="BJ201" s="62">
        <f t="shared" si="206"/>
        <v>283.48738729114024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6.5875358495936454E-2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6.5875358495936454E-2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405.09126081846171</v>
      </c>
      <c r="CE201" s="62">
        <f t="shared" si="207"/>
        <v>534.22295841722166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8.6370671137316515E-2</v>
      </c>
      <c r="CL201" s="23">
        <f>EXP(-LN(2)/25)*CL200+(1-EXP(-LN(2)/25))/(LN(2)/25)*Calculateur!CG201*Calculateur!CI201*VLOOKUP('Données projet'!$B$12,Paramètres!$A$1:$I$89,3,0)*0.475*44/12</f>
        <v>8.2689663020700452E-2</v>
      </c>
      <c r="CM201" s="23">
        <f>EXP(-LN(2)/2)*CM200+(1-EXP(-LN(2)/2))/(LN(2)/2)*CG201*CJ201*VLOOKUP('Données projet'!$B$12,Paramètres!$A$1:$I$89,3,0)*0.475*44/12</f>
        <v>1.9126497389710539E-26</v>
      </c>
      <c r="CN201" s="24">
        <f t="shared" si="172"/>
        <v>0.16906033415801697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466.4945858005575</v>
      </c>
      <c r="CZ201" s="62">
        <f t="shared" si="208"/>
        <v>294.45557293177131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9.2583557166520322E-2</v>
      </c>
      <c r="DH201" s="23">
        <f>EXP(-LN(2)/2)*DH200+(1-EXP(-LN(2)/2))/(LN(2)/2)*DB201*DE201*VLOOKUP('Données projet'!$B$13,Paramètres!$A$1:$I$89,3,0)*0.475*44/12</f>
        <v>8.2397709532090812E-25</v>
      </c>
      <c r="DI201" s="24">
        <f t="shared" si="175"/>
        <v>9.2583557166520322E-2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1.0818439477588981E-13</v>
      </c>
      <c r="DQ201" s="14">
        <f t="shared" si="176"/>
        <v>1.6104228458716316E-12</v>
      </c>
      <c r="DR201" s="22">
        <f t="shared" si="177"/>
        <v>2.9932409441277661E-12</v>
      </c>
      <c r="DS201" s="62">
        <f t="shared" si="197"/>
        <v>293.33333333333633</v>
      </c>
      <c r="DT201" s="62">
        <f ca="1">AVERAGE(OFFSET($DS$3,0,0,'Données projet'!$E$14+1,1))-AVERAGE(OFFSET($H$3,0,0,'Données projet'!$E$14+1,1))</f>
        <v>404.20764079465965</v>
      </c>
      <c r="DU201" s="62">
        <f t="shared" si="209"/>
        <v>243.23852967152732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1.0404293533267651E-24</v>
      </c>
      <c r="ED201" s="24">
        <f t="shared" si="178"/>
        <v>1.0404293533267651E-24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439.06700232017681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8.4242057834976819E-2</v>
      </c>
      <c r="AB202" s="23">
        <f>EXP(-LN(2)/2)*AB201+(1-EXP(-LN(2)/2))/(LN(2)/2)*V202*Y202*VLOOKUP('Données projet'!$B$9,Paramètres!$A$1:$I$89,3,0)*0.475*44/12</f>
        <v>5.4505012766678214E-25</v>
      </c>
      <c r="AC202" s="24">
        <f t="shared" si="163"/>
        <v>8.4242057834976819E-2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396.92963589781414</v>
      </c>
      <c r="AO202" s="62">
        <f t="shared" si="205"/>
        <v>294.38852181137639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4.4337866711430253E-14</v>
      </c>
      <c r="BF202" s="14">
        <f t="shared" si="167"/>
        <v>7.3222115536967035E-13</v>
      </c>
      <c r="BG202" s="22">
        <f t="shared" si="168"/>
        <v>1.3525069634579169E-12</v>
      </c>
      <c r="BH202" s="62">
        <f t="shared" si="194"/>
        <v>293.33333333333468</v>
      </c>
      <c r="BI202" s="62">
        <f ca="1">AVERAGE(OFFSET($BH$3,0,0,'Données projet'!$E$11+1,1))-AVERAGE(OFFSET($H$3,0,0,'Données projet'!$E$11+1,1))</f>
        <v>288.82868507674738</v>
      </c>
      <c r="BJ202" s="62">
        <f t="shared" si="206"/>
        <v>283.48738729114024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6.4073993353630523E-2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6.4073993353630523E-2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405.09126081846171</v>
      </c>
      <c r="CE202" s="62">
        <f t="shared" si="207"/>
        <v>534.22295841722166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8.4676994957221322E-2</v>
      </c>
      <c r="CL202" s="23">
        <f>EXP(-LN(2)/25)*CL201+(1-EXP(-LN(2)/25))/(LN(2)/25)*Calculateur!CG202*Calculateur!CI202*VLOOKUP('Données projet'!$B$12,Paramètres!$A$1:$I$89,3,0)*0.475*44/12</f>
        <v>8.0428509836939013E-2</v>
      </c>
      <c r="CM202" s="23">
        <f>EXP(-LN(2)/2)*CM201+(1-EXP(-LN(2)/2))/(LN(2)/2)*CG202*CJ202*VLOOKUP('Données projet'!$B$12,Paramètres!$A$1:$I$89,3,0)*0.475*44/12</f>
        <v>1.3524476004611122E-26</v>
      </c>
      <c r="CN202" s="24">
        <f t="shared" si="172"/>
        <v>0.16510550479416033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466.4945858005575</v>
      </c>
      <c r="CZ202" s="62">
        <f t="shared" si="208"/>
        <v>294.45557293177131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9.005185492704415E-2</v>
      </c>
      <c r="DH202" s="23">
        <f>EXP(-LN(2)/2)*DH201+(1-EXP(-LN(2)/2))/(LN(2)/2)*DB202*DE202*VLOOKUP('Données projet'!$B$13,Paramètres!$A$1:$I$89,3,0)*0.475*44/12</f>
        <v>5.8263979164380845E-25</v>
      </c>
      <c r="DI202" s="24">
        <f t="shared" si="175"/>
        <v>9.005185492704415E-2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1.0818439477588981E-13</v>
      </c>
      <c r="DQ202" s="14">
        <f t="shared" si="176"/>
        <v>1.6104228458716316E-12</v>
      </c>
      <c r="DR202" s="22">
        <f t="shared" si="177"/>
        <v>2.9932409441277661E-12</v>
      </c>
      <c r="DS202" s="62">
        <f t="shared" si="197"/>
        <v>293.33333333333633</v>
      </c>
      <c r="DT202" s="62">
        <f ca="1">AVERAGE(OFFSET($DS$3,0,0,'Données projet'!$E$14+1,1))-AVERAGE(OFFSET($H$3,0,0,'Données projet'!$E$14+1,1))</f>
        <v>404.20764079465965</v>
      </c>
      <c r="DU202" s="62">
        <f t="shared" si="209"/>
        <v>243.23852967152732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7.3569465108289002E-25</v>
      </c>
      <c r="ED202" s="24">
        <f t="shared" si="178"/>
        <v>7.3569465108289002E-25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439.06700232017681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8.1938454333382094E-2</v>
      </c>
      <c r="AB203" s="23">
        <f>EXP(-LN(2)/2)*AB202+(1-EXP(-LN(2)/2))/(LN(2)/2)*V203*Y203*VLOOKUP('Données projet'!$B$9,Paramètres!$A$1:$I$89,3,0)*0.475*44/12</f>
        <v>3.8540864135977511E-25</v>
      </c>
      <c r="AC203" s="24">
        <f t="shared" si="163"/>
        <v>8.1938454333382094E-2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396.92963589781414</v>
      </c>
      <c r="AO203" s="62">
        <f t="shared" si="205"/>
        <v>294.38852181137639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4.4337866711430253E-14</v>
      </c>
      <c r="BF203" s="14">
        <f t="shared" si="167"/>
        <v>7.3222115536967035E-13</v>
      </c>
      <c r="BG203" s="22">
        <f t="shared" si="168"/>
        <v>1.3525069634579169E-12</v>
      </c>
      <c r="BH203" s="62">
        <f t="shared" si="194"/>
        <v>293.33333333333468</v>
      </c>
      <c r="BI203" s="62">
        <f ca="1">AVERAGE(OFFSET($BH$3,0,0,'Données projet'!$E$11+1,1))-AVERAGE(OFFSET($H$3,0,0,'Données projet'!$E$11+1,1))</f>
        <v>288.82868507674738</v>
      </c>
      <c r="BJ203" s="62">
        <f t="shared" si="206"/>
        <v>283.48738729114024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6.2321886635870627E-2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6.2321886635870627E-2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405.09126081846171</v>
      </c>
      <c r="CE203" s="62">
        <f t="shared" si="207"/>
        <v>534.22295841722166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8.3016530733977328E-2</v>
      </c>
      <c r="CL203" s="23">
        <f>EXP(-LN(2)/25)*CL202+(1-EXP(-LN(2)/25))/(LN(2)/25)*Calculateur!CG203*Calculateur!CI203*VLOOKUP('Données projet'!$B$12,Paramètres!$A$1:$I$89,3,0)*0.475*44/12</f>
        <v>7.82291880058964E-2</v>
      </c>
      <c r="CM203" s="23">
        <f>EXP(-LN(2)/2)*CM202+(1-EXP(-LN(2)/2))/(LN(2)/2)*CG203*CJ203*VLOOKUP('Données projet'!$B$12,Paramètres!$A$1:$I$89,3,0)*0.475*44/12</f>
        <v>9.5632486948552697E-27</v>
      </c>
      <c r="CN203" s="24">
        <f t="shared" si="172"/>
        <v>0.16124571873987373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466.4945858005575</v>
      </c>
      <c r="CZ203" s="62">
        <f t="shared" si="208"/>
        <v>294.45557293177131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8.7589382218442896E-2</v>
      </c>
      <c r="DH203" s="23">
        <f>EXP(-LN(2)/2)*DH202+(1-EXP(-LN(2)/2))/(LN(2)/2)*DB203*DE203*VLOOKUP('Données projet'!$B$13,Paramètres!$A$1:$I$89,3,0)*0.475*44/12</f>
        <v>4.1198854766045415E-25</v>
      </c>
      <c r="DI203" s="24">
        <f t="shared" si="175"/>
        <v>8.7589382218442896E-2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1.0818439477588981E-13</v>
      </c>
      <c r="DQ203" s="14">
        <f t="shared" si="176"/>
        <v>1.6104228458716316E-12</v>
      </c>
      <c r="DR203" s="22">
        <f t="shared" si="177"/>
        <v>2.9932409441277661E-12</v>
      </c>
      <c r="DS203" s="62">
        <f t="shared" si="197"/>
        <v>293.33333333333633</v>
      </c>
      <c r="DT203" s="62">
        <f ca="1">AVERAGE(OFFSET($DS$3,0,0,'Données projet'!$E$14+1,1))-AVERAGE(OFFSET($H$3,0,0,'Données projet'!$E$14+1,1))</f>
        <v>404.20764079465965</v>
      </c>
      <c r="DU203" s="62">
        <f t="shared" si="209"/>
        <v>243.23852967152732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5.2021467666338254E-25</v>
      </c>
      <c r="ED203" s="24">
        <f t="shared" si="178"/>
        <v>5.2021467666338254E-25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>
        <f>EXP(LN('Données projet'!B88)/'Données projet'!A88)</f>
        <v>1.2788040393997409</v>
      </c>
      <c r="BV205" s="88">
        <f>EXP(LN('Données projet'!B114)/'Données projet'!A114)</f>
        <v>1.3539956307764309</v>
      </c>
      <c r="CQ205" s="88">
        <f>EXP(LN('Données projet'!B140)/'Données projet'!A140)</f>
        <v>1.2392705892426346</v>
      </c>
      <c r="DL205" s="88">
        <f>EXP(LN('Données projet'!B166)/'Données projet'!A166)</f>
        <v>1.185906184594963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13" workbookViewId="0">
      <selection activeCell="F15" sqref="F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1.9453</v>
      </c>
      <c r="C6" s="156">
        <f ca="1">IF(OR('Données projet'!B9="",'Données projet'!C9="",'Données projet'!C9=0%),0,Calculateur!S3)</f>
        <v>439.06700232017681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541.21633218025875</v>
      </c>
      <c r="G6" s="156">
        <f ca="1">F6*(100%-'Données projet'!$C$24)*(100%-'Données projet'!$C$25)*(100%-'Données projet'!$C$26)*(100%-'Données projet'!$C$27)</f>
        <v>487.09469896223288</v>
      </c>
      <c r="H6" s="157">
        <f>IF(OR('Données projet'!B9="",'Données projet'!C9="",'Données projet'!C9=0%),0,AVERAGE(Calculateur!$AC$3:$AC$33)*B6)</f>
        <v>5.5287521994194941</v>
      </c>
      <c r="I6" s="158">
        <f>H6*(100%-'Données projet'!$C$24)*(100%-'Données projet'!$C$25)*(100%-'Données projet'!$C$26)*(100%-'Données projet'!$C$27)</f>
        <v>4.9758769794775448</v>
      </c>
      <c r="J6" s="159">
        <f>IF(OR('Données projet'!B9="",'Données projet'!C9="",'Données projet'!C9=0%),0,SUM(Calculateur!$V$3:$V$33)*VLOOKUP('Données projet'!$B$9,Paramètres!$A$1:$I$89,9,0)*B6)</f>
        <v>30.152149999999999</v>
      </c>
      <c r="K6" s="160">
        <f>J6*(100%-'Données projet'!$C$24)*(100%-'Données projet'!$C$25)*(100%-'Données projet'!$C$26)*(100%-'Données projet'!$C$27)</f>
        <v>27.136935000000001</v>
      </c>
      <c r="L6" s="161">
        <f ca="1">G6+I6+K6</f>
        <v>519.20751094171044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0.6352000000000001</v>
      </c>
      <c r="C7" s="156">
        <f ca="1">IF(OR('Données projet'!B10="",'Données projet'!C10="",'Données projet'!C10=0%),0,Calculateur!AN3)</f>
        <v>396.92963589781414</v>
      </c>
      <c r="D7" s="156">
        <f>IF(OR('Données projet'!B10="",'Données projet'!C10="",'Données projet'!C10=0%),0,Calculateur!AO3)</f>
        <v>294.38852181137639</v>
      </c>
      <c r="E7" s="156">
        <f t="shared" ref="E7:E15" ca="1" si="0">MIN(C7,D7)</f>
        <v>294.38852181137639</v>
      </c>
      <c r="F7" s="156">
        <f t="shared" ref="F7:F15" ca="1" si="1">E7*B7</f>
        <v>186.9955890545863</v>
      </c>
      <c r="G7" s="156">
        <f ca="1">F7*(100%-'Données projet'!$C$24)*(100%-'Données projet'!$C$25)*(100%-'Données projet'!$C$26)*(100%-'Données projet'!$C$27)</f>
        <v>168.29603014912769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168.29603014912769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Merisier</v>
      </c>
      <c r="B8" s="163">
        <f>'Données projet'!D11</f>
        <v>0.2382</v>
      </c>
      <c r="C8" s="156">
        <f ca="1">IF(OR('Données projet'!B11="",'Données projet'!C11="",'Données projet'!C11=0%),0,Calculateur!BI3)</f>
        <v>288.82868507674738</v>
      </c>
      <c r="D8" s="156">
        <f>IF(OR('Données projet'!B11="",'Données projet'!C11="",'Données projet'!C11=0%),0,Calculateur!BJ3)</f>
        <v>283.48738729114024</v>
      </c>
      <c r="E8" s="156">
        <f t="shared" ca="1" si="0"/>
        <v>283.48738729114024</v>
      </c>
      <c r="F8" s="156">
        <f t="shared" ca="1" si="1"/>
        <v>67.526695652749609</v>
      </c>
      <c r="G8" s="156">
        <f ca="1">F8*(100%-'Données projet'!$C$24)*(100%-'Données projet'!$C$25)*(100%-'Données projet'!$C$26)*(100%-'Données projet'!$C$27)</f>
        <v>60.774026087474653</v>
      </c>
      <c r="H8" s="164">
        <f>IF(OR('Données projet'!B11="",'Données projet'!C11="",'Données projet'!C11=0%),0,AVERAGE(Calculateur!$BS$3:$BS$33)*B8)</f>
        <v>0.34353075932240501</v>
      </c>
      <c r="I8" s="158">
        <f>H8*(100%-'Données projet'!$C$24)*(100%-'Données projet'!$C$25)*(100%-'Données projet'!$C$26)*(100%-'Données projet'!$C$27)</f>
        <v>0.30917768339016449</v>
      </c>
      <c r="J8" s="159">
        <f>IF(OR('Données projet'!B11="",'Données projet'!C11="",'Données projet'!C11=0%),0,SUM(Calculateur!$BL$3:$BL$33)*VLOOKUP('Données projet'!$B$11,Paramètres!$A$1:$I$89,9,0)*B8)</f>
        <v>3.2752499999999998</v>
      </c>
      <c r="K8" s="160">
        <f>J8*(100%-'Données projet'!$C$24)*(100%-'Données projet'!$C$25)*(100%-'Données projet'!$C$26)*(100%-'Données projet'!$C$27)</f>
        <v>2.9477249999999997</v>
      </c>
      <c r="L8" s="161">
        <f t="shared" ca="1" si="2"/>
        <v>64.030928770864818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Douglas</v>
      </c>
      <c r="B9" s="163">
        <f>'Données projet'!D12</f>
        <v>0.31760000000000005</v>
      </c>
      <c r="C9" s="156">
        <f ca="1">IF(OR('Données projet'!B12="",'Données projet'!C12="",'Données projet'!C12=0%),0,Calculateur!CD3)</f>
        <v>405.09126081846171</v>
      </c>
      <c r="D9" s="156">
        <f>IF(OR('Données projet'!B12="",'Données projet'!C12="",'Données projet'!C12=0%),0,Calculateur!CE3)</f>
        <v>534.22295841722166</v>
      </c>
      <c r="E9" s="156">
        <f t="shared" ca="1" si="0"/>
        <v>405.09126081846171</v>
      </c>
      <c r="F9" s="156">
        <f t="shared" ca="1" si="1"/>
        <v>128.65698443594346</v>
      </c>
      <c r="G9" s="156">
        <f ca="1">F9*(100%-'Données projet'!$C$24)*(100%-'Données projet'!$C$25)*(100%-'Données projet'!$C$26)*(100%-'Données projet'!$C$27)</f>
        <v>115.79128599234912</v>
      </c>
      <c r="H9" s="164">
        <f>IF(OR('Données projet'!B12="",'Données projet'!C12="",'Données projet'!C12=0%),0,AVERAGE(Calculateur!$CN$3:$CN$33)*B9)</f>
        <v>2.5594821597146495</v>
      </c>
      <c r="I9" s="158">
        <f>H9*(100%-'Données projet'!$C$24)*(100%-'Données projet'!$C$25)*(100%-'Données projet'!$C$26)*(100%-'Données projet'!$C$27)</f>
        <v>2.3035339437431848</v>
      </c>
      <c r="J9" s="159">
        <f>IF(OR('Données projet'!B12="",'Données projet'!C12="",'Données projet'!C12=0%),0,SUM(Calculateur!$CG$3:$CG$33)*VLOOKUP('Données projet'!$B$12,Paramètres!$A$1:$I$89,9,0)*B9)</f>
        <v>28.294158240000005</v>
      </c>
      <c r="K9" s="160">
        <f>J9*(100%-'Données projet'!$C$24)*(100%-'Données projet'!$C$25)*(100%-'Données projet'!$C$26)*(100%-'Données projet'!$C$27)</f>
        <v>25.464742416000004</v>
      </c>
      <c r="L9" s="161">
        <f t="shared" ca="1" si="2"/>
        <v>143.55956235209231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Alisier torminal</v>
      </c>
      <c r="B10" s="163">
        <f>'Données projet'!D13</f>
        <v>0.39700000000000002</v>
      </c>
      <c r="C10" s="156">
        <f ca="1">IF(OR('Données projet'!B13="",'Données projet'!C13="",'Données projet'!C13=0%),0,Calculateur!CY3)</f>
        <v>466.4945858005575</v>
      </c>
      <c r="D10" s="156">
        <f>IF(OR('Données projet'!B13="",'Données projet'!C13="",'Données projet'!C13=0%),0,Calculateur!CZ3)</f>
        <v>294.45557293177131</v>
      </c>
      <c r="E10" s="156">
        <f t="shared" ca="1" si="0"/>
        <v>294.45557293177131</v>
      </c>
      <c r="F10" s="156">
        <f t="shared" ca="1" si="1"/>
        <v>116.89886245391322</v>
      </c>
      <c r="G10" s="156">
        <f ca="1">F10*(100%-'Données projet'!$C$24)*(100%-'Données projet'!$C$25)*(100%-'Données projet'!$C$26)*(100%-'Données projet'!$C$27)</f>
        <v>105.2089762085219</v>
      </c>
      <c r="H10" s="164">
        <f>IF(OR('Données projet'!B13="",'Données projet'!C13="",'Données projet'!C13=0%),0,AVERAGE(Calculateur!$DI$3:$DI$33)*B10)</f>
        <v>1.2061317254187498</v>
      </c>
      <c r="I10" s="158">
        <f>H10*(100%-'Données projet'!$C$24)*(100%-'Données projet'!$C$25)*(100%-'Données projet'!$C$26)*(100%-'Données projet'!$C$27)</f>
        <v>1.0855185528768749</v>
      </c>
      <c r="J10" s="159">
        <f>IF(OR('Données projet'!B13="",'Données projet'!C13="",'Données projet'!C13=0%),0,SUM(Calculateur!$DB$3:$DB$33)*VLOOKUP('Données projet'!$B$13,Paramètres!$A$1:$I$89,9,0)*B10)</f>
        <v>6.1535000000000002</v>
      </c>
      <c r="K10" s="160">
        <f>J10*(100%-'Données projet'!$C$24)*(100%-'Données projet'!$C$25)*(100%-'Données projet'!$C$26)*(100%-'Données projet'!$C$27)</f>
        <v>5.5381499999999999</v>
      </c>
      <c r="L10" s="161">
        <f t="shared" ca="1" si="2"/>
        <v>111.83264476139878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Charme</v>
      </c>
      <c r="B11" s="163">
        <f>'Données projet'!D14</f>
        <v>0.2382</v>
      </c>
      <c r="C11" s="156">
        <f ca="1">IF(OR('Données projet'!B14="",'Données projet'!C14="",'Données projet'!C14=0%),0,Calculateur!DT3)</f>
        <v>404.20764079465965</v>
      </c>
      <c r="D11" s="156">
        <f>IF(OR('Données projet'!B14="",'Données projet'!C14="",'Données projet'!C14=0%),0,Calculateur!DU3)</f>
        <v>243.23852967152732</v>
      </c>
      <c r="E11" s="156">
        <f t="shared" ca="1" si="0"/>
        <v>243.23852967152732</v>
      </c>
      <c r="F11" s="156">
        <f t="shared" ca="1" si="1"/>
        <v>57.939417767757803</v>
      </c>
      <c r="G11" s="156">
        <f ca="1">F11*(100%-'Données projet'!$C$24)*(100%-'Données projet'!$C$25)*(100%-'Données projet'!$C$26)*(100%-'Données projet'!$C$27)</f>
        <v>52.145475990982021</v>
      </c>
      <c r="H11" s="164">
        <f>IF(OR('Données projet'!B14="",'Données projet'!C14="",'Données projet'!C14=0%),0,AVERAGE(Calculateur!$ED$3:$ED$33)*B11)</f>
        <v>0.30976350204711728</v>
      </c>
      <c r="I11" s="158">
        <f>H11*(100%-'Données projet'!$C$24)*(100%-'Données projet'!$C$25)*(100%-'Données projet'!$C$26)*(100%-'Données projet'!$C$27)</f>
        <v>0.27878715184240555</v>
      </c>
      <c r="J11" s="159">
        <f>IF(OR('Données projet'!B14="",'Données projet'!C14="",'Données projet'!C14=0%),0,SUM(Calculateur!$DW$3:$DW$33)*VLOOKUP('Données projet'!$B$14,Paramètres!$A$1:$I$89,9,0)*B11)</f>
        <v>1.72695</v>
      </c>
      <c r="K11" s="160">
        <f>J11*(100%-'Données projet'!$C$24)*(100%-'Données projet'!$C$25)*(100%-'Données projet'!$C$26)*(100%-'Données projet'!$C$27)</f>
        <v>1.5542549999999999</v>
      </c>
      <c r="L11" s="161">
        <f t="shared" ca="1" si="2"/>
        <v>53.978518142824427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1099.233881545209</v>
      </c>
      <c r="G16" s="175">
        <f t="shared" ca="1" si="3"/>
        <v>989.31049339068829</v>
      </c>
      <c r="H16" s="176">
        <f t="shared" si="3"/>
        <v>9.9476603459224169</v>
      </c>
      <c r="I16" s="176">
        <f t="shared" si="3"/>
        <v>8.9528943113301747</v>
      </c>
      <c r="J16" s="177">
        <f t="shared" si="3"/>
        <v>69.602008240000004</v>
      </c>
      <c r="K16" s="177">
        <f t="shared" si="3"/>
        <v>62.641807416000006</v>
      </c>
      <c r="L16" s="178">
        <f t="shared" ca="1" si="3"/>
        <v>1060.9051951180186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Douglas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Alisier torminal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7" zoomScale="90" zoomScaleNormal="90" workbookViewId="0">
      <selection activeCell="G179" sqref="G17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902.103941500014</v>
      </c>
      <c r="U10" s="190">
        <f>'Données projet'!D9</f>
        <v>1.9453</v>
      </c>
      <c r="V10" s="189">
        <f>U10*T10</f>
        <v>1754.8627973999774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1073.3775350824558</v>
      </c>
      <c r="U11" s="190">
        <f>'Données projet'!D10</f>
        <v>0.6352000000000001</v>
      </c>
      <c r="V11" s="189">
        <f t="shared" ref="V11" si="0">U11*T11</f>
        <v>681.80941028437599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1310.2626307661212</v>
      </c>
      <c r="U12" s="190">
        <f>'Données projet'!D11</f>
        <v>0.2382</v>
      </c>
      <c r="V12" s="189">
        <f t="shared" ref="V12:V19" si="1">U12*T12</f>
        <v>312.10455864849007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Douglas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3173.7855968748563</v>
      </c>
      <c r="U13" s="190">
        <f>'Données projet'!D12</f>
        <v>0.31760000000000005</v>
      </c>
      <c r="V13" s="189">
        <f t="shared" si="1"/>
        <v>1007.9943055674545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Alisier torminal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755.80587768653857</v>
      </c>
      <c r="U14" s="190">
        <f>'Données projet'!D13</f>
        <v>0.39700000000000002</v>
      </c>
      <c r="V14" s="189">
        <f t="shared" si="1"/>
        <v>300.05493344155582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Charme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482.28074734999939</v>
      </c>
      <c r="U15" s="190">
        <f>'Données projet'!D14</f>
        <v>0.2382</v>
      </c>
      <c r="V15" s="189">
        <f t="shared" si="1"/>
        <v>114.87927401876985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v>7160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617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617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2">
        <v>4</v>
      </c>
      <c r="D23" s="194">
        <f>B23*C23</f>
        <v>24</v>
      </c>
      <c r="E23" s="206"/>
      <c r="F23" s="261"/>
      <c r="H23" s="203">
        <v>3</v>
      </c>
      <c r="I23" s="204">
        <v>928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-36352.510054601007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>
        <v>4</v>
      </c>
      <c r="I24" s="204">
        <v>791</v>
      </c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518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8">
        <f ca="1">T23-T24</f>
        <v>-36352.510054601007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2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2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2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2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2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2">
        <v>15</v>
      </c>
      <c r="D32" s="194">
        <f t="shared" si="2"/>
        <v>420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2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2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2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2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2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2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2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2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92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92">
        <v>150</v>
      </c>
      <c r="D42" s="194">
        <f t="shared" si="2"/>
        <v>49500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93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93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292">
        <v>15</v>
      </c>
      <c r="D56" s="191">
        <f t="shared" si="4"/>
        <v>1320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93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292">
        <v>18</v>
      </c>
      <c r="D58" s="191">
        <f t="shared" si="4"/>
        <v>1836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292">
        <v>20</v>
      </c>
      <c r="D59" s="191">
        <f t="shared" si="4"/>
        <v>2260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292">
        <v>25</v>
      </c>
      <c r="D60" s="191">
        <f t="shared" si="4"/>
        <v>3100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292">
        <v>30</v>
      </c>
      <c r="D61" s="191">
        <f t="shared" si="4"/>
        <v>4050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292">
        <v>50</v>
      </c>
      <c r="D62" s="191">
        <f t="shared" si="4"/>
        <v>36150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3</v>
      </c>
      <c r="C85" s="204">
        <v>10</v>
      </c>
      <c r="D85" s="191">
        <f>B85*C85</f>
        <v>30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25</v>
      </c>
      <c r="C86" s="204">
        <v>10</v>
      </c>
      <c r="D86" s="191">
        <f t="shared" ref="D86:D104" si="6">B86*C86</f>
        <v>250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27</v>
      </c>
      <c r="C87" s="204">
        <v>15</v>
      </c>
      <c r="D87" s="191">
        <f t="shared" si="6"/>
        <v>405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31</v>
      </c>
      <c r="B88" s="193">
        <f>'Données projet'!D91</f>
        <v>36</v>
      </c>
      <c r="C88" s="204">
        <v>15</v>
      </c>
      <c r="D88" s="191">
        <f t="shared" si="6"/>
        <v>540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37</v>
      </c>
      <c r="B89" s="193">
        <f>'Données projet'!D92</f>
        <v>36</v>
      </c>
      <c r="C89" s="204">
        <v>20</v>
      </c>
      <c r="D89" s="191">
        <f t="shared" si="6"/>
        <v>720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44</v>
      </c>
      <c r="B90" s="193">
        <f>'Données projet'!D93</f>
        <v>43</v>
      </c>
      <c r="C90" s="204">
        <v>20</v>
      </c>
      <c r="D90" s="191">
        <f t="shared" si="6"/>
        <v>860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52</v>
      </c>
      <c r="B91" s="193">
        <f>'Données projet'!D94</f>
        <v>48</v>
      </c>
      <c r="C91" s="204">
        <v>20</v>
      </c>
      <c r="D91" s="191">
        <f t="shared" si="6"/>
        <v>960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47</v>
      </c>
      <c r="C92" s="204">
        <v>25</v>
      </c>
      <c r="D92" s="191">
        <f t="shared" si="6"/>
        <v>1175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69</v>
      </c>
      <c r="B93" s="193">
        <f>'Données projet'!D96</f>
        <v>328</v>
      </c>
      <c r="C93" s="204">
        <v>30</v>
      </c>
      <c r="D93" s="191">
        <f t="shared" si="6"/>
        <v>9840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Douglas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17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18</v>
      </c>
      <c r="B117" s="193">
        <f>'Données projet'!D115</f>
        <v>74.819999999999993</v>
      </c>
      <c r="C117" s="292">
        <v>15</v>
      </c>
      <c r="D117" s="191">
        <f t="shared" ref="D117:D135" si="8">B117*C117</f>
        <v>1122.3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19</v>
      </c>
      <c r="B118" s="193">
        <f>'Données projet'!D116</f>
        <v>0</v>
      </c>
      <c r="C118" s="292">
        <v>20</v>
      </c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23</v>
      </c>
      <c r="B119" s="193">
        <f>'Données projet'!D117</f>
        <v>0</v>
      </c>
      <c r="C119" s="292">
        <v>28</v>
      </c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24</v>
      </c>
      <c r="B120" s="193">
        <f>'Données projet'!D118</f>
        <v>51.39</v>
      </c>
      <c r="C120" s="292">
        <v>28</v>
      </c>
      <c r="D120" s="191">
        <f t="shared" si="8"/>
        <v>1438.92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26</v>
      </c>
      <c r="B121" s="193">
        <f>'Données projet'!D119</f>
        <v>0</v>
      </c>
      <c r="C121" s="292">
        <v>28</v>
      </c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28</v>
      </c>
      <c r="B122" s="193">
        <f>'Données projet'!D120</f>
        <v>0</v>
      </c>
      <c r="C122" s="292">
        <v>35</v>
      </c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30</v>
      </c>
      <c r="B123" s="193">
        <f>'Données projet'!D121</f>
        <v>80.97</v>
      </c>
      <c r="C123" s="292">
        <v>35</v>
      </c>
      <c r="D123" s="191">
        <f t="shared" si="8"/>
        <v>2833.95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32</v>
      </c>
      <c r="B124" s="193">
        <f>'Données projet'!D122</f>
        <v>0</v>
      </c>
      <c r="C124" s="292">
        <v>40</v>
      </c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34</v>
      </c>
      <c r="B125" s="193">
        <f>'Données projet'!D123</f>
        <v>0</v>
      </c>
      <c r="C125" s="292">
        <v>50</v>
      </c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36</v>
      </c>
      <c r="B126" s="193">
        <f>'Données projet'!D124</f>
        <v>85.88</v>
      </c>
      <c r="C126" s="292">
        <v>80</v>
      </c>
      <c r="D126" s="191">
        <f t="shared" si="8"/>
        <v>6870.4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38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40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42</v>
      </c>
      <c r="B129" s="193">
        <f>'Données projet'!D127</f>
        <v>91.25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44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46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48</v>
      </c>
      <c r="B132" s="193">
        <f>'Données projet'!D130</f>
        <v>101.34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50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52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54</v>
      </c>
      <c r="B135" s="193">
        <f>'Données projet'!D133</f>
        <v>707.75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Alisier torminal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6</v>
      </c>
      <c r="C147" s="292">
        <v>4</v>
      </c>
      <c r="D147" s="194">
        <f>B147*C147</f>
        <v>24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28</v>
      </c>
      <c r="C148" s="292">
        <v>8</v>
      </c>
      <c r="D148" s="194">
        <f t="shared" ref="D148:D166" si="10">B148*C148</f>
        <v>224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28</v>
      </c>
      <c r="C149" s="292">
        <v>10</v>
      </c>
      <c r="D149" s="194">
        <f t="shared" si="10"/>
        <v>280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28</v>
      </c>
      <c r="C150" s="292">
        <v>10</v>
      </c>
      <c r="D150" s="194">
        <f t="shared" si="10"/>
        <v>280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28</v>
      </c>
      <c r="C151" s="292">
        <v>10</v>
      </c>
      <c r="D151" s="194">
        <f t="shared" si="10"/>
        <v>280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28</v>
      </c>
      <c r="C152" s="292">
        <v>10</v>
      </c>
      <c r="D152" s="194">
        <f t="shared" si="10"/>
        <v>280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28</v>
      </c>
      <c r="C153" s="292">
        <v>15</v>
      </c>
      <c r="D153" s="194">
        <f t="shared" si="10"/>
        <v>420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28</v>
      </c>
      <c r="C154" s="292">
        <v>15</v>
      </c>
      <c r="D154" s="194">
        <f t="shared" si="10"/>
        <v>420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28</v>
      </c>
      <c r="C155" s="292">
        <v>15</v>
      </c>
      <c r="D155" s="194">
        <f t="shared" si="10"/>
        <v>420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28</v>
      </c>
      <c r="C156" s="292">
        <v>15</v>
      </c>
      <c r="D156" s="194">
        <f t="shared" si="10"/>
        <v>420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28</v>
      </c>
      <c r="C157" s="292">
        <v>20</v>
      </c>
      <c r="D157" s="194">
        <f t="shared" si="10"/>
        <v>560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28</v>
      </c>
      <c r="C158" s="292">
        <v>20</v>
      </c>
      <c r="D158" s="194">
        <f t="shared" si="10"/>
        <v>560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28</v>
      </c>
      <c r="C159" s="292">
        <v>20</v>
      </c>
      <c r="D159" s="194">
        <f t="shared" si="10"/>
        <v>560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7">
        <f>'Données projet'!D153</f>
        <v>28</v>
      </c>
      <c r="C160" s="292">
        <v>20</v>
      </c>
      <c r="D160" s="194">
        <f t="shared" si="10"/>
        <v>560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7">
        <f>'Données projet'!D154</f>
        <v>28</v>
      </c>
      <c r="C161" s="292">
        <v>30</v>
      </c>
      <c r="D161" s="194">
        <f t="shared" si="10"/>
        <v>840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7">
        <f>'Données projet'!D155</f>
        <v>28</v>
      </c>
      <c r="C162" s="292">
        <v>30</v>
      </c>
      <c r="D162" s="194">
        <f t="shared" si="10"/>
        <v>840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7">
        <f>'Données projet'!D156</f>
        <v>27</v>
      </c>
      <c r="C163" s="292">
        <v>40</v>
      </c>
      <c r="D163" s="194">
        <f t="shared" si="10"/>
        <v>1080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105</v>
      </c>
      <c r="B164" s="187">
        <f>'Données projet'!D157</f>
        <v>26</v>
      </c>
      <c r="C164" s="292">
        <v>50</v>
      </c>
      <c r="D164" s="194">
        <f t="shared" si="10"/>
        <v>1300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25</v>
      </c>
      <c r="C165" s="292">
        <v>70</v>
      </c>
      <c r="D165" s="194">
        <f t="shared" si="10"/>
        <v>1750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115</v>
      </c>
      <c r="B166" s="187">
        <f>'Données projet'!D159</f>
        <v>330</v>
      </c>
      <c r="C166" s="292">
        <v>80</v>
      </c>
      <c r="D166" s="194">
        <f t="shared" si="10"/>
        <v>26400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25</v>
      </c>
      <c r="B178" s="193">
        <f>'Données projet'!D166</f>
        <v>8</v>
      </c>
      <c r="C178" s="206">
        <v>4</v>
      </c>
      <c r="D178" s="191">
        <f>B178*C178</f>
        <v>32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30</v>
      </c>
      <c r="B179" s="193">
        <f>'Données projet'!D167</f>
        <v>21</v>
      </c>
      <c r="C179" s="206">
        <v>8</v>
      </c>
      <c r="D179" s="191">
        <f t="shared" ref="D179:D197" si="11">B179*C179</f>
        <v>168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35</v>
      </c>
      <c r="B180" s="193">
        <f>'Données projet'!D168</f>
        <v>21</v>
      </c>
      <c r="C180" s="206">
        <v>10</v>
      </c>
      <c r="D180" s="191">
        <f t="shared" si="11"/>
        <v>210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40</v>
      </c>
      <c r="B181" s="193">
        <f>'Données projet'!D169</f>
        <v>21</v>
      </c>
      <c r="C181" s="206">
        <v>10</v>
      </c>
      <c r="D181" s="191">
        <f t="shared" si="11"/>
        <v>210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45</v>
      </c>
      <c r="B182" s="193">
        <f>'Données projet'!D170</f>
        <v>21</v>
      </c>
      <c r="C182" s="206">
        <v>10</v>
      </c>
      <c r="D182" s="191">
        <f t="shared" si="11"/>
        <v>210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50</v>
      </c>
      <c r="B183" s="193">
        <f>'Données projet'!D171</f>
        <v>21</v>
      </c>
      <c r="C183" s="206">
        <v>10</v>
      </c>
      <c r="D183" s="191">
        <f t="shared" si="11"/>
        <v>210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55</v>
      </c>
      <c r="B184" s="193">
        <f>'Données projet'!D172</f>
        <v>21</v>
      </c>
      <c r="C184" s="206">
        <v>15</v>
      </c>
      <c r="D184" s="191">
        <f t="shared" si="11"/>
        <v>315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60</v>
      </c>
      <c r="B185" s="193">
        <f>'Données projet'!D173</f>
        <v>21</v>
      </c>
      <c r="C185" s="206">
        <v>15</v>
      </c>
      <c r="D185" s="191">
        <f t="shared" si="11"/>
        <v>315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65</v>
      </c>
      <c r="B186" s="193">
        <f>'Données projet'!D174</f>
        <v>21</v>
      </c>
      <c r="C186" s="206">
        <v>15</v>
      </c>
      <c r="D186" s="191">
        <f t="shared" si="11"/>
        <v>315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70</v>
      </c>
      <c r="B187" s="193">
        <f>'Données projet'!D175</f>
        <v>21</v>
      </c>
      <c r="C187" s="206">
        <v>15</v>
      </c>
      <c r="D187" s="191">
        <f t="shared" si="11"/>
        <v>315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75</v>
      </c>
      <c r="B188" s="193">
        <f>'Données projet'!D176</f>
        <v>21</v>
      </c>
      <c r="C188" s="206">
        <v>20</v>
      </c>
      <c r="D188" s="191">
        <f t="shared" si="11"/>
        <v>420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80</v>
      </c>
      <c r="B189" s="193">
        <f>'Données projet'!D177</f>
        <v>21</v>
      </c>
      <c r="C189" s="206">
        <v>20</v>
      </c>
      <c r="D189" s="191">
        <f t="shared" si="11"/>
        <v>420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21</v>
      </c>
      <c r="C190" s="206">
        <v>20</v>
      </c>
      <c r="D190" s="191">
        <f t="shared" si="11"/>
        <v>420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21</v>
      </c>
      <c r="C191" s="206">
        <v>20</v>
      </c>
      <c r="D191" s="191">
        <f t="shared" si="11"/>
        <v>420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95</v>
      </c>
      <c r="B192" s="193">
        <f>'Données projet'!D180</f>
        <v>21</v>
      </c>
      <c r="C192" s="206">
        <v>30</v>
      </c>
      <c r="D192" s="191">
        <f t="shared" si="11"/>
        <v>630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100</v>
      </c>
      <c r="B193" s="193">
        <f>'Données projet'!D181</f>
        <v>21</v>
      </c>
      <c r="C193" s="206">
        <v>30</v>
      </c>
      <c r="D193" s="191">
        <f t="shared" si="11"/>
        <v>630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105</v>
      </c>
      <c r="B194" s="193">
        <f>'Données projet'!D182</f>
        <v>20</v>
      </c>
      <c r="C194" s="206">
        <v>40</v>
      </c>
      <c r="D194" s="191">
        <f t="shared" si="11"/>
        <v>800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110</v>
      </c>
      <c r="B195" s="193">
        <f>'Données projet'!D183</f>
        <v>19</v>
      </c>
      <c r="C195" s="206">
        <v>50</v>
      </c>
      <c r="D195" s="191">
        <f t="shared" si="11"/>
        <v>950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115</v>
      </c>
      <c r="B196" s="193">
        <f>'Données projet'!D184</f>
        <v>18</v>
      </c>
      <c r="C196" s="206">
        <v>70</v>
      </c>
      <c r="D196" s="191">
        <f t="shared" si="11"/>
        <v>1260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305</v>
      </c>
      <c r="C197" s="206">
        <v>80</v>
      </c>
      <c r="D197" s="191">
        <f t="shared" si="11"/>
        <v>24400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2024-10-15T08:15:15Z</dcterms:modified>
</cp:coreProperties>
</file>