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CORBON (61) - HAREAU Alain-BEL3\Dossier déposé 13-05-2024\"/>
    </mc:Choice>
  </mc:AlternateContent>
  <xr:revisionPtr revIDLastSave="0" documentId="13_ncr:1_{A9BF5FF5-6426-4306-902A-E89A0EAA157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HH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EA155" i="2"/>
  <c r="HG155" i="2"/>
  <c r="HH155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D155" i="2"/>
  <c r="EB156" i="2"/>
  <c r="EY155" i="2"/>
  <c r="DH156" i="2"/>
  <c r="FS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HI160" i="2"/>
  <c r="EY159" i="2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HG161" i="2"/>
  <c r="EB161" i="2"/>
  <c r="EX161" i="2"/>
  <c r="FS161" i="2"/>
  <c r="HH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C162" i="2"/>
  <c r="DI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EX164" i="2"/>
  <c r="FR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G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I168" i="2"/>
  <c r="DI167" i="2"/>
  <c r="DG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A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X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HI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G178" i="2"/>
  <c r="HH178" i="2"/>
  <c r="FS178" i="2"/>
  <c r="EB178" i="2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A185" i="2"/>
  <c r="HI185" i="2"/>
  <c r="EW185" i="2"/>
  <c r="EV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FS186" i="2"/>
  <c r="EW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H190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D192" i="2"/>
  <c r="HI193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HG194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HI195" i="2"/>
  <c r="EA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HH197" i="2"/>
  <c r="HG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HH199" i="2"/>
  <c r="EW199" i="2"/>
  <c r="EA199" i="2"/>
  <c r="EV199" i="2"/>
  <c r="HG199" i="2"/>
  <c r="HJ199" i="2" s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FS201" i="2"/>
  <c r="EB201" i="2"/>
  <c r="DI200" i="2"/>
  <c r="EA201" i="2"/>
  <c r="HH201" i="2"/>
  <c r="HG201" i="2"/>
  <c r="HI201" i="2"/>
  <c r="EX201" i="2"/>
  <c r="AI5" i="2"/>
  <c r="EW201" i="2"/>
  <c r="EY201" i="2" s="1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D201" i="2" l="1"/>
  <c r="EX202" i="2"/>
  <c r="FS202" i="2"/>
  <c r="HI202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GT181" i="2" a="1"/>
  <c r="GT181" i="2" s="1"/>
  <c r="GT121" i="2" a="1"/>
  <c r="GT121" i="2" s="1"/>
  <c r="GT133" i="2" a="1"/>
  <c r="GT133" i="2" s="1"/>
  <c r="GT33" i="2" a="1"/>
  <c r="GT33" i="2" s="1"/>
  <c r="GT152" i="2" a="1"/>
  <c r="GT152" i="2" s="1"/>
  <c r="EI198" i="2" a="1"/>
  <c r="EI198" i="2" s="1"/>
  <c r="EI166" i="2" a="1"/>
  <c r="EI166" i="2" s="1"/>
  <c r="EI153" i="2" a="1"/>
  <c r="EI153" i="2" s="1"/>
  <c r="CS116" i="2" a="1"/>
  <c r="CS116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9" i="2" a="1"/>
  <c r="FD189" i="2" s="1"/>
  <c r="FD64" i="2" a="1"/>
  <c r="FD64" i="2" s="1"/>
  <c r="FD107" i="2" a="1"/>
  <c r="FD107" i="2" s="1"/>
  <c r="FD159" i="2" a="1"/>
  <c r="FD159" i="2" s="1"/>
  <c r="BC31" i="2" a="1"/>
  <c r="BC31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174" i="2" a="1"/>
  <c r="GT174" i="2" s="1"/>
  <c r="EI87" i="2" a="1"/>
  <c r="EI87" i="2" s="1"/>
  <c r="EI36" i="2" a="1"/>
  <c r="EI36" i="2" s="1"/>
  <c r="EI57" i="2" a="1"/>
  <c r="EI57" i="2" s="1"/>
  <c r="EI34" i="2" a="1"/>
  <c r="EI34" i="2" s="1"/>
  <c r="EI20" i="2" a="1"/>
  <c r="EI20" i="2" s="1"/>
  <c r="DN49" i="2" a="1"/>
  <c r="DN49" i="2" s="1"/>
  <c r="DN162" i="2" a="1"/>
  <c r="DN162" i="2" s="1"/>
  <c r="DN16" i="2" a="1"/>
  <c r="DN16" i="2" s="1"/>
  <c r="DN31" i="2" a="1"/>
  <c r="DN31" i="2" s="1"/>
  <c r="DN110" i="2" a="1"/>
  <c r="DN110" i="2" s="1"/>
  <c r="DN55" i="2" a="1"/>
  <c r="DN55" i="2" s="1"/>
  <c r="DN6" i="2" a="1"/>
  <c r="DN6" i="2" s="1"/>
  <c r="DO6" i="2" s="1"/>
  <c r="DN46" i="2" a="1"/>
  <c r="DN46" i="2" s="1"/>
  <c r="DN30" i="2" a="1"/>
  <c r="DN30" i="2" s="1"/>
  <c r="CS24" i="2" a="1"/>
  <c r="CS24" i="2" s="1"/>
  <c r="CS134" i="2" a="1"/>
  <c r="CS134" i="2" s="1"/>
  <c r="DN45" i="2" a="1"/>
  <c r="DN45" i="2" s="1"/>
  <c r="BX107" i="2" a="1"/>
  <c r="BX107" i="2" s="1"/>
  <c r="HJ202" i="2"/>
  <c r="AX200" i="2"/>
  <c r="BC32" i="2" l="1" a="1"/>
  <c r="BC32" i="2" s="1"/>
  <c r="EI37" i="2" a="1"/>
  <c r="EI37" i="2" s="1"/>
  <c r="EI113" i="2" a="1"/>
  <c r="EI113" i="2" s="1"/>
  <c r="EI128" i="2" a="1"/>
  <c r="EI128" i="2" s="1"/>
  <c r="EI195" i="2" a="1"/>
  <c r="EI195" i="2" s="1"/>
  <c r="DN168" i="2" a="1"/>
  <c r="DN168" i="2" s="1"/>
  <c r="DN56" i="2" a="1"/>
  <c r="DN56" i="2" s="1"/>
  <c r="DN70" i="2" a="1"/>
  <c r="DN70" i="2" s="1"/>
  <c r="DN150" i="2" a="1"/>
  <c r="DN150" i="2" s="1"/>
  <c r="DN177" i="2" a="1"/>
  <c r="DN177" i="2" s="1"/>
  <c r="DN115" i="2" a="1"/>
  <c r="DN115" i="2" s="1"/>
  <c r="DN153" i="2" a="1"/>
  <c r="DN153" i="2" s="1"/>
  <c r="DN184" i="2" a="1"/>
  <c r="DN184" i="2" s="1"/>
  <c r="DN152" i="2" a="1"/>
  <c r="DN152" i="2" s="1"/>
  <c r="DN29" i="2" a="1"/>
  <c r="DN29" i="2" s="1"/>
  <c r="DN50" i="2" a="1"/>
  <c r="DN50" i="2" s="1"/>
  <c r="DN132" i="2" a="1"/>
  <c r="DN132" i="2" s="1"/>
  <c r="DN167" i="2" a="1"/>
  <c r="DN167" i="2" s="1"/>
  <c r="DN123" i="2" a="1"/>
  <c r="DN123" i="2" s="1"/>
  <c r="DN25" i="2" a="1"/>
  <c r="DN25" i="2" s="1"/>
  <c r="DN176" i="2" a="1"/>
  <c r="DN176" i="2" s="1"/>
  <c r="DN41" i="2" a="1"/>
  <c r="DN41" i="2" s="1"/>
  <c r="DN190" i="2" a="1"/>
  <c r="DN190" i="2" s="1"/>
  <c r="DN135" i="2" a="1"/>
  <c r="DN135" i="2" s="1"/>
  <c r="DN66" i="2" a="1"/>
  <c r="DN66" i="2" s="1"/>
  <c r="DN43" i="2" a="1"/>
  <c r="DN43" i="2" s="1"/>
  <c r="DN192" i="2" a="1"/>
  <c r="DN192" i="2" s="1"/>
  <c r="DN133" i="2" a="1"/>
  <c r="DN133" i="2" s="1"/>
  <c r="DN38" i="2" a="1"/>
  <c r="DN38" i="2" s="1"/>
  <c r="DN188" i="2" a="1"/>
  <c r="DN188" i="2" s="1"/>
  <c r="DN186" i="2" a="1"/>
  <c r="DN186" i="2" s="1"/>
  <c r="DN164" i="2" a="1"/>
  <c r="DN164" i="2" s="1"/>
  <c r="DN187" i="2" a="1"/>
  <c r="DN187" i="2" s="1"/>
  <c r="DN65" i="2" a="1"/>
  <c r="DN65" i="2" s="1"/>
  <c r="DN80" i="2" a="1"/>
  <c r="DN80" i="2" s="1"/>
  <c r="DN86" i="2" a="1"/>
  <c r="DN86" i="2" s="1"/>
  <c r="DN137" i="2" a="1"/>
  <c r="DN137" i="2" s="1"/>
  <c r="EI38" i="2" a="1"/>
  <c r="EI38" i="2" s="1"/>
  <c r="EI109" i="2" a="1"/>
  <c r="EI109" i="2" s="1"/>
  <c r="EI35" i="2" a="1"/>
  <c r="EI35" i="2" s="1"/>
  <c r="EI67" i="2" a="1"/>
  <c r="EI67" i="2" s="1"/>
  <c r="EI139" i="2" a="1"/>
  <c r="EI139" i="2" s="1"/>
  <c r="EI16" i="2" a="1"/>
  <c r="EI16" i="2" s="1"/>
  <c r="EI170" i="2" a="1"/>
  <c r="EI170" i="2" s="1"/>
  <c r="EI29" i="2" a="1"/>
  <c r="EI29" i="2" s="1"/>
  <c r="EI106" i="2" a="1"/>
  <c r="EI106" i="2" s="1"/>
  <c r="DN124" i="2" a="1"/>
  <c r="DN124" i="2" s="1"/>
  <c r="DN170" i="2" a="1"/>
  <c r="DN170" i="2" s="1"/>
  <c r="DN129" i="2" a="1"/>
  <c r="DN129" i="2" s="1"/>
  <c r="DN155" i="2" a="1"/>
  <c r="DN155" i="2" s="1"/>
  <c r="DN113" i="2" a="1"/>
  <c r="DN113" i="2" s="1"/>
  <c r="EI165" i="2" a="1"/>
  <c r="EI165" i="2" s="1"/>
  <c r="EI71" i="2" a="1"/>
  <c r="EI71" i="2" s="1"/>
  <c r="EI142" i="2" a="1"/>
  <c r="EI142" i="2" s="1"/>
  <c r="EI178" i="2" a="1"/>
  <c r="EI178" i="2" s="1"/>
  <c r="EI145" i="2" a="1"/>
  <c r="EI145" i="2" s="1"/>
  <c r="EI162" i="2" a="1"/>
  <c r="EI162" i="2" s="1"/>
  <c r="EI150" i="2" a="1"/>
  <c r="EI150" i="2" s="1"/>
  <c r="BC143" i="2" a="1"/>
  <c r="BC143" i="2" s="1"/>
  <c r="GT15" i="2" a="1"/>
  <c r="GT15" i="2" s="1"/>
  <c r="GT21" i="2" a="1"/>
  <c r="GT21" i="2" s="1"/>
  <c r="GT122" i="2" a="1"/>
  <c r="GT122" i="2" s="1"/>
  <c r="GT138" i="2" a="1"/>
  <c r="GT138" i="2" s="1"/>
  <c r="GT12" i="2" a="1"/>
  <c r="GT12" i="2" s="1"/>
  <c r="GT51" i="2" a="1"/>
  <c r="GT51" i="2" s="1"/>
  <c r="GT107" i="2" a="1"/>
  <c r="GT107" i="2" s="1"/>
  <c r="CS105" i="2" a="1"/>
  <c r="CS105" i="2" s="1"/>
  <c r="GT68" i="2" a="1"/>
  <c r="GT68" i="2" s="1"/>
  <c r="CS56" i="2" a="1"/>
  <c r="CS56" i="2" s="1"/>
  <c r="GT190" i="2" a="1"/>
  <c r="GT190" i="2" s="1"/>
  <c r="GT184" i="2" a="1"/>
  <c r="GT184" i="2" s="1"/>
  <c r="AH19" i="2" a="1"/>
  <c r="AH19" i="2" s="1"/>
  <c r="CS72" i="2" a="1"/>
  <c r="CS72" i="2" s="1"/>
  <c r="GT191" i="2" a="1"/>
  <c r="GT191" i="2" s="1"/>
  <c r="GT11" i="2" a="1"/>
  <c r="GT11" i="2" s="1"/>
  <c r="GT115" i="2" a="1"/>
  <c r="GT115" i="2" s="1"/>
  <c r="GT38" i="2" a="1"/>
  <c r="GT38" i="2" s="1"/>
  <c r="GT102" i="2" a="1"/>
  <c r="GT102" i="2" s="1"/>
  <c r="GT147" i="2" a="1"/>
  <c r="GT147" i="2" s="1"/>
  <c r="BC185" i="2" a="1"/>
  <c r="BC185" i="2" s="1"/>
  <c r="BC82" i="2" a="1"/>
  <c r="BC82" i="2" s="1"/>
  <c r="BC47" i="2" a="1"/>
  <c r="BC47" i="2" s="1"/>
  <c r="BC130" i="2" a="1"/>
  <c r="BC130" i="2" s="1"/>
  <c r="FD167" i="2" a="1"/>
  <c r="FD167" i="2" s="1"/>
  <c r="FD131" i="2" a="1"/>
  <c r="FD131" i="2" s="1"/>
  <c r="HG203" i="2"/>
  <c r="FD43" i="2" a="1"/>
  <c r="FD43" i="2" s="1"/>
  <c r="FS203" i="2"/>
  <c r="FD187" i="2" a="1"/>
  <c r="FD187" i="2" s="1"/>
  <c r="FD14" i="2" a="1"/>
  <c r="FD14" i="2" s="1"/>
  <c r="BC68" i="2" a="1"/>
  <c r="BC68" i="2" s="1"/>
  <c r="FD194" i="2" a="1"/>
  <c r="FD194" i="2" s="1"/>
  <c r="FD48" i="2" a="1"/>
  <c r="FD48" i="2" s="1"/>
  <c r="FD59" i="2" a="1"/>
  <c r="FD59" i="2" s="1"/>
  <c r="FD19" i="2" a="1"/>
  <c r="FD19" i="2" s="1"/>
  <c r="FD44" i="2" a="1"/>
  <c r="FD44" i="2" s="1"/>
  <c r="FD144" i="2" a="1"/>
  <c r="FD144" i="2" s="1"/>
  <c r="FD82" i="2" a="1"/>
  <c r="FD82" i="2" s="1"/>
  <c r="FD160" i="2" a="1"/>
  <c r="FD160" i="2" s="1"/>
  <c r="FD188" i="2" a="1"/>
  <c r="FD188" i="2" s="1"/>
  <c r="FD21" i="2" a="1"/>
  <c r="FD21" i="2" s="1"/>
  <c r="FD137" i="2" a="1"/>
  <c r="FD137" i="2" s="1"/>
  <c r="FD60" i="2" a="1"/>
  <c r="FD60" i="2" s="1"/>
  <c r="BC55" i="2" a="1"/>
  <c r="BC55" i="2" s="1"/>
  <c r="BC117" i="2" a="1"/>
  <c r="BC117" i="2" s="1"/>
  <c r="BC181" i="2" a="1"/>
  <c r="BC181" i="2" s="1"/>
  <c r="BC65" i="2" a="1"/>
  <c r="BC65" i="2" s="1"/>
  <c r="BC151" i="2" a="1"/>
  <c r="BC151" i="2" s="1"/>
  <c r="BC114" i="2" a="1"/>
  <c r="BC114" i="2" s="1"/>
  <c r="BC126" i="2" a="1"/>
  <c r="BC126" i="2" s="1"/>
  <c r="BC84" i="2" a="1"/>
  <c r="BC84" i="2" s="1"/>
  <c r="BC58" i="2" a="1"/>
  <c r="BC58" i="2" s="1"/>
  <c r="BC34" i="2" a="1"/>
  <c r="BC34" i="2" s="1"/>
  <c r="BC164" i="2" a="1"/>
  <c r="BC164" i="2" s="1"/>
  <c r="BC192" i="2" a="1"/>
  <c r="BC192" i="2" s="1"/>
  <c r="AH90" i="2" a="1"/>
  <c r="AH90" i="2" s="1"/>
  <c r="CS161" i="2" a="1"/>
  <c r="CS161" i="2" s="1"/>
  <c r="CS114" i="2" a="1"/>
  <c r="CS114" i="2" s="1"/>
  <c r="CS120" i="2" a="1"/>
  <c r="CS120" i="2" s="1"/>
  <c r="CS77" i="2" a="1"/>
  <c r="CS77" i="2" s="1"/>
  <c r="CS185" i="2" a="1"/>
  <c r="CS185" i="2" s="1"/>
  <c r="CS137" i="2" a="1"/>
  <c r="CS137" i="2" s="1"/>
  <c r="CS129" i="2" a="1"/>
  <c r="CS129" i="2" s="1"/>
  <c r="CS52" i="2" a="1"/>
  <c r="CS52" i="2" s="1"/>
  <c r="CS66" i="2" a="1"/>
  <c r="CS66" i="2" s="1"/>
  <c r="CS38" i="2" a="1"/>
  <c r="CS38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DI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M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M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<sst xmlns="http://schemas.openxmlformats.org/spreadsheetml/2006/main" count="1175" uniqueCount="324">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</sst>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1.9951528130393739</c:v>
                </c:pt>
                <c:pt idx="2">
                  <c:v>2.801987453453473</c:v>
                </c:pt>
                <c:pt idx="3">
                  <c:v>3.9365296795409237</c:v>
                </c:pt>
                <c:pt idx="4">
                  <c:v>5.5324276571117856</c:v>
                </c:pt>
                <c:pt idx="5">
                  <c:v>7.7780423573062087</c:v>
                </c:pt>
                <c:pt idx="6">
                  <c:v>10.938924465021435</c:v>
                </c:pt>
                <c:pt idx="7">
                  <c:v>15.389554849750539</c:v>
                </c:pt>
                <c:pt idx="8">
                  <c:v>21.658177623394408</c:v>
                </c:pt>
                <c:pt idx="9">
                  <c:v>30.490141697520784</c:v>
                </c:pt>
                <c:pt idx="10">
                  <c:v>42.937412871487879</c:v>
                </c:pt>
                <c:pt idx="11">
                  <c:v>50.525062342877327</c:v>
                </c:pt>
                <c:pt idx="12">
                  <c:v>64.158273468079955</c:v>
                </c:pt>
                <c:pt idx="13">
                  <c:v>77.716157517869419</c:v>
                </c:pt>
                <c:pt idx="14">
                  <c:v>91.21378336117408</c:v>
                </c:pt>
                <c:pt idx="15">
                  <c:v>104.66135602287243</c:v>
                </c:pt>
                <c:pt idx="16">
                  <c:v>93.378156972322202</c:v>
                </c:pt>
                <c:pt idx="17">
                  <c:v>107.29763041380107</c:v>
                </c:pt>
                <c:pt idx="18">
                  <c:v>121.17258390131535</c:v>
                </c:pt>
                <c:pt idx="19">
                  <c:v>135.00884169160111</c:v>
                </c:pt>
                <c:pt idx="20">
                  <c:v>148.81093286135922</c:v>
                </c:pt>
                <c:pt idx="21">
                  <c:v>132.86417787910921</c:v>
                </c:pt>
                <c:pt idx="22">
                  <c:v>145.48231507115517</c:v>
                </c:pt>
                <c:pt idx="23">
                  <c:v>158.07427982969332</c:v>
                </c:pt>
                <c:pt idx="24">
                  <c:v>170.64245249764204</c:v>
                </c:pt>
                <c:pt idx="25">
                  <c:v>183.18883358988873</c:v>
                </c:pt>
                <c:pt idx="26">
                  <c:v>167.08771413550696</c:v>
                </c:pt>
                <c:pt idx="27">
                  <c:v>177.03661484019131</c:v>
                </c:pt>
                <c:pt idx="28">
                  <c:v>186.97240160982622</c:v>
                </c:pt>
                <c:pt idx="29">
                  <c:v>196.89587026062097</c:v>
                </c:pt>
                <c:pt idx="30">
                  <c:v>206.80772973999626</c:v>
                </c:pt>
                <c:pt idx="31">
                  <c:v>192.17189850121224</c:v>
                </c:pt>
                <c:pt idx="32">
                  <c:v>199.96503633513382</c:v>
                </c:pt>
                <c:pt idx="33">
                  <c:v>207.75113458127905</c:v>
                </c:pt>
                <c:pt idx="34">
                  <c:v>215.53049463375149</c:v>
                </c:pt>
                <c:pt idx="35">
                  <c:v>223.30339432263699</c:v>
                </c:pt>
                <c:pt idx="36">
                  <c:v>211.28802543122325</c:v>
                </c:pt>
                <c:pt idx="37">
                  <c:v>216.94422185354449</c:v>
                </c:pt>
                <c:pt idx="38">
                  <c:v>222.59702714000073</c:v>
                </c:pt>
                <c:pt idx="39">
                  <c:v>228.24653971138068</c:v>
                </c:pt>
                <c:pt idx="40">
                  <c:v>233.89285271005079</c:v>
                </c:pt>
                <c:pt idx="41">
                  <c:v>224.95138540725256</c:v>
                </c:pt>
                <c:pt idx="42">
                  <c:v>228.952501957349</c:v>
                </c:pt>
                <c:pt idx="43">
                  <c:v>232.95201893246744</c:v>
                </c:pt>
                <c:pt idx="44">
                  <c:v>236.94996773022407</c:v>
                </c:pt>
                <c:pt idx="45">
                  <c:v>240.9463786000355</c:v>
                </c:pt>
                <c:pt idx="46">
                  <c:v>234.59842131171899</c:v>
                </c:pt>
                <c:pt idx="47">
                  <c:v>237.65532761500836</c:v>
                </c:pt>
                <c:pt idx="48">
                  <c:v>240.71133765275954</c:v>
                </c:pt>
                <c:pt idx="49">
                  <c:v>243.76646443655656</c:v>
                </c:pt>
                <c:pt idx="50">
                  <c:v>246.82072062447375</c:v>
                </c:pt>
                <c:pt idx="51">
                  <c:v>5.3139366398878183E-13</c:v>
                </c:pt>
                <c:pt idx="52">
                  <c:v>5.3139366398878183E-13</c:v>
                </c:pt>
                <c:pt idx="53">
                  <c:v>5.3139366398878183E-13</c:v>
                </c:pt>
                <c:pt idx="54">
                  <c:v>5.3139366398878183E-13</c:v>
                </c:pt>
                <c:pt idx="55">
                  <c:v>5.3139366398878183E-13</c:v>
                </c:pt>
                <c:pt idx="56">
                  <c:v>5.3139366398878183E-13</c:v>
                </c:pt>
                <c:pt idx="57">
                  <c:v>5.3139366398878183E-13</c:v>
                </c:pt>
                <c:pt idx="58">
                  <c:v>5.3139366398878183E-13</c:v>
                </c:pt>
                <c:pt idx="59">
                  <c:v>5.3139366398878183E-13</c:v>
                </c:pt>
                <c:pt idx="60">
                  <c:v>5.3139366398878183E-13</c:v>
                </c:pt>
                <c:pt idx="61">
                  <c:v>5.3139366398878183E-13</c:v>
                </c:pt>
                <c:pt idx="62">
                  <c:v>5.3139366398878183E-13</c:v>
                </c:pt>
                <c:pt idx="63">
                  <c:v>5.3139366398878183E-13</c:v>
                </c:pt>
                <c:pt idx="64">
                  <c:v>5.3139366398878183E-13</c:v>
                </c:pt>
                <c:pt idx="65">
                  <c:v>5.3139366398878183E-13</c:v>
                </c:pt>
                <c:pt idx="66">
                  <c:v>5.3139366398878183E-13</c:v>
                </c:pt>
                <c:pt idx="67">
                  <c:v>5.3139366398878183E-13</c:v>
                </c:pt>
                <c:pt idx="68">
                  <c:v>5.3139366398878183E-13</c:v>
                </c:pt>
                <c:pt idx="69">
                  <c:v>5.3139366398878183E-13</c:v>
                </c:pt>
                <c:pt idx="70">
                  <c:v>5.3139366398878183E-13</c:v>
                </c:pt>
                <c:pt idx="71">
                  <c:v>5.3139366398878183E-13</c:v>
                </c:pt>
                <c:pt idx="72">
                  <c:v>5.3139366398878183E-13</c:v>
                </c:pt>
                <c:pt idx="73">
                  <c:v>5.3139366398878183E-13</c:v>
                </c:pt>
                <c:pt idx="74">
                  <c:v>5.3139366398878183E-13</c:v>
                </c:pt>
                <c:pt idx="75">
                  <c:v>5.3139366398878183E-13</c:v>
                </c:pt>
                <c:pt idx="76">
                  <c:v>5.3139366398878183E-13</c:v>
                </c:pt>
                <c:pt idx="77">
                  <c:v>5.3139366398878183E-13</c:v>
                </c:pt>
                <c:pt idx="78">
                  <c:v>5.3139366398878183E-13</c:v>
                </c:pt>
                <c:pt idx="79">
                  <c:v>5.3139366398878183E-13</c:v>
                </c:pt>
                <c:pt idx="80">
                  <c:v>5.3139366398878183E-13</c:v>
                </c:pt>
                <c:pt idx="81">
                  <c:v>5.3139366398878183E-13</c:v>
                </c:pt>
                <c:pt idx="82">
                  <c:v>5.3139366398878183E-13</c:v>
                </c:pt>
                <c:pt idx="83">
                  <c:v>5.3139366398878183E-13</c:v>
                </c:pt>
                <c:pt idx="84">
                  <c:v>5.3139366398878183E-13</c:v>
                </c:pt>
                <c:pt idx="85">
                  <c:v>5.3139366398878183E-13</c:v>
                </c:pt>
                <c:pt idx="86">
                  <c:v>5.3139366398878183E-13</c:v>
                </c:pt>
                <c:pt idx="87">
                  <c:v>5.3139366398878183E-13</c:v>
                </c:pt>
                <c:pt idx="88">
                  <c:v>5.3139366398878183E-13</c:v>
                </c:pt>
                <c:pt idx="89">
                  <c:v>5.3139366398878183E-13</c:v>
                </c:pt>
                <c:pt idx="90">
                  <c:v>5.3139366398878183E-13</c:v>
                </c:pt>
                <c:pt idx="91">
                  <c:v>5.3139366398878183E-13</c:v>
                </c:pt>
                <c:pt idx="92">
                  <c:v>5.3139366398878183E-13</c:v>
                </c:pt>
                <c:pt idx="93">
                  <c:v>5.3139366398878183E-13</c:v>
                </c:pt>
                <c:pt idx="94">
                  <c:v>5.3139366398878183E-13</c:v>
                </c:pt>
                <c:pt idx="95">
                  <c:v>5.3139366398878183E-13</c:v>
                </c:pt>
                <c:pt idx="96">
                  <c:v>5.3139366398878183E-13</c:v>
                </c:pt>
                <c:pt idx="97">
                  <c:v>5.3139366398878183E-13</c:v>
                </c:pt>
                <c:pt idx="98">
                  <c:v>5.3139366398878183E-13</c:v>
                </c:pt>
                <c:pt idx="99">
                  <c:v>5.3139366398878183E-13</c:v>
                </c:pt>
                <c:pt idx="100">
                  <c:v>5.3139366398878183E-13</c:v>
                </c:pt>
                <c:pt idx="101">
                  <c:v>5.3139366398878183E-13</c:v>
                </c:pt>
                <c:pt idx="102">
                  <c:v>5.3139366398878183E-13</c:v>
                </c:pt>
                <c:pt idx="103">
                  <c:v>5.3139366398878183E-13</c:v>
                </c:pt>
                <c:pt idx="104">
                  <c:v>5.3139366398878183E-13</c:v>
                </c:pt>
                <c:pt idx="105">
                  <c:v>5.3139366398878183E-13</c:v>
                </c:pt>
                <c:pt idx="106">
                  <c:v>5.3139366398878183E-13</c:v>
                </c:pt>
                <c:pt idx="107">
                  <c:v>5.3139366398878183E-13</c:v>
                </c:pt>
                <c:pt idx="108">
                  <c:v>5.3139366398878183E-13</c:v>
                </c:pt>
                <c:pt idx="109">
                  <c:v>5.3139366398878183E-13</c:v>
                </c:pt>
                <c:pt idx="110">
                  <c:v>5.3139366398878183E-13</c:v>
                </c:pt>
                <c:pt idx="111">
                  <c:v>5.3139366398878183E-13</c:v>
                </c:pt>
                <c:pt idx="112">
                  <c:v>5.3139366398878183E-13</c:v>
                </c:pt>
                <c:pt idx="113">
                  <c:v>5.3139366398878183E-13</c:v>
                </c:pt>
                <c:pt idx="114">
                  <c:v>5.3139366398878183E-13</c:v>
                </c:pt>
                <c:pt idx="115">
                  <c:v>5.3139366398878183E-13</c:v>
                </c:pt>
                <c:pt idx="116">
                  <c:v>5.3139366398878183E-13</c:v>
                </c:pt>
                <c:pt idx="117">
                  <c:v>5.3139366398878183E-13</c:v>
                </c:pt>
                <c:pt idx="118">
                  <c:v>5.3139366398878183E-13</c:v>
                </c:pt>
                <c:pt idx="119">
                  <c:v>5.3139366398878183E-13</c:v>
                </c:pt>
                <c:pt idx="120">
                  <c:v>5.3139366398878183E-13</c:v>
                </c:pt>
                <c:pt idx="121">
                  <c:v>5.3139366398878183E-13</c:v>
                </c:pt>
                <c:pt idx="122">
                  <c:v>5.3139366398878183E-13</c:v>
                </c:pt>
                <c:pt idx="123">
                  <c:v>5.3139366398878183E-13</c:v>
                </c:pt>
                <c:pt idx="124">
                  <c:v>5.3139366398878183E-13</c:v>
                </c:pt>
                <c:pt idx="125">
                  <c:v>5.3139366398878183E-13</c:v>
                </c:pt>
                <c:pt idx="126">
                  <c:v>5.3139366398878183E-13</c:v>
                </c:pt>
                <c:pt idx="127">
                  <c:v>5.3139366398878183E-13</c:v>
                </c:pt>
                <c:pt idx="128">
                  <c:v>5.3139366398878183E-13</c:v>
                </c:pt>
                <c:pt idx="129">
                  <c:v>5.3139366398878183E-13</c:v>
                </c:pt>
                <c:pt idx="130">
                  <c:v>5.3139366398878183E-13</c:v>
                </c:pt>
                <c:pt idx="131">
                  <c:v>5.3139366398878183E-13</c:v>
                </c:pt>
                <c:pt idx="132">
                  <c:v>5.3139366398878183E-13</c:v>
                </c:pt>
                <c:pt idx="133">
                  <c:v>5.3139366398878183E-13</c:v>
                </c:pt>
                <c:pt idx="134">
                  <c:v>5.3139366398878183E-13</c:v>
                </c:pt>
                <c:pt idx="135">
                  <c:v>5.3139366398878183E-13</c:v>
                </c:pt>
                <c:pt idx="136">
                  <c:v>5.3139366398878183E-13</c:v>
                </c:pt>
                <c:pt idx="137">
                  <c:v>5.3139366398878183E-13</c:v>
                </c:pt>
                <c:pt idx="138">
                  <c:v>5.3139366398878183E-13</c:v>
                </c:pt>
                <c:pt idx="139">
                  <c:v>5.3139366398878183E-13</c:v>
                </c:pt>
                <c:pt idx="140">
                  <c:v>5.3139366398878183E-13</c:v>
                </c:pt>
                <c:pt idx="141">
                  <c:v>5.3139366398878183E-13</c:v>
                </c:pt>
                <c:pt idx="142">
                  <c:v>5.3139366398878183E-13</c:v>
                </c:pt>
                <c:pt idx="143">
                  <c:v>5.3139366398878183E-13</c:v>
                </c:pt>
                <c:pt idx="144">
                  <c:v>5.3139366398878183E-13</c:v>
                </c:pt>
                <c:pt idx="145">
                  <c:v>5.3139366398878183E-13</c:v>
                </c:pt>
                <c:pt idx="146">
                  <c:v>5.3139366398878183E-13</c:v>
                </c:pt>
                <c:pt idx="147">
                  <c:v>5.3139366398878183E-13</c:v>
                </c:pt>
                <c:pt idx="148">
                  <c:v>5.3139366398878183E-13</c:v>
                </c:pt>
                <c:pt idx="149">
                  <c:v>5.3139366398878183E-13</c:v>
                </c:pt>
                <c:pt idx="150">
                  <c:v>5.3139366398878183E-13</c:v>
                </c:pt>
                <c:pt idx="151">
                  <c:v>5.3139366398878183E-13</c:v>
                </c:pt>
                <c:pt idx="152">
                  <c:v>5.3139366398878183E-13</c:v>
                </c:pt>
                <c:pt idx="153">
                  <c:v>5.3139366398878183E-13</c:v>
                </c:pt>
                <c:pt idx="154">
                  <c:v>5.3139366398878183E-13</c:v>
                </c:pt>
                <c:pt idx="155">
                  <c:v>5.3139366398878183E-13</c:v>
                </c:pt>
                <c:pt idx="156">
                  <c:v>5.3139366398878183E-13</c:v>
                </c:pt>
                <c:pt idx="157">
                  <c:v>5.3139366398878183E-13</c:v>
                </c:pt>
                <c:pt idx="158">
                  <c:v>5.3139366398878183E-13</c:v>
                </c:pt>
                <c:pt idx="159">
                  <c:v>5.3139366398878183E-13</c:v>
                </c:pt>
                <c:pt idx="160">
                  <c:v>5.3139366398878183E-13</c:v>
                </c:pt>
                <c:pt idx="161">
                  <c:v>5.3139366398878183E-13</c:v>
                </c:pt>
                <c:pt idx="162">
                  <c:v>5.3139366398878183E-13</c:v>
                </c:pt>
                <c:pt idx="163">
                  <c:v>5.3139366398878183E-13</c:v>
                </c:pt>
                <c:pt idx="164">
                  <c:v>5.3139366398878183E-13</c:v>
                </c:pt>
                <c:pt idx="165">
                  <c:v>5.3139366398878183E-13</c:v>
                </c:pt>
                <c:pt idx="166">
                  <c:v>5.3139366398878183E-13</c:v>
                </c:pt>
                <c:pt idx="167">
                  <c:v>5.3139366398878183E-13</c:v>
                </c:pt>
                <c:pt idx="168">
                  <c:v>5.3139366398878183E-13</c:v>
                </c:pt>
                <c:pt idx="169">
                  <c:v>5.3139366398878183E-13</c:v>
                </c:pt>
                <c:pt idx="170">
                  <c:v>5.3139366398878183E-13</c:v>
                </c:pt>
                <c:pt idx="171">
                  <c:v>5.3139366398878183E-13</c:v>
                </c:pt>
                <c:pt idx="172">
                  <c:v>5.3139366398878183E-13</c:v>
                </c:pt>
                <c:pt idx="173">
                  <c:v>5.3139366398878183E-13</c:v>
                </c:pt>
                <c:pt idx="174">
                  <c:v>5.3139366398878183E-13</c:v>
                </c:pt>
                <c:pt idx="175">
                  <c:v>5.3139366398878183E-13</c:v>
                </c:pt>
                <c:pt idx="176">
                  <c:v>5.3139366398878183E-13</c:v>
                </c:pt>
                <c:pt idx="177">
                  <c:v>5.3139366398878183E-13</c:v>
                </c:pt>
                <c:pt idx="178">
                  <c:v>5.3139366398878183E-13</c:v>
                </c:pt>
                <c:pt idx="179">
                  <c:v>5.3139366398878183E-13</c:v>
                </c:pt>
                <c:pt idx="180">
                  <c:v>5.3139366398878183E-13</c:v>
                </c:pt>
                <c:pt idx="181">
                  <c:v>5.3139366398878183E-13</c:v>
                </c:pt>
                <c:pt idx="182">
                  <c:v>5.3139366398878183E-13</c:v>
                </c:pt>
                <c:pt idx="183">
                  <c:v>5.3139366398878183E-13</c:v>
                </c:pt>
                <c:pt idx="184">
                  <c:v>5.3139366398878183E-13</c:v>
                </c:pt>
                <c:pt idx="185">
                  <c:v>5.3139366398878183E-13</c:v>
                </c:pt>
                <c:pt idx="186">
                  <c:v>5.3139366398878183E-13</c:v>
                </c:pt>
                <c:pt idx="187">
                  <c:v>5.3139366398878183E-13</c:v>
                </c:pt>
                <c:pt idx="188">
                  <c:v>5.3139366398878183E-13</c:v>
                </c:pt>
                <c:pt idx="189">
                  <c:v>5.3139366398878183E-13</c:v>
                </c:pt>
                <c:pt idx="190">
                  <c:v>5.3139366398878183E-13</c:v>
                </c:pt>
                <c:pt idx="191">
                  <c:v>5.3139366398878183E-13</c:v>
                </c:pt>
                <c:pt idx="192">
                  <c:v>5.3139366398878183E-13</c:v>
                </c:pt>
                <c:pt idx="193">
                  <c:v>5.3139366398878183E-13</c:v>
                </c:pt>
                <c:pt idx="194">
                  <c:v>5.3139366398878183E-13</c:v>
                </c:pt>
                <c:pt idx="195">
                  <c:v>5.3139366398878183E-13</c:v>
                </c:pt>
                <c:pt idx="196">
                  <c:v>5.3139366398878183E-13</c:v>
                </c:pt>
                <c:pt idx="197">
                  <c:v>5.3139366398878183E-13</c:v>
                </c:pt>
                <c:pt idx="198">
                  <c:v>5.3139366398878183E-13</c:v>
                </c:pt>
                <c:pt idx="199">
                  <c:v>5.3139366398878183E-13</c:v>
                </c:pt>
                <c:pt idx="200">
                  <c:v>5.3139366398878183E-13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642.03605120322266</c:v>
                </c:pt>
                <c:pt idx="92">
                  <c:v>654.26150513657501</c:v>
                </c:pt>
                <c:pt idx="93">
                  <c:v>666.48225266324471</c:v>
                </c:pt>
                <c:pt idx="94">
                  <c:v>678.69839220429355</c:v>
                </c:pt>
                <c:pt idx="95">
                  <c:v>690.91001835052748</c:v>
                </c:pt>
                <c:pt idx="96">
                  <c:v>645.70418757261734</c:v>
                </c:pt>
                <c:pt idx="97">
                  <c:v>657.5208271917312</c:v>
                </c:pt>
                <c:pt idx="98">
                  <c:v>669.33309384269342</c:v>
                </c:pt>
                <c:pt idx="99">
                  <c:v>681.14107554314921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649.37189397752024</c:v>
                </c:pt>
                <c:pt idx="112">
                  <c:v>658.74298707117862</c:v>
                </c:pt>
                <c:pt idx="113">
                  <c:v>668.11133540519438</c:v>
                </c:pt>
                <c:pt idx="114">
                  <c:v>677.47698288468996</c:v>
                </c:pt>
                <c:pt idx="115">
                  <c:v>686.83997210216705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177.6047193610066</c:v>
                </c:pt>
                <c:pt idx="22">
                  <c:v>194.38574894735427</c:v>
                </c:pt>
                <c:pt idx="23">
                  <c:v>211.13310471280226</c:v>
                </c:pt>
                <c:pt idx="24">
                  <c:v>227.84983423962137</c:v>
                </c:pt>
                <c:pt idx="25">
                  <c:v>244.53850101874704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246.39116311423746</c:v>
                </c:pt>
                <c:pt idx="32">
                  <c:v>271.37218356115193</c:v>
                </c:pt>
                <c:pt idx="33">
                  <c:v>296.30147749206873</c:v>
                </c:pt>
                <c:pt idx="34">
                  <c:v>321.18400634011869</c:v>
                </c:pt>
                <c:pt idx="35">
                  <c:v>346.02389994775189</c:v>
                </c:pt>
                <c:pt idx="36">
                  <c:v>307.36589042386964</c:v>
                </c:pt>
                <c:pt idx="37">
                  <c:v>333.14904895004429</c:v>
                </c:pt>
                <c:pt idx="38">
                  <c:v>358.88823411477216</c:v>
                </c:pt>
                <c:pt idx="39">
                  <c:v>384.58704033593932</c:v>
                </c:pt>
                <c:pt idx="40">
                  <c:v>410.24854266397227</c:v>
                </c:pt>
                <c:pt idx="41">
                  <c:v>372.20138039050318</c:v>
                </c:pt>
                <c:pt idx="42">
                  <c:v>398.33873496539172</c:v>
                </c:pt>
                <c:pt idx="43">
                  <c:v>424.43896415017304</c:v>
                </c:pt>
                <c:pt idx="44">
                  <c:v>450.50466953855158</c:v>
                </c:pt>
                <c:pt idx="45">
                  <c:v>476.53812734890562</c:v>
                </c:pt>
                <c:pt idx="46">
                  <c:v>437.70462758915511</c:v>
                </c:pt>
                <c:pt idx="47">
                  <c:v>462.8401985900677</c:v>
                </c:pt>
                <c:pt idx="48">
                  <c:v>487.94666038986719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497.52544854631657</c:v>
                </c:pt>
                <c:pt idx="52">
                  <c:v>520.77212718922112</c:v>
                </c:pt>
                <c:pt idx="53">
                  <c:v>543.99693627336694</c:v>
                </c:pt>
                <c:pt idx="54">
                  <c:v>567.20093985804488</c:v>
                </c:pt>
                <c:pt idx="55">
                  <c:v>590.38510793020873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589.93070129681701</c:v>
                </c:pt>
                <c:pt idx="62">
                  <c:v>609.91778720325738</c:v>
                </c:pt>
                <c:pt idx="63">
                  <c:v>629.89128564201053</c:v>
                </c:pt>
                <c:pt idx="64">
                  <c:v>649.85168770908911</c:v>
                </c:pt>
                <c:pt idx="65">
                  <c:v>669.79945190168928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653.02602957952047</c:v>
                </c:pt>
                <c:pt idx="72">
                  <c:v>670.25266671743498</c:v>
                </c:pt>
                <c:pt idx="73">
                  <c:v>687.47020509498805</c:v>
                </c:pt>
                <c:pt idx="74">
                  <c:v>704.67890448920218</c:v>
                </c:pt>
                <c:pt idx="75">
                  <c:v>721.87901096599273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691.99965688460588</c:v>
                </c:pt>
                <c:pt idx="82">
                  <c:v>707.39527591573994</c:v>
                </c:pt>
                <c:pt idx="83">
                  <c:v>722.78404617477554</c:v>
                </c:pt>
                <c:pt idx="84">
                  <c:v>738.1661339071153</c:v>
                </c:pt>
                <c:pt idx="85">
                  <c:v>753.54169787037063</c:v>
                </c:pt>
                <c:pt idx="86">
                  <c:v>704.67890448920218</c:v>
                </c:pt>
                <c:pt idx="87">
                  <c:v>719.16376628356682</c:v>
                </c:pt>
                <c:pt idx="88">
                  <c:v>733.64267463552369</c:v>
                </c:pt>
                <c:pt idx="89">
                  <c:v>748.11576350792348</c:v>
                </c:pt>
                <c:pt idx="90">
                  <c:v>762.58316126167256</c:v>
                </c:pt>
                <c:pt idx="91">
                  <c:v>712.82737990960993</c:v>
                </c:pt>
                <c:pt idx="92">
                  <c:v>726.40395613171529</c:v>
                </c:pt>
                <c:pt idx="93">
                  <c:v>739.9753593927303</c:v>
                </c:pt>
                <c:pt idx="94">
                  <c:v>753.54169787037029</c:v>
                </c:pt>
                <c:pt idx="95">
                  <c:v>767.10307553239545</c:v>
                </c:pt>
                <c:pt idx="96">
                  <c:v>716.90090255028815</c:v>
                </c:pt>
                <c:pt idx="97">
                  <c:v>730.02349825821159</c:v>
                </c:pt>
                <c:pt idx="98">
                  <c:v>743.14128749792656</c:v>
                </c:pt>
                <c:pt idx="99">
                  <c:v>756.25436701242234</c:v>
                </c:pt>
                <c:pt idx="100">
                  <c:v>769.36282991848668</c:v>
                </c:pt>
                <c:pt idx="101">
                  <c:v>720.52141472893663</c:v>
                </c:pt>
                <c:pt idx="102">
                  <c:v>732.73791471720131</c:v>
                </c:pt>
                <c:pt idx="103">
                  <c:v>744.95026599101573</c:v>
                </c:pt>
                <c:pt idx="104">
                  <c:v>757.15854610702581</c:v>
                </c:pt>
                <c:pt idx="105">
                  <c:v>769.36282991848657</c:v>
                </c:pt>
                <c:pt idx="106">
                  <c:v>721.87901096599228</c:v>
                </c:pt>
                <c:pt idx="107">
                  <c:v>733.19029751967901</c:v>
                </c:pt>
                <c:pt idx="108">
                  <c:v>744.49802975383579</c:v>
                </c:pt>
                <c:pt idx="109">
                  <c:v>755.80226923335988</c:v>
                </c:pt>
                <c:pt idx="110">
                  <c:v>767.10307553239511</c:v>
                </c:pt>
                <c:pt idx="111">
                  <c:v>720.97395260333485</c:v>
                </c:pt>
                <c:pt idx="112">
                  <c:v>731.38073214986196</c:v>
                </c:pt>
                <c:pt idx="113">
                  <c:v>741.78449484387431</c:v>
                </c:pt>
                <c:pt idx="114">
                  <c:v>752.18528894288704</c:v>
                </c:pt>
                <c:pt idx="115">
                  <c:v>762.58316126167267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B82" sqref="B8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9" t="s">
        <v>190</v>
      </c>
      <c r="D1" s="299"/>
      <c r="E1" s="29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9.6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0.51</v>
      </c>
      <c r="D9" s="36">
        <f t="shared" ref="D9:D18" si="0">C9*$C$5</f>
        <v>4.8959999999999999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0.08</v>
      </c>
      <c r="D10" s="36">
        <f t="shared" si="0"/>
        <v>0.76800000000000002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0.19600000000000001</v>
      </c>
      <c r="D11" s="36">
        <f t="shared" si="0"/>
        <v>1.8815999999999999</v>
      </c>
      <c r="E11" s="37">
        <v>54</v>
      </c>
      <c r="F11" s="38" t="str">
        <f t="array" ref="F11">IF(E11="","",IF(INDEX(A:A,MAX(IF(ISNUMBER($A$88:$A$107),ROW($A$88:$A$107),"")))&lt;&gt;E11,"Corrigez : révolution incorrecte","OK"))</f>
        <v>Corrigez : révolution incorrecte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81</v>
      </c>
      <c r="C12" s="35">
        <v>6.5000000000000002E-2</v>
      </c>
      <c r="D12" s="36">
        <f t="shared" si="0"/>
        <v>0.624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164</v>
      </c>
      <c r="C13" s="35">
        <v>7.0000000000000007E-2</v>
      </c>
      <c r="D13" s="36">
        <f t="shared" si="0"/>
        <v>0.67200000000000004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0.04</v>
      </c>
      <c r="D14" s="36">
        <f t="shared" si="0"/>
        <v>0.38400000000000001</v>
      </c>
      <c r="E14" s="37">
        <v>115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52</v>
      </c>
      <c r="C15" s="35">
        <v>0.03</v>
      </c>
      <c r="D15" s="36">
        <f t="shared" si="0"/>
        <v>0.28799999999999998</v>
      </c>
      <c r="E15" s="37">
        <v>115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0.9910000000000001</v>
      </c>
      <c r="D19" s="41">
        <f>SUM(D9:D18)</f>
        <v>9.5136000000000003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0.5</v>
      </c>
      <c r="G38" s="54">
        <v>0.5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>
        <v>0.3</v>
      </c>
      <c r="G63" s="54">
        <v>0.7</v>
      </c>
      <c r="H63" s="54"/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>
        <v>0.5</v>
      </c>
      <c r="G64" s="54">
        <v>0.5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19</v>
      </c>
      <c r="B88" s="63">
        <v>154.44</v>
      </c>
      <c r="C88" s="63">
        <v>1</v>
      </c>
      <c r="D88" s="63">
        <v>0</v>
      </c>
      <c r="E88" s="93"/>
      <c r="F88" s="93"/>
      <c r="G88" s="93"/>
      <c r="H88" s="54">
        <v>0</v>
      </c>
      <c r="I88" s="56">
        <f>IFERROR(B88/A88,"")</f>
        <v>8.1284210526315785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21</v>
      </c>
      <c r="B89" s="63">
        <v>195.15</v>
      </c>
      <c r="C89" s="63">
        <v>2</v>
      </c>
      <c r="D89" s="63">
        <v>64.58</v>
      </c>
      <c r="E89" s="54">
        <v>0.1</v>
      </c>
      <c r="F89" s="54">
        <v>0.4</v>
      </c>
      <c r="G89" s="54">
        <v>0.5</v>
      </c>
      <c r="H89" s="54">
        <v>0</v>
      </c>
      <c r="I89" s="56">
        <f t="shared" ref="I89:I107" si="3">IF(A89&lt;&gt;0,(B89-(B88-D88))/(A89-A88),"")</f>
        <v>20.355000000000004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28</v>
      </c>
      <c r="B90" s="63">
        <v>281.86</v>
      </c>
      <c r="C90" s="63">
        <v>3</v>
      </c>
      <c r="D90" s="63">
        <v>67.61</v>
      </c>
      <c r="E90" s="93">
        <v>0.4</v>
      </c>
      <c r="F90" s="93">
        <v>0.3</v>
      </c>
      <c r="G90" s="93">
        <v>0.3</v>
      </c>
      <c r="H90" s="93"/>
      <c r="I90" s="56">
        <f t="shared" si="3"/>
        <v>21.612857142857145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377.12</v>
      </c>
      <c r="C91" s="63">
        <v>4</v>
      </c>
      <c r="D91" s="63">
        <v>86.68</v>
      </c>
      <c r="E91" s="93"/>
      <c r="F91" s="93"/>
      <c r="G91" s="93"/>
      <c r="H91" s="93"/>
      <c r="I91" s="56">
        <f t="shared" si="3"/>
        <v>23.267142857142858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42</v>
      </c>
      <c r="B92" s="63">
        <v>450.23</v>
      </c>
      <c r="C92" s="63">
        <v>5</v>
      </c>
      <c r="D92" s="53">
        <v>99.98</v>
      </c>
      <c r="E92" s="54"/>
      <c r="F92" s="54"/>
      <c r="G92" s="54"/>
      <c r="H92" s="93"/>
      <c r="I92" s="56">
        <f t="shared" si="3"/>
        <v>22.82714285714286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49</v>
      </c>
      <c r="B93" s="53">
        <v>503.83</v>
      </c>
      <c r="C93" s="63">
        <v>6</v>
      </c>
      <c r="D93" s="53">
        <v>112.61</v>
      </c>
      <c r="E93" s="93"/>
      <c r="F93" s="93"/>
      <c r="G93" s="93"/>
      <c r="H93" s="93"/>
      <c r="I93" s="56">
        <f t="shared" si="3"/>
        <v>21.939999999999998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56</v>
      </c>
      <c r="B94" s="53">
        <v>533.49</v>
      </c>
      <c r="C94" s="63">
        <v>7</v>
      </c>
      <c r="D94" s="53">
        <v>94.57</v>
      </c>
      <c r="E94" s="93"/>
      <c r="F94" s="93"/>
      <c r="G94" s="93"/>
      <c r="H94" s="93"/>
      <c r="I94" s="56">
        <f t="shared" si="3"/>
        <v>20.324285714285718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63</v>
      </c>
      <c r="B95" s="53">
        <v>569</v>
      </c>
      <c r="C95" s="63">
        <v>8</v>
      </c>
      <c r="D95" s="53">
        <v>99.49</v>
      </c>
      <c r="E95" s="93"/>
      <c r="F95" s="93"/>
      <c r="G95" s="93"/>
      <c r="H95" s="93"/>
      <c r="I95" s="56">
        <f t="shared" si="3"/>
        <v>18.58285714285714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69</v>
      </c>
      <c r="B96" s="53">
        <v>569.98</v>
      </c>
      <c r="C96" s="63">
        <v>9</v>
      </c>
      <c r="D96" s="53">
        <v>0</v>
      </c>
      <c r="E96" s="93"/>
      <c r="F96" s="93"/>
      <c r="G96" s="93"/>
      <c r="H96" s="93"/>
      <c r="I96" s="56">
        <f t="shared" si="3"/>
        <v>16.745000000000005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70</v>
      </c>
      <c r="B97" s="53">
        <v>586.05999999999995</v>
      </c>
      <c r="C97" s="63">
        <v>10</v>
      </c>
      <c r="D97" s="53">
        <v>586.05999999999995</v>
      </c>
      <c r="E97" s="93"/>
      <c r="F97" s="93"/>
      <c r="G97" s="93"/>
      <c r="H97" s="93"/>
      <c r="I97" s="56">
        <f t="shared" si="3"/>
        <v>16.079999999999927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/>
      <c r="B98" s="53"/>
      <c r="C98" s="63"/>
      <c r="D98" s="5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/>
      <c r="B99" s="53"/>
      <c r="C99" s="63"/>
      <c r="D99" s="5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/>
      <c r="B100" s="53"/>
      <c r="C100" s="63"/>
      <c r="D100" s="5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/>
      <c r="B101" s="53"/>
      <c r="C101" s="63"/>
      <c r="D101" s="5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Mélèze hybride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34</v>
      </c>
      <c r="C114" s="53">
        <v>1</v>
      </c>
      <c r="D114" s="63">
        <v>5</v>
      </c>
      <c r="E114" s="54"/>
      <c r="F114" s="54"/>
      <c r="G114" s="54">
        <v>1</v>
      </c>
      <c r="H114" s="54"/>
      <c r="I114" s="56">
        <f>IFERROR(B114/A114,"")</f>
        <v>3.4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85</v>
      </c>
      <c r="C115" s="53">
        <v>2</v>
      </c>
      <c r="D115" s="63">
        <v>21</v>
      </c>
      <c r="E115" s="54"/>
      <c r="F115" s="54">
        <v>1</v>
      </c>
      <c r="G115" s="54"/>
      <c r="H115" s="54"/>
      <c r="I115" s="56">
        <f t="shared" ref="I115:I133" si="4">IF(A115&lt;&gt;0,(B115-(B114-D114))/(A115-A114),"")</f>
        <v>11.2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122</v>
      </c>
      <c r="C116" s="53">
        <v>3</v>
      </c>
      <c r="D116" s="63">
        <v>24</v>
      </c>
      <c r="E116" s="54">
        <v>0.2</v>
      </c>
      <c r="F116" s="54">
        <v>0.8</v>
      </c>
      <c r="G116" s="54"/>
      <c r="H116" s="54"/>
      <c r="I116" s="56">
        <f t="shared" si="4"/>
        <v>11.6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151</v>
      </c>
      <c r="C117" s="53">
        <v>4</v>
      </c>
      <c r="D117" s="63">
        <v>22</v>
      </c>
      <c r="E117" s="54">
        <v>0.3</v>
      </c>
      <c r="F117" s="54">
        <v>0.7</v>
      </c>
      <c r="G117" s="54"/>
      <c r="H117" s="54"/>
      <c r="I117" s="56">
        <f t="shared" si="4"/>
        <v>10.6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171</v>
      </c>
      <c r="C118" s="53">
        <v>5</v>
      </c>
      <c r="D118" s="63">
        <v>19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185</v>
      </c>
      <c r="C119" s="53">
        <v>6</v>
      </c>
      <c r="D119" s="63">
        <v>15</v>
      </c>
      <c r="E119" s="54"/>
      <c r="F119" s="54"/>
      <c r="G119" s="54"/>
      <c r="H119" s="54"/>
      <c r="I119" s="56">
        <f t="shared" si="4"/>
        <v>6.6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v>194</v>
      </c>
      <c r="C120" s="63">
        <v>7</v>
      </c>
      <c r="D120" s="63">
        <v>11</v>
      </c>
      <c r="E120" s="93"/>
      <c r="F120" s="93"/>
      <c r="G120" s="93"/>
      <c r="H120" s="93"/>
      <c r="I120" s="56">
        <f t="shared" si="4"/>
        <v>4.8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v>200</v>
      </c>
      <c r="C121" s="63">
        <v>8</v>
      </c>
      <c r="D121" s="63">
        <v>8</v>
      </c>
      <c r="E121" s="93"/>
      <c r="F121" s="93"/>
      <c r="G121" s="93"/>
      <c r="H121" s="93"/>
      <c r="I121" s="56">
        <f t="shared" si="4"/>
        <v>3.4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v>205</v>
      </c>
      <c r="C122" s="63">
        <v>9</v>
      </c>
      <c r="D122" s="63">
        <v>205</v>
      </c>
      <c r="E122" s="93"/>
      <c r="F122" s="93"/>
      <c r="G122" s="93"/>
      <c r="H122" s="93"/>
      <c r="I122" s="56">
        <f t="shared" si="4"/>
        <v>2.6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Cèdre de l'Atlas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158</v>
      </c>
      <c r="C140" s="53">
        <v>1</v>
      </c>
      <c r="D140" s="63">
        <v>0</v>
      </c>
      <c r="E140" s="54"/>
      <c r="F140" s="54"/>
      <c r="G140" s="54"/>
      <c r="H140" s="54"/>
      <c r="I140" s="60">
        <f>IFERROR(B140/A140,"")</f>
        <v>7.9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250</v>
      </c>
      <c r="C141" s="53">
        <v>2</v>
      </c>
      <c r="D141" s="63">
        <v>0</v>
      </c>
      <c r="E141" s="54"/>
      <c r="F141" s="54"/>
      <c r="G141" s="54"/>
      <c r="H141" s="54"/>
      <c r="I141" s="60">
        <f t="shared" ref="I141:I159" si="5">IF(A141&lt;&gt;0,(B141-(B140-D140))/(A141-A140),"")</f>
        <v>9.1999999999999993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40</v>
      </c>
      <c r="B142" s="63">
        <v>350</v>
      </c>
      <c r="C142" s="53">
        <v>3</v>
      </c>
      <c r="D142" s="63">
        <v>88</v>
      </c>
      <c r="E142" s="54"/>
      <c r="F142" s="54"/>
      <c r="G142" s="54"/>
      <c r="H142" s="54"/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50</v>
      </c>
      <c r="B143" s="63">
        <v>377</v>
      </c>
      <c r="C143" s="53">
        <v>4</v>
      </c>
      <c r="D143" s="63">
        <v>0</v>
      </c>
      <c r="E143" s="54"/>
      <c r="F143" s="54"/>
      <c r="G143" s="54"/>
      <c r="H143" s="54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60</v>
      </c>
      <c r="B144" s="63">
        <v>512</v>
      </c>
      <c r="C144" s="53">
        <v>5</v>
      </c>
      <c r="D144" s="63">
        <v>102</v>
      </c>
      <c r="E144" s="54"/>
      <c r="F144" s="54"/>
      <c r="G144" s="54"/>
      <c r="H144" s="54"/>
      <c r="I144" s="60">
        <f t="shared" si="5"/>
        <v>13.5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70</v>
      </c>
      <c r="B145" s="63">
        <v>565</v>
      </c>
      <c r="C145" s="53">
        <v>6</v>
      </c>
      <c r="D145" s="63">
        <v>113</v>
      </c>
      <c r="E145" s="54"/>
      <c r="F145" s="54"/>
      <c r="G145" s="54"/>
      <c r="H145" s="54"/>
      <c r="I145" s="60">
        <f t="shared" si="5"/>
        <v>15.5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80</v>
      </c>
      <c r="B146" s="63">
        <v>622</v>
      </c>
      <c r="C146" s="53">
        <v>7</v>
      </c>
      <c r="D146" s="63">
        <v>124</v>
      </c>
      <c r="E146" s="54"/>
      <c r="F146" s="54"/>
      <c r="G146" s="54"/>
      <c r="H146" s="54"/>
      <c r="I146" s="60">
        <f t="shared" si="5"/>
        <v>17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90</v>
      </c>
      <c r="B147" s="63">
        <v>673</v>
      </c>
      <c r="C147" s="53">
        <v>8</v>
      </c>
      <c r="D147" s="63">
        <v>135</v>
      </c>
      <c r="E147" s="54"/>
      <c r="F147" s="54"/>
      <c r="G147" s="54"/>
      <c r="H147" s="54"/>
      <c r="I147" s="60">
        <f>IF(A147&lt;&gt;0,(B147-(B146-D146))/(A147-A146),"")</f>
        <v>17.5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100</v>
      </c>
      <c r="B148" s="63">
        <v>723</v>
      </c>
      <c r="C148" s="53">
        <v>9</v>
      </c>
      <c r="D148" s="63">
        <v>723</v>
      </c>
      <c r="E148" s="54"/>
      <c r="F148" s="54"/>
      <c r="G148" s="54"/>
      <c r="H148" s="54"/>
      <c r="I148" s="60">
        <f t="shared" si="5"/>
        <v>18.5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v>73</v>
      </c>
      <c r="C166" s="63">
        <v>1</v>
      </c>
      <c r="D166" s="63">
        <v>6</v>
      </c>
      <c r="E166" s="54"/>
      <c r="F166" s="54"/>
      <c r="G166" s="54">
        <v>1</v>
      </c>
      <c r="H166" s="54"/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v>103</v>
      </c>
      <c r="C167" s="63">
        <v>2</v>
      </c>
      <c r="D167" s="63">
        <v>28</v>
      </c>
      <c r="E167" s="54"/>
      <c r="F167" s="54"/>
      <c r="G167" s="54">
        <v>1</v>
      </c>
      <c r="H167" s="54"/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v>121</v>
      </c>
      <c r="C168" s="63">
        <v>3</v>
      </c>
      <c r="D168" s="63">
        <v>28</v>
      </c>
      <c r="E168" s="54"/>
      <c r="F168" s="54">
        <v>0.2</v>
      </c>
      <c r="G168" s="54">
        <v>0.8</v>
      </c>
      <c r="H168" s="54"/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v>147</v>
      </c>
      <c r="C169" s="63">
        <v>4</v>
      </c>
      <c r="D169" s="63">
        <v>28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v>175</v>
      </c>
      <c r="C170" s="63">
        <v>5</v>
      </c>
      <c r="D170" s="63">
        <v>28</v>
      </c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v>204</v>
      </c>
      <c r="C171" s="63">
        <v>6</v>
      </c>
      <c r="D171" s="63">
        <v>28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v>231</v>
      </c>
      <c r="C172" s="63">
        <v>7</v>
      </c>
      <c r="D172" s="63">
        <v>28</v>
      </c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53">
        <v>254</v>
      </c>
      <c r="C173" s="53">
        <v>8</v>
      </c>
      <c r="D173" s="53">
        <v>28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273</v>
      </c>
      <c r="C174" s="53">
        <v>9</v>
      </c>
      <c r="D174" s="53">
        <v>28</v>
      </c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289</v>
      </c>
      <c r="C175" s="53">
        <v>10</v>
      </c>
      <c r="D175" s="53">
        <v>28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302</v>
      </c>
      <c r="C176" s="53">
        <v>11</v>
      </c>
      <c r="D176" s="53">
        <v>28</v>
      </c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312</v>
      </c>
      <c r="C177" s="53">
        <v>12</v>
      </c>
      <c r="D177" s="53">
        <v>28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320</v>
      </c>
      <c r="C178" s="53">
        <v>13</v>
      </c>
      <c r="D178" s="53">
        <v>28</v>
      </c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85</v>
      </c>
      <c r="B179" s="53">
        <v>326</v>
      </c>
      <c r="C179" s="53">
        <v>14</v>
      </c>
      <c r="D179" s="53">
        <v>28</v>
      </c>
      <c r="E179" s="54"/>
      <c r="F179" s="54"/>
      <c r="G179" s="54"/>
      <c r="H179" s="54"/>
      <c r="I179" s="52">
        <f t="shared" si="6"/>
        <v>6.8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90</v>
      </c>
      <c r="B180" s="53">
        <v>330</v>
      </c>
      <c r="C180" s="53">
        <v>15</v>
      </c>
      <c r="D180" s="53">
        <v>28</v>
      </c>
      <c r="E180" s="54"/>
      <c r="F180" s="54"/>
      <c r="G180" s="54"/>
      <c r="H180" s="54"/>
      <c r="I180" s="52">
        <f t="shared" si="6"/>
        <v>6.4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95</v>
      </c>
      <c r="B181" s="53">
        <v>332</v>
      </c>
      <c r="C181" s="53">
        <v>16</v>
      </c>
      <c r="D181" s="53">
        <v>28</v>
      </c>
      <c r="E181" s="54"/>
      <c r="F181" s="54"/>
      <c r="G181" s="54"/>
      <c r="H181" s="54"/>
      <c r="I181" s="52">
        <f t="shared" si="6"/>
        <v>6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100</v>
      </c>
      <c r="B182" s="53">
        <v>333</v>
      </c>
      <c r="C182" s="53">
        <v>17</v>
      </c>
      <c r="D182" s="53">
        <v>27</v>
      </c>
      <c r="E182" s="54"/>
      <c r="F182" s="54"/>
      <c r="G182" s="54"/>
      <c r="H182" s="54"/>
      <c r="I182" s="52">
        <f t="shared" si="6"/>
        <v>5.8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105</v>
      </c>
      <c r="B183" s="53">
        <v>333</v>
      </c>
      <c r="C183" s="53">
        <v>18</v>
      </c>
      <c r="D183" s="53">
        <v>26</v>
      </c>
      <c r="E183" s="54"/>
      <c r="F183" s="54"/>
      <c r="G183" s="54"/>
      <c r="H183" s="54"/>
      <c r="I183" s="52">
        <f t="shared" si="6"/>
        <v>5.4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110</v>
      </c>
      <c r="B184" s="53">
        <v>332</v>
      </c>
      <c r="C184" s="53">
        <v>19</v>
      </c>
      <c r="D184" s="53">
        <v>25</v>
      </c>
      <c r="E184" s="54"/>
      <c r="F184" s="54"/>
      <c r="G184" s="54"/>
      <c r="H184" s="54"/>
      <c r="I184" s="52">
        <f t="shared" si="6"/>
        <v>5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115</v>
      </c>
      <c r="B185" s="53">
        <v>330</v>
      </c>
      <c r="C185" s="53">
        <v>20</v>
      </c>
      <c r="D185" s="53">
        <v>330</v>
      </c>
      <c r="E185" s="54"/>
      <c r="F185" s="54"/>
      <c r="G185" s="54"/>
      <c r="H185" s="54"/>
      <c r="I185" s="52">
        <f t="shared" si="6"/>
        <v>4.5999999999999996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Cormier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73</v>
      </c>
      <c r="C192" s="63">
        <v>1</v>
      </c>
      <c r="D192" s="63">
        <v>6</v>
      </c>
      <c r="E192" s="54"/>
      <c r="F192" s="54"/>
      <c r="G192" s="54">
        <v>1</v>
      </c>
      <c r="H192" s="54"/>
      <c r="I192" s="52">
        <f>IFERROR(B192/A192,"")</f>
        <v>3.65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v>103</v>
      </c>
      <c r="C193" s="63">
        <v>2</v>
      </c>
      <c r="D193" s="63">
        <v>28</v>
      </c>
      <c r="E193" s="54"/>
      <c r="F193" s="54"/>
      <c r="G193" s="54">
        <v>1</v>
      </c>
      <c r="H193" s="54"/>
      <c r="I193" s="52">
        <f t="shared" ref="I193:I211" si="7">IF(A193&lt;&gt;0,(B193-(B192-D192))/(A193-A192),"")</f>
        <v>7.2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v>121</v>
      </c>
      <c r="C194" s="63">
        <v>3</v>
      </c>
      <c r="D194" s="63">
        <v>28</v>
      </c>
      <c r="E194" s="54"/>
      <c r="F194" s="54">
        <v>0.2</v>
      </c>
      <c r="G194" s="54">
        <v>0.8</v>
      </c>
      <c r="H194" s="54"/>
      <c r="I194" s="52">
        <f t="shared" si="7"/>
        <v>9.1999999999999993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3">
        <v>147</v>
      </c>
      <c r="C195" s="63">
        <v>4</v>
      </c>
      <c r="D195" s="63">
        <v>28</v>
      </c>
      <c r="E195" s="54"/>
      <c r="F195" s="54"/>
      <c r="G195" s="54"/>
      <c r="H195" s="54"/>
      <c r="I195" s="52">
        <f t="shared" si="7"/>
        <v>10.8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3">
        <v>175</v>
      </c>
      <c r="C196" s="63">
        <v>5</v>
      </c>
      <c r="D196" s="63">
        <v>28</v>
      </c>
      <c r="E196" s="54"/>
      <c r="F196" s="54"/>
      <c r="G196" s="54"/>
      <c r="H196" s="54"/>
      <c r="I196" s="52">
        <f t="shared" si="7"/>
        <v>11.2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3">
        <v>204</v>
      </c>
      <c r="C197" s="63">
        <v>6</v>
      </c>
      <c r="D197" s="63">
        <v>28</v>
      </c>
      <c r="E197" s="54"/>
      <c r="F197" s="54"/>
      <c r="G197" s="54"/>
      <c r="H197" s="54"/>
      <c r="I197" s="52">
        <f t="shared" si="7"/>
        <v>11.4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3">
        <v>231</v>
      </c>
      <c r="C198" s="63">
        <v>7</v>
      </c>
      <c r="D198" s="63">
        <v>28</v>
      </c>
      <c r="E198" s="54"/>
      <c r="F198" s="54"/>
      <c r="G198" s="54"/>
      <c r="H198" s="54"/>
      <c r="I198" s="52">
        <f t="shared" si="7"/>
        <v>11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254</v>
      </c>
      <c r="C199" s="53">
        <v>8</v>
      </c>
      <c r="D199" s="53">
        <v>28</v>
      </c>
      <c r="E199" s="54"/>
      <c r="F199" s="54"/>
      <c r="G199" s="54"/>
      <c r="H199" s="54"/>
      <c r="I199" s="52">
        <f t="shared" si="7"/>
        <v>10.199999999999999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273</v>
      </c>
      <c r="C200" s="53">
        <v>9</v>
      </c>
      <c r="D200" s="53">
        <v>28</v>
      </c>
      <c r="E200" s="54"/>
      <c r="F200" s="54"/>
      <c r="G200" s="54"/>
      <c r="H200" s="54"/>
      <c r="I200" s="52">
        <f t="shared" si="7"/>
        <v>9.4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289</v>
      </c>
      <c r="C201" s="53">
        <v>10</v>
      </c>
      <c r="D201" s="53">
        <v>28</v>
      </c>
      <c r="E201" s="54"/>
      <c r="F201" s="54"/>
      <c r="G201" s="54"/>
      <c r="H201" s="54"/>
      <c r="I201" s="52">
        <f t="shared" si="7"/>
        <v>8.8000000000000007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302</v>
      </c>
      <c r="C202" s="53">
        <v>11</v>
      </c>
      <c r="D202" s="53">
        <v>28</v>
      </c>
      <c r="E202" s="54"/>
      <c r="F202" s="54"/>
      <c r="G202" s="54"/>
      <c r="H202" s="54"/>
      <c r="I202" s="52">
        <f t="shared" si="7"/>
        <v>8.1999999999999993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312</v>
      </c>
      <c r="C203" s="53">
        <v>12</v>
      </c>
      <c r="D203" s="53">
        <v>28</v>
      </c>
      <c r="E203" s="54"/>
      <c r="F203" s="54"/>
      <c r="G203" s="54"/>
      <c r="H203" s="54"/>
      <c r="I203" s="52">
        <f t="shared" si="7"/>
        <v>7.6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320</v>
      </c>
      <c r="C204" s="53">
        <v>13</v>
      </c>
      <c r="D204" s="53">
        <v>28</v>
      </c>
      <c r="E204" s="54"/>
      <c r="F204" s="54"/>
      <c r="G204" s="54"/>
      <c r="H204" s="54"/>
      <c r="I204" s="52">
        <f t="shared" si="7"/>
        <v>7.2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85</v>
      </c>
      <c r="B205" s="53">
        <v>326</v>
      </c>
      <c r="C205" s="53">
        <v>14</v>
      </c>
      <c r="D205" s="53">
        <v>28</v>
      </c>
      <c r="E205" s="54"/>
      <c r="F205" s="54"/>
      <c r="G205" s="54"/>
      <c r="H205" s="54"/>
      <c r="I205" s="52">
        <f t="shared" si="7"/>
        <v>6.8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90</v>
      </c>
      <c r="B206" s="53">
        <v>330</v>
      </c>
      <c r="C206" s="53">
        <v>15</v>
      </c>
      <c r="D206" s="53">
        <v>28</v>
      </c>
      <c r="E206" s="54"/>
      <c r="F206" s="54"/>
      <c r="G206" s="54"/>
      <c r="H206" s="54"/>
      <c r="I206" s="52">
        <f t="shared" si="7"/>
        <v>6.4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95</v>
      </c>
      <c r="B207" s="53">
        <v>332</v>
      </c>
      <c r="C207" s="53">
        <v>16</v>
      </c>
      <c r="D207" s="53">
        <v>28</v>
      </c>
      <c r="E207" s="54"/>
      <c r="F207" s="54"/>
      <c r="G207" s="54"/>
      <c r="H207" s="54"/>
      <c r="I207" s="52">
        <f t="shared" si="7"/>
        <v>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100</v>
      </c>
      <c r="B208" s="53">
        <v>333</v>
      </c>
      <c r="C208" s="53">
        <v>17</v>
      </c>
      <c r="D208" s="53">
        <v>27</v>
      </c>
      <c r="E208" s="54"/>
      <c r="F208" s="54"/>
      <c r="G208" s="54"/>
      <c r="H208" s="54"/>
      <c r="I208" s="52">
        <f t="shared" si="7"/>
        <v>5.8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105</v>
      </c>
      <c r="B209" s="53">
        <v>333</v>
      </c>
      <c r="C209" s="53">
        <v>18</v>
      </c>
      <c r="D209" s="53">
        <v>26</v>
      </c>
      <c r="E209" s="54"/>
      <c r="F209" s="54"/>
      <c r="G209" s="54"/>
      <c r="H209" s="54"/>
      <c r="I209" s="52">
        <f t="shared" si="7"/>
        <v>5.4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v>332</v>
      </c>
      <c r="C210" s="53">
        <v>19</v>
      </c>
      <c r="D210" s="53">
        <v>25</v>
      </c>
      <c r="E210" s="54"/>
      <c r="F210" s="54"/>
      <c r="G210" s="54"/>
      <c r="H210" s="54"/>
      <c r="I210" s="52">
        <f t="shared" si="7"/>
        <v>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115</v>
      </c>
      <c r="B211" s="53">
        <v>330</v>
      </c>
      <c r="C211" s="53">
        <v>20</v>
      </c>
      <c r="D211" s="53">
        <v>330</v>
      </c>
      <c r="E211" s="54"/>
      <c r="F211" s="54"/>
      <c r="G211" s="54"/>
      <c r="H211" s="54"/>
      <c r="I211" s="52">
        <f t="shared" si="7"/>
        <v>4.5999999999999996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F25" sqref="F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sessile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Chêne pubescent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Douglas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>Mélèze hybride</v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>Cèdre de l'Atlas</v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>Alisier torminal</v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>Cormier</v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472.83070477639035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520.80494930257237</v>
      </c>
      <c r="AO3" s="62">
        <f>IF('Données projet'!E10&gt;30,$AM$33-$H$33,LOOKUP('Données projet'!$E$10,$A$3:$A$203,AM3:AM203)-LOOKUP('Données projet'!$E$10,$A$3:$A$203,$H$3:$H$203))</f>
        <v>325.72635759450861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321.60602866722138</v>
      </c>
      <c r="BJ3" s="62">
        <f>IF('Données projet'!E11&gt;30,$BH$33-$H$33,LOOKUP('Données projet'!$E$11,$A$3:$A$203,BH3:BH203)-LOOKUP('Données projet'!$E$11,$A$3:$A$203,$H$3:$H$203))</f>
        <v>375.18886653687389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182.44246264133781</v>
      </c>
      <c r="CE3" s="62">
        <f>IF('Données projet'!E12&gt;30,$CC$33-$H$33,LOOKUP('Données projet'!$E$12,$A$3:$A$203,CC3:CC203)-LOOKUP('Données projet'!$E$12,$A$3:$A$203,$H$3:$H$203))</f>
        <v>262.5818213397049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426.87921482911719</v>
      </c>
      <c r="CZ3" s="62">
        <f>IF('Données projet'!E13&gt;30,$CX$33-$H$33,LOOKUP('Données projet'!$E$13,$A$3:$A$203,CX3:CX203)-LOOKUP('Données projet'!$E$13,$A$3:$A$203,$H$3:$H$203))</f>
        <v>313.49594674441835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500.25828825677058</v>
      </c>
      <c r="DU3" s="62">
        <f>IF('Données projet'!E14&gt;30,$DS$33-$H$33,LOOKUP('Données projet'!$E$14,$A$3:$A$203,DS3:DS203)-LOOKUP('Données projet'!$E$14,$A$3:$A$203,$H$3:$H$203))</f>
        <v>313.56299786481338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548.17046467409421</v>
      </c>
      <c r="EP3" s="62">
        <f>IF('Données projet'!E15&gt;30,$EN$33-$H$33,LOOKUP('Données projet'!$E$15,$A$3:$A$203,EN3:EN203)-LOOKUP('Données projet'!$E$15,$A$3:$A$203,$H$3:$H$203))</f>
        <v>341.9250949809848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472.83070477639035</v>
      </c>
      <c r="T4" s="62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2">
        <f t="shared" ref="AM4:AM67" si="5">AL4+(AD4+AE4)*44/12</f>
        <v>170.98318878757803</v>
      </c>
      <c r="AN4" s="62">
        <f ca="1">AVERAGE(OFFSET($AM$3,0,0,'Données projet'!$E$10+1,1))-AVERAGE(OFFSET($H$3,0,0,'Données projet'!$E$10+1,1))</f>
        <v>520.80494930257237</v>
      </c>
      <c r="AO4" s="62">
        <f>$AO$3</f>
        <v>325.72635759450861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8.1284210526315785</v>
      </c>
      <c r="BD4" s="13">
        <f>IF('Données projet'!$A$88&gt;35,BD3+BC4-BL3,IF(A4&lt;'Données projet'!$A$88,$BA$205^A4,IF(A4='Données projet'!$A$88,'Données projet'!$B$88,BD3+BC4-BL3)))</f>
        <v>1.3037606943669584</v>
      </c>
      <c r="BE4" s="14">
        <f>BD4*VLOOKUP('Données projet'!$B$11,Paramètres!$A$1:$I$89,3,0)*VLOOKUP('Données projet'!$B$11,Paramètres!$A$1:$I$89,5,0)</f>
        <v>0.72880222815112972</v>
      </c>
      <c r="BF4" s="14">
        <f>EXP(-1.0587+0.8836*LN(BE4)+0.284)</f>
        <v>0.34846084744582984</v>
      </c>
      <c r="BG4" s="22">
        <f t="shared" ref="BG4:BG67" si="7">(BE4+BF4)*0.475*44/12</f>
        <v>1.876233189998038</v>
      </c>
      <c r="BH4" s="62">
        <f t="shared" ref="BH4:BH67" si="8">BG4+(AY4+AZ4)*44/12</f>
        <v>169.68866714292187</v>
      </c>
      <c r="BI4" s="62">
        <f ca="1">AVERAGE(OFFSET($BH$3,0,0,'Données projet'!$E$11+1,1))-AVERAGE(OFFSET($H$3,0,0,'Données projet'!$E$11+1,1))</f>
        <v>321.60602866722138</v>
      </c>
      <c r="BJ4" s="62">
        <f>$BJ$3</f>
        <v>375.18886653687389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</v>
      </c>
      <c r="BY4" s="13">
        <f>IF('Données projet'!$A$114&gt;35,BY3+BX4-CG3,IF(A4&lt;'Données projet'!$A$114,$BV$205^A4,IF(A4='Données projet'!$A$114,'Données projet'!$B$114,BY3+BX4-CG3)))</f>
        <v>1.4228132198218728</v>
      </c>
      <c r="BZ4" s="14">
        <f>BY4*VLOOKUP('Données projet'!$B$12,Paramètres!$A$1:$I$89,3,0)*VLOOKUP('Données projet'!$B$12,Paramètres!$A$1:$I$89,5,0)</f>
        <v>0.77685601802274251</v>
      </c>
      <c r="CA4" s="14">
        <f>EXP(-1.0587+0.8836*LN(BZ4)+0.284)</f>
        <v>0.36868626697594109</v>
      </c>
      <c r="CB4" s="22">
        <f t="shared" ref="CB4:CB67" si="10">(BZ4+CA4)*0.475*44/12</f>
        <v>1.9951528130393739</v>
      </c>
      <c r="CC4" s="62">
        <f t="shared" ref="CC4:CC67" si="11">CB4+(BT4+BU4)*44/12</f>
        <v>169.80758676596321</v>
      </c>
      <c r="CD4" s="62">
        <f ca="1">AVERAGE(OFFSET($CC$3,0,0,'Données projet'!$E$12+1,1))-AVERAGE(OFFSET($H$3,0,0,'Données projet'!$E$12+1,1))</f>
        <v>182.44246264133781</v>
      </c>
      <c r="CE4" s="62">
        <f>$CE$3</f>
        <v>262.5818213397049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7.9</v>
      </c>
      <c r="CT4" s="13">
        <f>IF('Données projet'!$A$140&gt;35,CT3+CS4-DB3,IF(A4&lt;'Données projet'!$A$140,$CQ$205^A4,IF(A4='Données projet'!$A$140,'Données projet'!$B$140,CT3+CS4-DB3)))</f>
        <v>1.2880503926580862</v>
      </c>
      <c r="CU4" s="18">
        <f>CT4*VLOOKUP('Données projet'!$B$13,Paramètres!$A$1:$I$89,3,0)*VLOOKUP('Données projet'!$B$13,Paramètres!$A$1:$I$89,5,0)</f>
        <v>0.60280758376398436</v>
      </c>
      <c r="CV4" s="14">
        <f>EXP(-1.0587+0.8836*LN(CU4)+0.284)</f>
        <v>0.29465781953181042</v>
      </c>
      <c r="CW4" s="22">
        <f t="shared" ref="CW4:CW67" si="13">(CU4+CV4)*0.475*44/12</f>
        <v>1.5630855774068424</v>
      </c>
      <c r="CX4" s="62">
        <f t="shared" ref="CX4:CX67" si="14">CW4+(CO4+CP4)*44/12</f>
        <v>169.37551953033068</v>
      </c>
      <c r="CY4" s="62">
        <f ca="1">AVERAGE(OFFSET($CX$3,0,0,'Données projet'!$E$13+1,1))-AVERAGE(OFFSET($H$3,0,0,'Données projet'!$E$13+1,1))</f>
        <v>426.87921482911719</v>
      </c>
      <c r="CZ4" s="62">
        <f>$CZ$3</f>
        <v>313.49594674441835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1.1986225139154763</v>
      </c>
      <c r="DQ4" s="14">
        <f>EXP(-1.0587+0.8836*LN(DP4)+0.284)</f>
        <v>0.54084878793982472</v>
      </c>
      <c r="DR4" s="22">
        <f t="shared" ref="DR4:DR67" si="16">(DP4+DQ4)*0.475*44/12</f>
        <v>3.0295791840646493</v>
      </c>
      <c r="DS4" s="62">
        <f t="shared" ref="DS4:DS67" si="17">DR4+(DJ4+DK4)*44/12</f>
        <v>170.8420131369885</v>
      </c>
      <c r="DT4" s="62">
        <f ca="1">AVERAGE(OFFSET($DS$3,0,0,'Données projet'!$E$14+1,1))-AVERAGE(OFFSET($H$3,0,0,'Données projet'!$E$14+1,1))</f>
        <v>500.25828825677058</v>
      </c>
      <c r="DU4" s="62">
        <f>$DU$3</f>
        <v>313.56299786481338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3.65</v>
      </c>
      <c r="EJ4" s="13">
        <f>IF('Données projet'!$A$192&gt;35,EJ3+EI4-ER3,IF(A4&lt;'Données projet'!$A$192,$EG$205^A4,IF(A4='Données projet'!$A$192,'Données projet'!$B$192,EJ3+EI4-ER3)))</f>
        <v>1.2392705892426346</v>
      </c>
      <c r="EK4" s="18">
        <f>EJ4*VLOOKUP('Données projet'!$B$15,Paramètres!$A$1:$I$89,3,0)*VLOOKUP('Données projet'!$B$15,Paramètres!$A$1:$I$89,5,0)</f>
        <v>1.3339508622607719</v>
      </c>
      <c r="EL4" s="14">
        <f>EXP(-1.0587+0.8836*LN(EK4)+0.284)</f>
        <v>0.59446408362489378</v>
      </c>
      <c r="EM4" s="22">
        <f t="shared" ref="EM4:EM67" si="19">(EK4+EL4)*0.475*44/12</f>
        <v>3.3586560307508679</v>
      </c>
      <c r="EN4" s="62">
        <f t="shared" ref="EN4:EN67" si="20">EM4+(EE4+EF4)*44/12</f>
        <v>171.1710899836747</v>
      </c>
      <c r="EO4" s="62">
        <f ca="1">AVERAGE(OFFSET($EN$3,0,0,'Données projet'!$E$15+1,1))-AVERAGE(OFFSET($H$3,0,0,'Données projet'!$E$15+1,1))</f>
        <v>548.17046467409421</v>
      </c>
      <c r="EP4" s="62">
        <f>$EP$3</f>
        <v>341.9250949809848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472.83070477639035</v>
      </c>
      <c r="T5" s="62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2">
        <f t="shared" si="5"/>
        <v>174.49668829443442</v>
      </c>
      <c r="AN5" s="62">
        <f ca="1">AVERAGE(OFFSET($AM$3,0,0,'Données projet'!$E$10+1,1))-AVERAGE(OFFSET($H$3,0,0,'Données projet'!$E$10+1,1))</f>
        <v>520.80494930257237</v>
      </c>
      <c r="AO5" s="62">
        <f t="shared" ref="AO5:AO68" si="36">$AO$3</f>
        <v>325.72635759450861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8.1284210526315785</v>
      </c>
      <c r="BD5" s="13">
        <f>IF('Données projet'!$A$88&gt;35,BD4+BC5-BL4,IF(A5&lt;'Données projet'!$A$88,$BA$205^A5,IF(A5='Données projet'!$A$88,'Données projet'!$B$88,BD4+BC5-BL4)))</f>
        <v>1.6997919481762136</v>
      </c>
      <c r="BE5" s="14">
        <f>BD5*VLOOKUP('Données projet'!$B$11,Paramètres!$A$1:$I$89,3,0)*VLOOKUP('Données projet'!$B$11,Paramètres!$A$1:$I$89,5,0)</f>
        <v>0.95018369903050348</v>
      </c>
      <c r="BF5" s="14">
        <f t="shared" ref="BF5:BF68" si="37">EXP(-1.0587+0.8836*LN(BE5)+0.284)</f>
        <v>0.44049688197714731</v>
      </c>
      <c r="BG5" s="22">
        <f t="shared" si="7"/>
        <v>2.4221020119216585</v>
      </c>
      <c r="BH5" s="62">
        <f t="shared" si="8"/>
        <v>173.01938329942249</v>
      </c>
      <c r="BI5" s="62">
        <f ca="1">AVERAGE(OFFSET($BH$3,0,0,'Données projet'!$E$11+1,1))-AVERAGE(OFFSET($H$3,0,0,'Données projet'!$E$11+1,1))</f>
        <v>321.60602866722138</v>
      </c>
      <c r="BJ5" s="62">
        <f t="shared" ref="BJ5:BJ68" si="38">$BJ$3</f>
        <v>375.18886653687389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</v>
      </c>
      <c r="BY5" s="13">
        <f>IF('Données projet'!$A$114&gt;35,BY4+BX5-CG4,IF(A5&lt;'Données projet'!$A$114,$BV$205^A5,IF(A5='Données projet'!$A$114,'Données projet'!$B$114,BY4+BX5-CG4)))</f>
        <v>2.0243974584998852</v>
      </c>
      <c r="BZ5" s="14">
        <f>BY5*VLOOKUP('Données projet'!$B$12,Paramètres!$A$1:$I$89,3,0)*VLOOKUP('Données projet'!$B$12,Paramètres!$A$1:$I$89,5,0)</f>
        <v>1.1053210123409374</v>
      </c>
      <c r="CA5" s="14">
        <f t="shared" ref="CA5:CA68" si="39">EXP(-1.0587+0.8836*LN(BZ5)+0.284)</f>
        <v>0.50347561165148746</v>
      </c>
      <c r="CB5" s="22">
        <f t="shared" si="10"/>
        <v>2.801987453453473</v>
      </c>
      <c r="CC5" s="62">
        <f t="shared" si="11"/>
        <v>173.39926874095431</v>
      </c>
      <c r="CD5" s="62">
        <f ca="1">AVERAGE(OFFSET($CC$3,0,0,'Données projet'!$E$12+1,1))-AVERAGE(OFFSET($H$3,0,0,'Données projet'!$E$12+1,1))</f>
        <v>182.44246264133781</v>
      </c>
      <c r="CE5" s="62">
        <f t="shared" ref="CE5:CE68" si="40">$CE$3</f>
        <v>262.5818213397049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7.9</v>
      </c>
      <c r="CT5" s="13">
        <f>IF('Données projet'!$A$140&gt;35,CT4+CS5-DB4,IF(A5&lt;'Données projet'!$A$140,$CQ$205^A5,IF(A5='Données projet'!$A$140,'Données projet'!$B$140,CT4+CS5-DB4)))</f>
        <v>1.6590738140266501</v>
      </c>
      <c r="CU5" s="18">
        <f>CT5*VLOOKUP('Données projet'!$B$13,Paramètres!$A$1:$I$89,3,0)*VLOOKUP('Données projet'!$B$13,Paramètres!$A$1:$I$89,5,0)</f>
        <v>0.77644654496447219</v>
      </c>
      <c r="CV5" s="14">
        <f t="shared" ref="CV5:CV68" si="41">EXP(-1.0587+0.8836*LN(CU5)+0.284)</f>
        <v>0.36851455096495994</v>
      </c>
      <c r="CW5" s="22">
        <f t="shared" si="13"/>
        <v>1.9941405754104276</v>
      </c>
      <c r="CX5" s="62">
        <f t="shared" si="14"/>
        <v>172.59142186291126</v>
      </c>
      <c r="CY5" s="62">
        <f ca="1">AVERAGE(OFFSET($CX$3,0,0,'Données projet'!$E$13+1,1))-AVERAGE(OFFSET($H$3,0,0,'Données projet'!$E$13+1,1))</f>
        <v>426.87921482911719</v>
      </c>
      <c r="CZ5" s="62">
        <f t="shared" ref="CZ5:CZ68" si="42">$CZ$3</f>
        <v>313.49594674441835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1.4854176290995202</v>
      </c>
      <c r="DQ5" s="14">
        <f t="shared" ref="DQ5:DQ68" si="43">EXP(-1.0587+0.8836*LN(DP5)+0.284)</f>
        <v>0.65372856897250708</v>
      </c>
      <c r="DR5" s="22">
        <f t="shared" si="16"/>
        <v>3.725679628308781</v>
      </c>
      <c r="DS5" s="62">
        <f t="shared" si="17"/>
        <v>174.3229609158096</v>
      </c>
      <c r="DT5" s="62">
        <f ca="1">AVERAGE(OFFSET($DS$3,0,0,'Données projet'!$E$14+1,1))-AVERAGE(OFFSET($H$3,0,0,'Données projet'!$E$14+1,1))</f>
        <v>500.25828825677058</v>
      </c>
      <c r="DU5" s="62">
        <f t="shared" ref="DU5:DU68" si="44">$DU$3</f>
        <v>313.56299786481338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3.65</v>
      </c>
      <c r="EJ5" s="13">
        <f>IF('Données projet'!$A$192&gt;35,EJ4+EI5-ER4,IF(A5&lt;'Données projet'!$A$192,$EG$205^A5,IF(A5='Données projet'!$A$192,'Données projet'!$B$192,EJ4+EI5-ER4)))</f>
        <v>1.5357915933617867</v>
      </c>
      <c r="EK5" s="18">
        <f>EJ5*VLOOKUP('Données projet'!$B$15,Paramètres!$A$1:$I$89,3,0)*VLOOKUP('Données projet'!$B$15,Paramètres!$A$1:$I$89,5,0)</f>
        <v>1.6531260710946272</v>
      </c>
      <c r="EL5" s="14">
        <f t="shared" ref="EL5:EL68" si="45">EXP(-1.0587+0.8836*LN(EK5)+0.284)</f>
        <v>0.7185338367382873</v>
      </c>
      <c r="EM5" s="22">
        <f t="shared" si="19"/>
        <v>4.1306410061423255</v>
      </c>
      <c r="EN5" s="62">
        <f t="shared" si="20"/>
        <v>174.72792229364316</v>
      </c>
      <c r="EO5" s="62">
        <f ca="1">AVERAGE(OFFSET($EN$3,0,0,'Données projet'!$E$15+1,1))-AVERAGE(OFFSET($H$3,0,0,'Données projet'!$E$15+1,1))</f>
        <v>548.17046467409421</v>
      </c>
      <c r="EP5" s="62">
        <f t="shared" ref="EP5:EP68" si="46">$EP$3</f>
        <v>341.9250949809848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472.83070477639035</v>
      </c>
      <c r="T6" s="62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2">
        <f t="shared" si="5"/>
        <v>178.15116014419888</v>
      </c>
      <c r="AN6" s="62">
        <f ca="1">AVERAGE(OFFSET($AM$3,0,0,'Données projet'!$E$10+1,1))-AVERAGE(OFFSET($H$3,0,0,'Données projet'!$E$10+1,1))</f>
        <v>520.80494930257237</v>
      </c>
      <c r="AO6" s="62">
        <f t="shared" si="36"/>
        <v>325.72635759450861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8.1284210526315785</v>
      </c>
      <c r="BD6" s="13">
        <f>IF('Données projet'!$A$88&gt;35,BD5+BC6-BL5,IF(A6&lt;'Données projet'!$A$88,$BA$205^A6,IF(A6='Données projet'!$A$88,'Données projet'!$B$88,BD5+BC6-BL5)))</f>
        <v>2.2161219306335851</v>
      </c>
      <c r="BE6" s="14">
        <f>BD6*VLOOKUP('Données projet'!$B$11,Paramètres!$A$1:$I$89,3,0)*VLOOKUP('Données projet'!$B$11,Paramètres!$A$1:$I$89,5,0)</f>
        <v>1.2388121592241741</v>
      </c>
      <c r="BF6" s="14">
        <f t="shared" si="37"/>
        <v>0.5568416206694583</v>
      </c>
      <c r="BG6" s="22">
        <f t="shared" si="7"/>
        <v>3.1274303333147428</v>
      </c>
      <c r="BH6" s="62">
        <f t="shared" si="8"/>
        <v>176.48245090319963</v>
      </c>
      <c r="BI6" s="62">
        <f ca="1">AVERAGE(OFFSET($BH$3,0,0,'Données projet'!$E$11+1,1))-AVERAGE(OFFSET($H$3,0,0,'Données projet'!$E$11+1,1))</f>
        <v>321.60602866722138</v>
      </c>
      <c r="BJ6" s="62">
        <f t="shared" si="38"/>
        <v>375.18886653687389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</v>
      </c>
      <c r="BY6" s="13">
        <f>IF('Données projet'!$A$114&gt;35,BY5+BX6-CG5,IF(A6&lt;'Données projet'!$A$114,$BV$205^A6,IF(A6='Données projet'!$A$114,'Données projet'!$B$114,BY5+BX6-CG5)))</f>
        <v>2.8803394661274377</v>
      </c>
      <c r="BZ6" s="14">
        <f>BY6*VLOOKUP('Données projet'!$B$12,Paramètres!$A$1:$I$89,3,0)*VLOOKUP('Données projet'!$B$12,Paramètres!$A$1:$I$89,5,0)</f>
        <v>1.572665348505581</v>
      </c>
      <c r="CA6" s="14">
        <f t="shared" si="39"/>
        <v>0.68754307993896846</v>
      </c>
      <c r="CB6" s="22">
        <f t="shared" si="10"/>
        <v>3.9365296795409237</v>
      </c>
      <c r="CC6" s="62">
        <f t="shared" si="11"/>
        <v>177.2915502494258</v>
      </c>
      <c r="CD6" s="62">
        <f ca="1">AVERAGE(OFFSET($CC$3,0,0,'Données projet'!$E$12+1,1))-AVERAGE(OFFSET($H$3,0,0,'Données projet'!$E$12+1,1))</f>
        <v>182.44246264133781</v>
      </c>
      <c r="CE6" s="62">
        <f t="shared" si="40"/>
        <v>262.5818213397049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7.9</v>
      </c>
      <c r="CT6" s="13">
        <f>IF('Données projet'!$A$140&gt;35,CT5+CS6-DB5,IF(A6&lt;'Données projet'!$A$140,$CQ$205^A6,IF(A6='Données projet'!$A$140,'Données projet'!$B$140,CT5+CS6-DB5)))</f>
        <v>2.1369706776057753</v>
      </c>
      <c r="CU6" s="18">
        <f>CT6*VLOOKUP('Données projet'!$B$13,Paramètres!$A$1:$I$89,3,0)*VLOOKUP('Données projet'!$B$13,Paramètres!$A$1:$I$89,5,0)</f>
        <v>1.0001022771195029</v>
      </c>
      <c r="CV6" s="14">
        <f t="shared" si="41"/>
        <v>0.46088365986243646</v>
      </c>
      <c r="CW6" s="22">
        <f t="shared" si="13"/>
        <v>2.5445505069102112</v>
      </c>
      <c r="CX6" s="62">
        <f t="shared" si="14"/>
        <v>175.8995710767951</v>
      </c>
      <c r="CY6" s="62">
        <f ca="1">AVERAGE(OFFSET($CX$3,0,0,'Données projet'!$E$13+1,1))-AVERAGE(OFFSET($H$3,0,0,'Données projet'!$E$13+1,1))</f>
        <v>426.87921482911719</v>
      </c>
      <c r="CZ6" s="62">
        <f t="shared" si="42"/>
        <v>313.49594674441835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1.8408343804855598</v>
      </c>
      <c r="DQ6" s="14">
        <f t="shared" si="43"/>
        <v>0.79016732850363813</v>
      </c>
      <c r="DR6" s="22">
        <f t="shared" si="16"/>
        <v>4.5823279764895188</v>
      </c>
      <c r="DS6" s="62">
        <f t="shared" si="17"/>
        <v>177.93734854637441</v>
      </c>
      <c r="DT6" s="62">
        <f ca="1">AVERAGE(OFFSET($DS$3,0,0,'Données projet'!$E$14+1,1))-AVERAGE(OFFSET($H$3,0,0,'Données projet'!$E$14+1,1))</f>
        <v>500.25828825677058</v>
      </c>
      <c r="DU6" s="62">
        <f t="shared" si="44"/>
        <v>313.56299786481338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3.65</v>
      </c>
      <c r="EJ6" s="13">
        <f>IF('Données projet'!$A$192&gt;35,EJ5+EI6-ER5,IF(A6&lt;'Données projet'!$A$192,$EG$205^A6,IF(A6='Données projet'!$A$192,'Données projet'!$B$192,EJ5+EI6-ER5)))</f>
        <v>1.9032613528593461</v>
      </c>
      <c r="EK6" s="18">
        <f>EJ6*VLOOKUP('Données projet'!$B$15,Paramètres!$A$1:$I$89,3,0)*VLOOKUP('Données projet'!$B$15,Paramètres!$A$1:$I$89,5,0)</f>
        <v>2.0486705202177999</v>
      </c>
      <c r="EL6" s="14">
        <f t="shared" si="45"/>
        <v>0.86849801150244532</v>
      </c>
      <c r="EM6" s="22">
        <f t="shared" si="19"/>
        <v>5.0807351927460944</v>
      </c>
      <c r="EN6" s="62">
        <f t="shared" si="20"/>
        <v>178.43575576263098</v>
      </c>
      <c r="EO6" s="62">
        <f ca="1">AVERAGE(OFFSET($EN$3,0,0,'Données projet'!$E$15+1,1))-AVERAGE(OFFSET($H$3,0,0,'Données projet'!$E$15+1,1))</f>
        <v>548.17046467409421</v>
      </c>
      <c r="EP6" s="62">
        <f t="shared" si="46"/>
        <v>341.9250949809848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472.83070477639035</v>
      </c>
      <c r="T7" s="62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2">
        <f t="shared" si="5"/>
        <v>181.98598381214859</v>
      </c>
      <c r="AN7" s="62">
        <f ca="1">AVERAGE(OFFSET($AM$3,0,0,'Données projet'!$E$10+1,1))-AVERAGE(OFFSET($H$3,0,0,'Données projet'!$E$10+1,1))</f>
        <v>520.80494930257237</v>
      </c>
      <c r="AO7" s="62">
        <f t="shared" si="36"/>
        <v>325.72635759450861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8.1284210526315785</v>
      </c>
      <c r="BD7" s="13">
        <f>IF('Données projet'!$A$88&gt;35,BD6+BC7-BL6,IF(A7&lt;'Données projet'!$A$88,$BA$205^A7,IF(A7='Données projet'!$A$88,'Données projet'!$B$88,BD6+BC7-BL6)))</f>
        <v>2.8892926670846877</v>
      </c>
      <c r="BE7" s="14">
        <f>BD7*VLOOKUP('Données projet'!$B$11,Paramètres!$A$1:$I$89,3,0)*VLOOKUP('Données projet'!$B$11,Paramètres!$A$1:$I$89,5,0)</f>
        <v>1.6151146009003403</v>
      </c>
      <c r="BF7" s="14">
        <f t="shared" si="37"/>
        <v>0.70391551721783874</v>
      </c>
      <c r="BG7" s="22">
        <f t="shared" si="7"/>
        <v>4.0389774557224944</v>
      </c>
      <c r="BH7" s="62">
        <f t="shared" si="8"/>
        <v>180.12509951989944</v>
      </c>
      <c r="BI7" s="62">
        <f ca="1">AVERAGE(OFFSET($BH$3,0,0,'Données projet'!$E$11+1,1))-AVERAGE(OFFSET($H$3,0,0,'Données projet'!$E$11+1,1))</f>
        <v>321.60602866722138</v>
      </c>
      <c r="BJ7" s="62">
        <f t="shared" si="38"/>
        <v>375.18886653687389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</v>
      </c>
      <c r="BY7" s="13">
        <f>IF('Données projet'!$A$114&gt;35,BY6+BX7-CG6,IF(A7&lt;'Données projet'!$A$114,$BV$205^A7,IF(A7='Données projet'!$A$114,'Données projet'!$B$114,BY6+BX7-CG6)))</f>
        <v>4.0981850699807945</v>
      </c>
      <c r="BZ7" s="14">
        <f>BY7*VLOOKUP('Données projet'!$B$12,Paramètres!$A$1:$I$89,3,0)*VLOOKUP('Données projet'!$B$12,Paramètres!$A$1:$I$89,5,0)</f>
        <v>2.2376090482095137</v>
      </c>
      <c r="CA7" s="14">
        <f t="shared" si="39"/>
        <v>0.93890443912739685</v>
      </c>
      <c r="CB7" s="22">
        <f t="shared" si="10"/>
        <v>5.5324276571117856</v>
      </c>
      <c r="CC7" s="62">
        <f t="shared" si="11"/>
        <v>181.61854972128873</v>
      </c>
      <c r="CD7" s="62">
        <f ca="1">AVERAGE(OFFSET($CC$3,0,0,'Données projet'!$E$12+1,1))-AVERAGE(OFFSET($H$3,0,0,'Données projet'!$E$12+1,1))</f>
        <v>182.44246264133781</v>
      </c>
      <c r="CE7" s="62">
        <f t="shared" si="40"/>
        <v>262.5818213397049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7.9</v>
      </c>
      <c r="CT7" s="13">
        <f>IF('Données projet'!$A$140&gt;35,CT6+CS7-DB6,IF(A7&lt;'Données projet'!$A$140,$CQ$205^A7,IF(A7='Données projet'!$A$140,'Données projet'!$B$140,CT6+CS7-DB6)))</f>
        <v>2.7525259203889356</v>
      </c>
      <c r="CU7" s="18">
        <f>CT7*VLOOKUP('Données projet'!$B$13,Paramètres!$A$1:$I$89,3,0)*VLOOKUP('Données projet'!$B$13,Paramètres!$A$1:$I$89,5,0)</f>
        <v>1.2881821307420218</v>
      </c>
      <c r="CV7" s="14">
        <f t="shared" si="41"/>
        <v>0.57640532069082717</v>
      </c>
      <c r="CW7" s="22">
        <f t="shared" si="13"/>
        <v>3.2474898112455457</v>
      </c>
      <c r="CX7" s="62">
        <f t="shared" si="14"/>
        <v>179.33361187542249</v>
      </c>
      <c r="CY7" s="62">
        <f ca="1">AVERAGE(OFFSET($CX$3,0,0,'Données projet'!$E$13+1,1))-AVERAGE(OFFSET($H$3,0,0,'Données projet'!$E$13+1,1))</f>
        <v>426.87921482911719</v>
      </c>
      <c r="CZ7" s="62">
        <f t="shared" si="42"/>
        <v>313.49594674441835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2.2812919074024398</v>
      </c>
      <c r="DQ7" s="14">
        <f t="shared" si="43"/>
        <v>0.95508202741684722</v>
      </c>
      <c r="DR7" s="22">
        <f t="shared" si="16"/>
        <v>5.6366846031435918</v>
      </c>
      <c r="DS7" s="62">
        <f t="shared" si="17"/>
        <v>181.72280666732053</v>
      </c>
      <c r="DT7" s="62">
        <f ca="1">AVERAGE(OFFSET($DS$3,0,0,'Données projet'!$E$14+1,1))-AVERAGE(OFFSET($H$3,0,0,'Données projet'!$E$14+1,1))</f>
        <v>500.25828825677058</v>
      </c>
      <c r="DU7" s="62">
        <f t="shared" si="44"/>
        <v>313.56299786481338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3.65</v>
      </c>
      <c r="EJ7" s="13">
        <f>IF('Données projet'!$A$192&gt;35,EJ6+EI7-ER6,IF(A7&lt;'Données projet'!$A$192,$EG$205^A7,IF(A7='Données projet'!$A$192,'Données projet'!$B$192,EJ6+EI7-ER6)))</f>
        <v>2.3586558182407358</v>
      </c>
      <c r="EK7" s="18">
        <f>EJ7*VLOOKUP('Données projet'!$B$15,Paramètres!$A$1:$I$89,3,0)*VLOOKUP('Données projet'!$B$15,Paramètres!$A$1:$I$89,5,0)</f>
        <v>2.5388571227543277</v>
      </c>
      <c r="EL7" s="14">
        <f t="shared" si="45"/>
        <v>1.0497609958185417</v>
      </c>
      <c r="EM7" s="22">
        <f t="shared" si="19"/>
        <v>6.2501765565144138</v>
      </c>
      <c r="EN7" s="62">
        <f t="shared" si="20"/>
        <v>182.33629862069137</v>
      </c>
      <c r="EO7" s="62">
        <f ca="1">AVERAGE(OFFSET($EN$3,0,0,'Données projet'!$E$15+1,1))-AVERAGE(OFFSET($H$3,0,0,'Données projet'!$E$15+1,1))</f>
        <v>548.17046467409421</v>
      </c>
      <c r="EP7" s="62">
        <f t="shared" si="46"/>
        <v>341.9250949809848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472.83070477639035</v>
      </c>
      <c r="T8" s="62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2">
        <f t="shared" si="5"/>
        <v>186.04956756228989</v>
      </c>
      <c r="AN8" s="62">
        <f ca="1">AVERAGE(OFFSET($AM$3,0,0,'Données projet'!$E$10+1,1))-AVERAGE(OFFSET($H$3,0,0,'Données projet'!$E$10+1,1))</f>
        <v>520.80494930257237</v>
      </c>
      <c r="AO8" s="62">
        <f t="shared" si="36"/>
        <v>325.72635759450861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8.1284210526315785</v>
      </c>
      <c r="BD8" s="13">
        <f>IF('Données projet'!$A$88&gt;35,BD7+BC8-BL7,IF(A8&lt;'Données projet'!$A$88,$BA$205^A8,IF(A8='Données projet'!$A$88,'Données projet'!$B$88,BD7+BC8-BL7)))</f>
        <v>3.7669462138676937</v>
      </c>
      <c r="BE8" s="14">
        <f>BD8*VLOOKUP('Données projet'!$B$11,Paramètres!$A$1:$I$89,3,0)*VLOOKUP('Données projet'!$B$11,Paramètres!$A$1:$I$89,5,0)</f>
        <v>2.1057229335520411</v>
      </c>
      <c r="BF8" s="14">
        <f t="shared" si="37"/>
        <v>0.88983480578256757</v>
      </c>
      <c r="BG8" s="22">
        <f t="shared" si="7"/>
        <v>5.2172630626744434</v>
      </c>
      <c r="BH8" s="62">
        <f t="shared" si="8"/>
        <v>184.0083109391218</v>
      </c>
      <c r="BI8" s="62">
        <f ca="1">AVERAGE(OFFSET($BH$3,0,0,'Données projet'!$E$11+1,1))-AVERAGE(OFFSET($H$3,0,0,'Données projet'!$E$11+1,1))</f>
        <v>321.60602866722138</v>
      </c>
      <c r="BJ8" s="62">
        <f t="shared" si="38"/>
        <v>375.18886653687389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</v>
      </c>
      <c r="BY8" s="13">
        <f>IF('Données projet'!$A$114&gt;35,BY7+BX8-CG7,IF(A8&lt;'Données projet'!$A$114,$BV$205^A8,IF(A8='Données projet'!$A$114,'Données projet'!$B$114,BY7+BX8-CG7)))</f>
        <v>5.8309518948453016</v>
      </c>
      <c r="BZ8" s="14">
        <f>BY8*VLOOKUP('Données projet'!$B$12,Paramètres!$A$1:$I$89,3,0)*VLOOKUP('Données projet'!$B$12,Paramètres!$A$1:$I$89,5,0)</f>
        <v>3.1836997345855345</v>
      </c>
      <c r="CA8" s="14">
        <f t="shared" si="39"/>
        <v>1.282161905973054</v>
      </c>
      <c r="CB8" s="22">
        <f t="shared" si="10"/>
        <v>7.7780423573062087</v>
      </c>
      <c r="CC8" s="62">
        <f t="shared" si="11"/>
        <v>186.56909023375357</v>
      </c>
      <c r="CD8" s="62">
        <f ca="1">AVERAGE(OFFSET($CC$3,0,0,'Données projet'!$E$12+1,1))-AVERAGE(OFFSET($H$3,0,0,'Données projet'!$E$12+1,1))</f>
        <v>182.44246264133781</v>
      </c>
      <c r="CE8" s="62">
        <f t="shared" si="40"/>
        <v>262.5818213397049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7.9</v>
      </c>
      <c r="CT8" s="13">
        <f>IF('Données projet'!$A$140&gt;35,CT7+CS8-DB7,IF(A8&lt;'Données projet'!$A$140,$CQ$205^A8,IF(A8='Données projet'!$A$140,'Données projet'!$B$140,CT7+CS8-DB7)))</f>
        <v>3.5453920925585285</v>
      </c>
      <c r="CU8" s="18">
        <f>CT8*VLOOKUP('Données projet'!$B$13,Paramètres!$A$1:$I$89,3,0)*VLOOKUP('Données projet'!$B$13,Paramètres!$A$1:$I$89,5,0)</f>
        <v>1.6592434993173915</v>
      </c>
      <c r="CV8" s="14">
        <f t="shared" si="41"/>
        <v>0.72088277944126433</v>
      </c>
      <c r="CW8" s="22">
        <f t="shared" si="13"/>
        <v>4.1453866021713255</v>
      </c>
      <c r="CX8" s="62">
        <f t="shared" si="14"/>
        <v>182.93643447861868</v>
      </c>
      <c r="CY8" s="62">
        <f ca="1">AVERAGE(OFFSET($CX$3,0,0,'Données projet'!$E$13+1,1))-AVERAGE(OFFSET($H$3,0,0,'Données projet'!$E$13+1,1))</f>
        <v>426.87921482911719</v>
      </c>
      <c r="CZ8" s="62">
        <f t="shared" si="42"/>
        <v>313.49594674441835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2.8271379663210752</v>
      </c>
      <c r="DQ8" s="14">
        <f t="shared" si="43"/>
        <v>1.1544158385061292</v>
      </c>
      <c r="DR8" s="22">
        <f t="shared" si="16"/>
        <v>6.9345395434073795</v>
      </c>
      <c r="DS8" s="62">
        <f t="shared" si="17"/>
        <v>185.72558741985472</v>
      </c>
      <c r="DT8" s="62">
        <f ca="1">AVERAGE(OFFSET($DS$3,0,0,'Données projet'!$E$14+1,1))-AVERAGE(OFFSET($H$3,0,0,'Données projet'!$E$14+1,1))</f>
        <v>500.25828825677058</v>
      </c>
      <c r="DU8" s="62">
        <f t="shared" si="44"/>
        <v>313.56299786481338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3.65</v>
      </c>
      <c r="EJ8" s="13">
        <f>IF('Données projet'!$A$192&gt;35,EJ7+EI8-ER7,IF(A8&lt;'Données projet'!$A$192,$EG$205^A8,IF(A8='Données projet'!$A$192,'Données projet'!$B$192,EJ7+EI8-ER7)))</f>
        <v>2.9230127856917649</v>
      </c>
      <c r="EK8" s="18">
        <f>EJ8*VLOOKUP('Données projet'!$B$15,Paramètres!$A$1:$I$89,3,0)*VLOOKUP('Données projet'!$B$15,Paramètres!$A$1:$I$89,5,0)</f>
        <v>3.1463309625186153</v>
      </c>
      <c r="EL8" s="14">
        <f t="shared" si="45"/>
        <v>1.2688551196974542</v>
      </c>
      <c r="EM8" s="22">
        <f t="shared" si="19"/>
        <v>7.6897824265263219</v>
      </c>
      <c r="EN8" s="62">
        <f t="shared" si="20"/>
        <v>186.48083030297369</v>
      </c>
      <c r="EO8" s="62">
        <f ca="1">AVERAGE(OFFSET($EN$3,0,0,'Données projet'!$E$15+1,1))-AVERAGE(OFFSET($H$3,0,0,'Données projet'!$E$15+1,1))</f>
        <v>548.17046467409421</v>
      </c>
      <c r="EP8" s="62">
        <f t="shared" si="46"/>
        <v>341.9250949809848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472.83070477639035</v>
      </c>
      <c r="T9" s="62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2">
        <f t="shared" si="5"/>
        <v>190.40145391140874</v>
      </c>
      <c r="AN9" s="62">
        <f ca="1">AVERAGE(OFFSET($AM$3,0,0,'Données projet'!$E$10+1,1))-AVERAGE(OFFSET($H$3,0,0,'Données projet'!$E$10+1,1))</f>
        <v>520.80494930257237</v>
      </c>
      <c r="AO9" s="62">
        <f t="shared" si="36"/>
        <v>325.72635759450861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8.1284210526315785</v>
      </c>
      <c r="BD9" s="13">
        <f>IF('Données projet'!$A$88&gt;35,BD8+BC9-BL8,IF(A9&lt;'Données projet'!$A$88,$BA$205^A9,IF(A9='Données projet'!$A$88,'Données projet'!$B$88,BD8+BC9-BL8)))</f>
        <v>4.911196411435129</v>
      </c>
      <c r="BE9" s="14">
        <f>BD9*VLOOKUP('Données projet'!$B$11,Paramètres!$A$1:$I$89,3,0)*VLOOKUP('Données projet'!$B$11,Paramètres!$A$1:$I$89,5,0)</f>
        <v>2.7453587939922373</v>
      </c>
      <c r="BF9" s="14">
        <f t="shared" si="37"/>
        <v>1.1248593932289483</v>
      </c>
      <c r="BG9" s="22">
        <f t="shared" si="7"/>
        <v>6.7406300094102312</v>
      </c>
      <c r="BH9" s="62">
        <f t="shared" si="8"/>
        <v>188.21088210566921</v>
      </c>
      <c r="BI9" s="62">
        <f ca="1">AVERAGE(OFFSET($BH$3,0,0,'Données projet'!$E$11+1,1))-AVERAGE(OFFSET($H$3,0,0,'Données projet'!$E$11+1,1))</f>
        <v>321.60602866722138</v>
      </c>
      <c r="BJ9" s="62">
        <f t="shared" si="38"/>
        <v>375.18886653687389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</v>
      </c>
      <c r="BY9" s="13">
        <f>IF('Données projet'!$A$114&gt;35,BY8+BX9-CG8,IF(A9&lt;'Données projet'!$A$114,$BV$205^A9,IF(A9='Données projet'!$A$114,'Données projet'!$B$114,BY8+BX9-CG8)))</f>
        <v>8.2963554401312951</v>
      </c>
      <c r="BZ9" s="14">
        <f>BY9*VLOOKUP('Données projet'!$B$12,Paramètres!$A$1:$I$89,3,0)*VLOOKUP('Données projet'!$B$12,Paramètres!$A$1:$I$89,5,0)</f>
        <v>4.5298100703116866</v>
      </c>
      <c r="CA9" s="14">
        <f t="shared" si="39"/>
        <v>1.750912110561865</v>
      </c>
      <c r="CB9" s="22">
        <f t="shared" si="10"/>
        <v>10.938924465021435</v>
      </c>
      <c r="CC9" s="62">
        <f t="shared" si="11"/>
        <v>192.40917656128042</v>
      </c>
      <c r="CD9" s="62">
        <f ca="1">AVERAGE(OFFSET($CC$3,0,0,'Données projet'!$E$12+1,1))-AVERAGE(OFFSET($H$3,0,0,'Données projet'!$E$12+1,1))</f>
        <v>182.44246264133781</v>
      </c>
      <c r="CE9" s="62">
        <f t="shared" si="40"/>
        <v>262.5818213397049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7.9</v>
      </c>
      <c r="CT9" s="13">
        <f>IF('Données projet'!$A$140&gt;35,CT8+CS9-DB8,IF(A9&lt;'Données projet'!$A$140,$CQ$205^A9,IF(A9='Données projet'!$A$140,'Données projet'!$B$140,CT8+CS9-DB8)))</f>
        <v>4.566643676946887</v>
      </c>
      <c r="CU9" s="18">
        <f>CT9*VLOOKUP('Données projet'!$B$13,Paramètres!$A$1:$I$89,3,0)*VLOOKUP('Données projet'!$B$13,Paramètres!$A$1:$I$89,5,0)</f>
        <v>2.1371892408111433</v>
      </c>
      <c r="CV9" s="14">
        <f t="shared" si="41"/>
        <v>0.9015738804633705</v>
      </c>
      <c r="CW9" s="22">
        <f t="shared" si="13"/>
        <v>5.292512436219778</v>
      </c>
      <c r="CX9" s="62">
        <f t="shared" si="14"/>
        <v>186.76276453247874</v>
      </c>
      <c r="CY9" s="62">
        <f ca="1">AVERAGE(OFFSET($CX$3,0,0,'Données projet'!$E$13+1,1))-AVERAGE(OFFSET($H$3,0,0,'Données projet'!$E$13+1,1))</f>
        <v>426.87921482911719</v>
      </c>
      <c r="CZ9" s="62">
        <f t="shared" si="42"/>
        <v>313.49594674441835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3.5035889333929422</v>
      </c>
      <c r="DQ9" s="14">
        <f t="shared" si="43"/>
        <v>1.3953523257036018</v>
      </c>
      <c r="DR9" s="22">
        <f t="shared" si="16"/>
        <v>8.5323226929264795</v>
      </c>
      <c r="DS9" s="62">
        <f t="shared" si="17"/>
        <v>190.00257478918545</v>
      </c>
      <c r="DT9" s="62">
        <f ca="1">AVERAGE(OFFSET($DS$3,0,0,'Données projet'!$E$14+1,1))-AVERAGE(OFFSET($H$3,0,0,'Données projet'!$E$14+1,1))</f>
        <v>500.25828825677058</v>
      </c>
      <c r="DU9" s="62">
        <f t="shared" si="44"/>
        <v>313.56299786481338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3.65</v>
      </c>
      <c r="EJ9" s="13">
        <f>IF('Données projet'!$A$192&gt;35,EJ8+EI9-ER8,IF(A9&lt;'Données projet'!$A$192,$EG$205^A9,IF(A9='Données projet'!$A$192,'Données projet'!$B$192,EJ8+EI9-ER8)))</f>
        <v>3.6224037772879885</v>
      </c>
      <c r="EK9" s="18">
        <f>EJ9*VLOOKUP('Données projet'!$B$15,Paramètres!$A$1:$I$89,3,0)*VLOOKUP('Données projet'!$B$15,Paramètres!$A$1:$I$89,5,0)</f>
        <v>3.8991554258727907</v>
      </c>
      <c r="EL9" s="14">
        <f t="shared" si="45"/>
        <v>1.5336760664526912</v>
      </c>
      <c r="EM9" s="22">
        <f t="shared" si="19"/>
        <v>9.4621815158002143</v>
      </c>
      <c r="EN9" s="62">
        <f t="shared" si="20"/>
        <v>190.93243361205919</v>
      </c>
      <c r="EO9" s="62">
        <f ca="1">AVERAGE(OFFSET($EN$3,0,0,'Données projet'!$E$15+1,1))-AVERAGE(OFFSET($H$3,0,0,'Données projet'!$E$15+1,1))</f>
        <v>548.17046467409421</v>
      </c>
      <c r="EP9" s="62">
        <f t="shared" si="46"/>
        <v>341.9250949809848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472.83070477639035</v>
      </c>
      <c r="T10" s="62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2">
        <f t="shared" si="5"/>
        <v>195.11491694583884</v>
      </c>
      <c r="AN10" s="62">
        <f ca="1">AVERAGE(OFFSET($AM$3,0,0,'Données projet'!$E$10+1,1))-AVERAGE(OFFSET($H$3,0,0,'Données projet'!$E$10+1,1))</f>
        <v>520.80494930257237</v>
      </c>
      <c r="AO10" s="62">
        <f t="shared" si="36"/>
        <v>325.72635759450861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8.1284210526315785</v>
      </c>
      <c r="BD10" s="13">
        <f>IF('Données projet'!$A$88&gt;35,BD9+BC10-BL9,IF(A10&lt;'Données projet'!$A$88,$BA$205^A10,IF(A10='Données projet'!$A$88,'Données projet'!$B$88,BD9+BC10-BL9)))</f>
        <v>6.403024843545178</v>
      </c>
      <c r="BE10" s="14">
        <f>BD10*VLOOKUP('Données projet'!$B$11,Paramètres!$A$1:$I$89,3,0)*VLOOKUP('Données projet'!$B$11,Paramètres!$A$1:$I$89,5,0)</f>
        <v>3.5792908875417546</v>
      </c>
      <c r="BF10" s="14">
        <f t="shared" si="37"/>
        <v>1.4219590493795295</v>
      </c>
      <c r="BG10" s="22">
        <f t="shared" si="7"/>
        <v>8.7105103068045704</v>
      </c>
      <c r="BH10" s="62">
        <f t="shared" si="8"/>
        <v>192.8346912425408</v>
      </c>
      <c r="BI10" s="62">
        <f ca="1">AVERAGE(OFFSET($BH$3,0,0,'Données projet'!$E$11+1,1))-AVERAGE(OFFSET($H$3,0,0,'Données projet'!$E$11+1,1))</f>
        <v>321.60602866722138</v>
      </c>
      <c r="BJ10" s="62">
        <f t="shared" si="38"/>
        <v>375.18886653687389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</v>
      </c>
      <c r="BY10" s="13">
        <f>IF('Données projet'!$A$114&gt;35,BY9+BX10-CG9,IF(A10&lt;'Données projet'!$A$114,$BV$205^A10,IF(A10='Données projet'!$A$114,'Données projet'!$B$114,BY9+BX10-CG9)))</f>
        <v>11.804164196559917</v>
      </c>
      <c r="BZ10" s="14">
        <f>BY10*VLOOKUP('Données projet'!$B$12,Paramètres!$A$1:$I$89,3,0)*VLOOKUP('Données projet'!$B$12,Paramètres!$A$1:$I$89,5,0)</f>
        <v>6.4450736513217146</v>
      </c>
      <c r="CA10" s="14">
        <f t="shared" si="39"/>
        <v>2.391034396381944</v>
      </c>
      <c r="CB10" s="22">
        <f t="shared" si="10"/>
        <v>15.389554849750539</v>
      </c>
      <c r="CC10" s="62">
        <f t="shared" si="11"/>
        <v>199.51373578548677</v>
      </c>
      <c r="CD10" s="62">
        <f ca="1">AVERAGE(OFFSET($CC$3,0,0,'Données projet'!$E$12+1,1))-AVERAGE(OFFSET($H$3,0,0,'Données projet'!$E$12+1,1))</f>
        <v>182.44246264133781</v>
      </c>
      <c r="CE10" s="62">
        <f t="shared" si="40"/>
        <v>262.5818213397049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7.9</v>
      </c>
      <c r="CT10" s="13">
        <f>IF('Données projet'!$A$140&gt;35,CT9+CS10-DB9,IF(A10&lt;'Données projet'!$A$140,$CQ$205^A10,IF(A10='Données projet'!$A$140,'Données projet'!$B$140,CT9+CS10-DB9)))</f>
        <v>5.8820671812210037</v>
      </c>
      <c r="CU10" s="18">
        <f>CT10*VLOOKUP('Données projet'!$B$13,Paramètres!$A$1:$I$89,3,0)*VLOOKUP('Données projet'!$B$13,Paramètres!$A$1:$I$89,5,0)</f>
        <v>2.7528074408114294</v>
      </c>
      <c r="CV10" s="14">
        <f t="shared" si="41"/>
        <v>1.1275556652411438</v>
      </c>
      <c r="CW10" s="22">
        <f t="shared" si="13"/>
        <v>6.7582990763748976</v>
      </c>
      <c r="CX10" s="62">
        <f t="shared" si="14"/>
        <v>190.88248001211113</v>
      </c>
      <c r="CY10" s="62">
        <f ca="1">AVERAGE(OFFSET($CX$3,0,0,'Données projet'!$E$13+1,1))-AVERAGE(OFFSET($H$3,0,0,'Données projet'!$E$13+1,1))</f>
        <v>426.87921482911719</v>
      </c>
      <c r="CZ10" s="62">
        <f t="shared" si="42"/>
        <v>313.49594674441835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4.3418947219498456</v>
      </c>
      <c r="DQ10" s="14">
        <f t="shared" si="43"/>
        <v>1.6865743243491664</v>
      </c>
      <c r="DR10" s="22">
        <f t="shared" si="16"/>
        <v>10.499583588970779</v>
      </c>
      <c r="DS10" s="62">
        <f t="shared" si="17"/>
        <v>194.62376452470701</v>
      </c>
      <c r="DT10" s="62">
        <f ca="1">AVERAGE(OFFSET($DS$3,0,0,'Données projet'!$E$14+1,1))-AVERAGE(OFFSET($H$3,0,0,'Données projet'!$E$14+1,1))</f>
        <v>500.25828825677058</v>
      </c>
      <c r="DU10" s="62">
        <f t="shared" si="44"/>
        <v>313.56299786481338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3.65</v>
      </c>
      <c r="EJ10" s="13">
        <f>IF('Données projet'!$A$192&gt;35,EJ9+EI10-ER9,IF(A10&lt;'Données projet'!$A$192,$EG$205^A10,IF(A10='Données projet'!$A$192,'Données projet'!$B$192,EJ9+EI10-ER9)))</f>
        <v>4.4891384635544309</v>
      </c>
      <c r="EK10" s="18">
        <f>EJ10*VLOOKUP('Données projet'!$B$15,Paramètres!$A$1:$I$89,3,0)*VLOOKUP('Données projet'!$B$15,Paramètres!$A$1:$I$89,5,0)</f>
        <v>4.8321086421699899</v>
      </c>
      <c r="EL10" s="14">
        <f t="shared" si="45"/>
        <v>1.8537674162284574</v>
      </c>
      <c r="EM10" s="22">
        <f t="shared" si="19"/>
        <v>11.644567468377296</v>
      </c>
      <c r="EN10" s="62">
        <f t="shared" si="20"/>
        <v>195.76874840411352</v>
      </c>
      <c r="EO10" s="62">
        <f ca="1">AVERAGE(OFFSET($EN$3,0,0,'Données projet'!$E$15+1,1))-AVERAGE(OFFSET($H$3,0,0,'Données projet'!$E$15+1,1))</f>
        <v>548.17046467409421</v>
      </c>
      <c r="EP10" s="62">
        <f t="shared" si="46"/>
        <v>341.9250949809848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472.83070477639035</v>
      </c>
      <c r="T11" s="62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2">
        <f t="shared" si="5"/>
        <v>200.28016669663185</v>
      </c>
      <c r="AN11" s="62">
        <f ca="1">AVERAGE(OFFSET($AM$3,0,0,'Données projet'!$E$10+1,1))-AVERAGE(OFFSET($H$3,0,0,'Données projet'!$E$10+1,1))</f>
        <v>520.80494930257237</v>
      </c>
      <c r="AO11" s="62">
        <f t="shared" si="36"/>
        <v>325.72635759450861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8.1284210526315785</v>
      </c>
      <c r="BD11" s="13">
        <f>IF('Données projet'!$A$88&gt;35,BD10+BC11-BL10,IF(A11&lt;'Données projet'!$A$88,$BA$205^A11,IF(A11='Données projet'!$A$88,'Données projet'!$B$88,BD10+BC11-BL10)))</f>
        <v>8.3480121160693486</v>
      </c>
      <c r="BE11" s="14">
        <f>BD11*VLOOKUP('Données projet'!$B$11,Paramètres!$A$1:$I$89,3,0)*VLOOKUP('Données projet'!$B$11,Paramètres!$A$1:$I$89,5,0)</f>
        <v>4.6665387728827659</v>
      </c>
      <c r="BF11" s="14">
        <f t="shared" si="37"/>
        <v>1.7975291403383375</v>
      </c>
      <c r="BG11" s="22">
        <f t="shared" si="7"/>
        <v>11.258251615526754</v>
      </c>
      <c r="BH11" s="62">
        <f t="shared" si="8"/>
        <v>198.0115244817473</v>
      </c>
      <c r="BI11" s="62">
        <f ca="1">AVERAGE(OFFSET($BH$3,0,0,'Données projet'!$E$11+1,1))-AVERAGE(OFFSET($H$3,0,0,'Données projet'!$E$11+1,1))</f>
        <v>321.60602866722138</v>
      </c>
      <c r="BJ11" s="62">
        <f t="shared" si="38"/>
        <v>375.18886653687389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</v>
      </c>
      <c r="BY11" s="13">
        <f>IF('Données projet'!$A$114&gt;35,BY10+BX11-CG10,IF(A11&lt;'Données projet'!$A$114,$BV$205^A11,IF(A11='Données projet'!$A$114,'Données projet'!$B$114,BY10+BX11-CG10)))</f>
        <v>16.795120867813488</v>
      </c>
      <c r="BZ11" s="14">
        <f>BY11*VLOOKUP('Données projet'!$B$12,Paramètres!$A$1:$I$89,3,0)*VLOOKUP('Données projet'!$B$12,Paramètres!$A$1:$I$89,5,0)</f>
        <v>9.1701359938261628</v>
      </c>
      <c r="CA11" s="14">
        <f t="shared" si="39"/>
        <v>3.2651813019026847</v>
      </c>
      <c r="CB11" s="22">
        <f t="shared" si="10"/>
        <v>21.658177623394408</v>
      </c>
      <c r="CC11" s="62">
        <f t="shared" si="11"/>
        <v>208.41145048961496</v>
      </c>
      <c r="CD11" s="62">
        <f ca="1">AVERAGE(OFFSET($CC$3,0,0,'Données projet'!$E$12+1,1))-AVERAGE(OFFSET($H$3,0,0,'Données projet'!$E$12+1,1))</f>
        <v>182.44246264133781</v>
      </c>
      <c r="CE11" s="62">
        <f t="shared" si="40"/>
        <v>262.5818213397049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7.9</v>
      </c>
      <c r="CT11" s="13">
        <f>IF('Données projet'!$A$140&gt;35,CT10+CS11-DB10,IF(A11&lt;'Données projet'!$A$140,$CQ$205^A11,IF(A11='Données projet'!$A$140,'Données projet'!$B$140,CT10+CS11-DB10)))</f>
        <v>7.5763989424129567</v>
      </c>
      <c r="CU11" s="18">
        <f>CT11*VLOOKUP('Données projet'!$B$13,Paramètres!$A$1:$I$89,3,0)*VLOOKUP('Données projet'!$B$13,Paramètres!$A$1:$I$89,5,0)</f>
        <v>3.5457547050492639</v>
      </c>
      <c r="CV11" s="14">
        <f t="shared" si="41"/>
        <v>1.4101803587787649</v>
      </c>
      <c r="CW11" s="22">
        <f t="shared" si="13"/>
        <v>8.631586902833817</v>
      </c>
      <c r="CX11" s="62">
        <f t="shared" si="14"/>
        <v>195.38485976905437</v>
      </c>
      <c r="CY11" s="62">
        <f ca="1">AVERAGE(OFFSET($CX$3,0,0,'Données projet'!$E$13+1,1))-AVERAGE(OFFSET($H$3,0,0,'Données projet'!$E$13+1,1))</f>
        <v>426.87921482911719</v>
      </c>
      <c r="CZ11" s="62">
        <f t="shared" si="42"/>
        <v>313.49594674441835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5.3807824305002701</v>
      </c>
      <c r="DQ11" s="14">
        <f t="shared" si="43"/>
        <v>2.0385768519929188</v>
      </c>
      <c r="DR11" s="22">
        <f t="shared" si="16"/>
        <v>12.922050750342303</v>
      </c>
      <c r="DS11" s="62">
        <f t="shared" si="17"/>
        <v>199.67532361656285</v>
      </c>
      <c r="DT11" s="62">
        <f ca="1">AVERAGE(OFFSET($DS$3,0,0,'Données projet'!$E$14+1,1))-AVERAGE(OFFSET($H$3,0,0,'Données projet'!$E$14+1,1))</f>
        <v>500.25828825677058</v>
      </c>
      <c r="DU11" s="62">
        <f t="shared" si="44"/>
        <v>313.56299786481338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3.65</v>
      </c>
      <c r="EJ11" s="13">
        <f>IF('Données projet'!$A$192&gt;35,EJ10+EI11-ER10,IF(A11&lt;'Données projet'!$A$192,$EG$205^A11,IF(A11='Données projet'!$A$192,'Données projet'!$B$192,EJ10+EI11-ER10)))</f>
        <v>5.563257268920875</v>
      </c>
      <c r="EK11" s="18">
        <f>EJ11*VLOOKUP('Données projet'!$B$15,Paramètres!$A$1:$I$89,3,0)*VLOOKUP('Données projet'!$B$15,Paramètres!$A$1:$I$89,5,0)</f>
        <v>5.9882901242664301</v>
      </c>
      <c r="EL11" s="14">
        <f t="shared" si="45"/>
        <v>2.2406645762026263</v>
      </c>
      <c r="EM11" s="22">
        <f t="shared" si="19"/>
        <v>14.332096103316941</v>
      </c>
      <c r="EN11" s="62">
        <f t="shared" si="20"/>
        <v>201.08536896953748</v>
      </c>
      <c r="EO11" s="62">
        <f ca="1">AVERAGE(OFFSET($EN$3,0,0,'Données projet'!$E$15+1,1))-AVERAGE(OFFSET($H$3,0,0,'Données projet'!$E$15+1,1))</f>
        <v>548.17046467409421</v>
      </c>
      <c r="EP11" s="62">
        <f t="shared" si="46"/>
        <v>341.9250949809848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472.83070477639035</v>
      </c>
      <c r="T12" s="62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2">
        <f t="shared" si="5"/>
        <v>206.00830282636755</v>
      </c>
      <c r="AN12" s="62">
        <f ca="1">AVERAGE(OFFSET($AM$3,0,0,'Données projet'!$E$10+1,1))-AVERAGE(OFFSET($H$3,0,0,'Données projet'!$E$10+1,1))</f>
        <v>520.80494930257237</v>
      </c>
      <c r="AO12" s="62">
        <f t="shared" si="36"/>
        <v>325.72635759450861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8.1284210526315785</v>
      </c>
      <c r="BD12" s="13">
        <f>IF('Données projet'!$A$88&gt;35,BD11+BC12-BL11,IF(A12&lt;'Données projet'!$A$88,$BA$205^A12,IF(A12='Données projet'!$A$88,'Données projet'!$B$88,BD11+BC12-BL11)))</f>
        <v>10.883810073030356</v>
      </c>
      <c r="BE12" s="14">
        <f>BD12*VLOOKUP('Données projet'!$B$11,Paramètres!$A$1:$I$89,3,0)*VLOOKUP('Données projet'!$B$11,Paramètres!$A$1:$I$89,5,0)</f>
        <v>6.084049830823969</v>
      </c>
      <c r="BF12" s="14">
        <f t="shared" si="37"/>
        <v>2.272295402441705</v>
      </c>
      <c r="BG12" s="22">
        <f t="shared" si="7"/>
        <v>14.553967947937716</v>
      </c>
      <c r="BH12" s="62">
        <f t="shared" si="8"/>
        <v>203.91192670049378</v>
      </c>
      <c r="BI12" s="62">
        <f ca="1">AVERAGE(OFFSET($BH$3,0,0,'Données projet'!$E$11+1,1))-AVERAGE(OFFSET($H$3,0,0,'Données projet'!$E$11+1,1))</f>
        <v>321.60602866722138</v>
      </c>
      <c r="BJ12" s="62">
        <f t="shared" si="38"/>
        <v>375.18886653687389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</v>
      </c>
      <c r="BY12" s="13">
        <f>IF('Données projet'!$A$114&gt;35,BY11+BX12-CG11,IF(A12&lt;'Données projet'!$A$114,$BV$205^A12,IF(A12='Données projet'!$A$114,'Données projet'!$B$114,BY11+BX12-CG11)))</f>
        <v>23.896319999231235</v>
      </c>
      <c r="BZ12" s="14">
        <f>BY12*VLOOKUP('Données projet'!$B$12,Paramètres!$A$1:$I$89,3,0)*VLOOKUP('Données projet'!$B$12,Paramètres!$A$1:$I$89,5,0)</f>
        <v>13.047390719580255</v>
      </c>
      <c r="CA12" s="14">
        <f t="shared" si="39"/>
        <v>4.4589107335417264</v>
      </c>
      <c r="CB12" s="22">
        <f t="shared" si="10"/>
        <v>30.490141697520784</v>
      </c>
      <c r="CC12" s="62">
        <f t="shared" si="11"/>
        <v>219.84810045007686</v>
      </c>
      <c r="CD12" s="62">
        <f ca="1">AVERAGE(OFFSET($CC$3,0,0,'Données projet'!$E$12+1,1))-AVERAGE(OFFSET($H$3,0,0,'Données projet'!$E$12+1,1))</f>
        <v>182.44246264133781</v>
      </c>
      <c r="CE12" s="62">
        <f t="shared" si="40"/>
        <v>262.5818213397049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7.9</v>
      </c>
      <c r="CT12" s="13">
        <f>IF('Données projet'!$A$140&gt;35,CT11+CS12-DB11,IF(A12&lt;'Données projet'!$A$140,$CQ$205^A12,IF(A12='Données projet'!$A$140,'Données projet'!$B$140,CT11+CS12-DB11)))</f>
        <v>9.7587836327093171</v>
      </c>
      <c r="CU12" s="18">
        <f>CT12*VLOOKUP('Données projet'!$B$13,Paramètres!$A$1:$I$89,3,0)*VLOOKUP('Données projet'!$B$13,Paramètres!$A$1:$I$89,5,0)</f>
        <v>4.5671107401079603</v>
      </c>
      <c r="CV12" s="14">
        <f t="shared" si="41"/>
        <v>1.763645650133036</v>
      </c>
      <c r="CW12" s="22">
        <f t="shared" si="13"/>
        <v>11.026067379669733</v>
      </c>
      <c r="CX12" s="62">
        <f t="shared" si="14"/>
        <v>200.38402613222581</v>
      </c>
      <c r="CY12" s="62">
        <f ca="1">AVERAGE(OFFSET($CX$3,0,0,'Données projet'!$E$13+1,1))-AVERAGE(OFFSET($H$3,0,0,'Données projet'!$E$13+1,1))</f>
        <v>426.87921482911719</v>
      </c>
      <c r="CZ12" s="62">
        <f t="shared" si="42"/>
        <v>313.49594674441835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6.6682454132324853</v>
      </c>
      <c r="DQ12" s="14">
        <f t="shared" si="43"/>
        <v>2.4640453263659414</v>
      </c>
      <c r="DR12" s="22">
        <f t="shared" si="16"/>
        <v>15.905406371467258</v>
      </c>
      <c r="DS12" s="62">
        <f t="shared" si="17"/>
        <v>205.26336512402332</v>
      </c>
      <c r="DT12" s="62">
        <f ca="1">AVERAGE(OFFSET($DS$3,0,0,'Données projet'!$E$14+1,1))-AVERAGE(OFFSET($H$3,0,0,'Données projet'!$E$14+1,1))</f>
        <v>500.25828825677058</v>
      </c>
      <c r="DU12" s="62">
        <f t="shared" si="44"/>
        <v>313.56299786481338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3.65</v>
      </c>
      <c r="EJ12" s="13">
        <f>IF('Données projet'!$A$192&gt;35,EJ11+EI12-ER11,IF(A12&lt;'Données projet'!$A$192,$EG$205^A12,IF(A12='Données projet'!$A$192,'Données projet'!$B$192,EJ11+EI12-ER11)))</f>
        <v>6.8943811137639424</v>
      </c>
      <c r="EK12" s="18">
        <f>EJ12*VLOOKUP('Données projet'!$B$15,Paramètres!$A$1:$I$89,3,0)*VLOOKUP('Données projet'!$B$15,Paramètres!$A$1:$I$89,5,0)</f>
        <v>7.4211118308555069</v>
      </c>
      <c r="EL12" s="14">
        <f t="shared" si="45"/>
        <v>2.7083104919730441</v>
      </c>
      <c r="EM12" s="22">
        <f t="shared" si="19"/>
        <v>17.642077212259725</v>
      </c>
      <c r="EN12" s="62">
        <f t="shared" si="20"/>
        <v>207.00003596481579</v>
      </c>
      <c r="EO12" s="62">
        <f ca="1">AVERAGE(OFFSET($EN$3,0,0,'Données projet'!$E$15+1,1))-AVERAGE(OFFSET($H$3,0,0,'Données projet'!$E$15+1,1))</f>
        <v>548.17046467409421</v>
      </c>
      <c r="EP12" s="62">
        <f t="shared" si="46"/>
        <v>341.9250949809848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472.83070477639035</v>
      </c>
      <c r="T13" s="62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2">
        <f t="shared" si="5"/>
        <v>212.43619329200953</v>
      </c>
      <c r="AN13" s="62">
        <f ca="1">AVERAGE(OFFSET($AM$3,0,0,'Données projet'!$E$10+1,1))-AVERAGE(OFFSET($H$3,0,0,'Données projet'!$E$10+1,1))</f>
        <v>520.80494930257237</v>
      </c>
      <c r="AO13" s="62">
        <f t="shared" si="36"/>
        <v>325.72635759450861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8.1284210526315785</v>
      </c>
      <c r="BD13" s="13">
        <f>IF('Données projet'!$A$88&gt;35,BD12+BC13-BL12,IF(A13&lt;'Données projet'!$A$88,$BA$205^A13,IF(A13='Données projet'!$A$88,'Données projet'!$B$88,BD12+BC13-BL12)))</f>
        <v>14.189883778172153</v>
      </c>
      <c r="BE13" s="14">
        <f>BD13*VLOOKUP('Données projet'!$B$11,Paramètres!$A$1:$I$89,3,0)*VLOOKUP('Données projet'!$B$11,Paramètres!$A$1:$I$89,5,0)</f>
        <v>7.9321450319982336</v>
      </c>
      <c r="BF13" s="14">
        <f t="shared" si="37"/>
        <v>2.8724576865473512</v>
      </c>
      <c r="BG13" s="22">
        <f t="shared" si="7"/>
        <v>18.818016401466895</v>
      </c>
      <c r="BH13" s="62">
        <f t="shared" si="8"/>
        <v>210.75667838651179</v>
      </c>
      <c r="BI13" s="62">
        <f ca="1">AVERAGE(OFFSET($BH$3,0,0,'Données projet'!$E$11+1,1))-AVERAGE(OFFSET($H$3,0,0,'Données projet'!$E$11+1,1))</f>
        <v>321.60602866722138</v>
      </c>
      <c r="BJ13" s="62">
        <f t="shared" si="38"/>
        <v>375.18886653687389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34</v>
      </c>
      <c r="BW13" s="13">
        <f>VLOOKUP(A13,'Données projet'!$A$113:$I$133,9,0)</f>
        <v>3.4</v>
      </c>
      <c r="BX13" s="13">
        <f t="array" ref="BX13">INDEX(BW:BW,MIN(IF(ISNUMBER(BW13:BW209),ROW(BW13:BW209),"")))</f>
        <v>3.4</v>
      </c>
      <c r="BY13" s="13">
        <f>IF('Données projet'!$A$114&gt;35,BY12+BX13-CG12,IF(A13&lt;'Données projet'!$A$114,$BV$205^A13,IF(A13='Données projet'!$A$114,'Données projet'!$B$114,BY12+BX13-CG12)))</f>
        <v>34</v>
      </c>
      <c r="BZ13" s="14">
        <f>BY13*VLOOKUP('Données projet'!$B$12,Paramètres!$A$1:$I$89,3,0)*VLOOKUP('Données projet'!$B$12,Paramètres!$A$1:$I$89,5,0)</f>
        <v>18.564</v>
      </c>
      <c r="CA13" s="14">
        <f t="shared" si="39"/>
        <v>6.0890600219069162</v>
      </c>
      <c r="CB13" s="22">
        <f t="shared" si="10"/>
        <v>42.937412871487879</v>
      </c>
      <c r="CC13" s="62">
        <f t="shared" si="11"/>
        <v>234.87607485653277</v>
      </c>
      <c r="CD13" s="62">
        <f ca="1">AVERAGE(OFFSET($CC$3,0,0,'Données projet'!$E$12+1,1))-AVERAGE(OFFSET($H$3,0,0,'Données projet'!$E$12+1,1))</f>
        <v>182.44246264133781</v>
      </c>
      <c r="CE13" s="62">
        <f t="shared" si="40"/>
        <v>262.5818213397049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5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1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3.0909941722472518</v>
      </c>
      <c r="CN13" s="24">
        <f t="shared" si="12"/>
        <v>3.0909941722472518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7.9</v>
      </c>
      <c r="CT13" s="13">
        <f>IF('Données projet'!$A$140&gt;35,CT12+CS13-DB12,IF(A13&lt;'Données projet'!$A$140,$CQ$205^A13,IF(A13='Données projet'!$A$140,'Données projet'!$B$140,CT12+CS13-DB12)))</f>
        <v>12.569805089976542</v>
      </c>
      <c r="CU13" s="18">
        <f>CT13*VLOOKUP('Données projet'!$B$13,Paramètres!$A$1:$I$89,3,0)*VLOOKUP('Données projet'!$B$13,Paramètres!$A$1:$I$89,5,0)</f>
        <v>5.8826687821090227</v>
      </c>
      <c r="CV13" s="14">
        <f t="shared" si="41"/>
        <v>2.2057079152108381</v>
      </c>
      <c r="CW13" s="22">
        <f t="shared" si="13"/>
        <v>14.087256081165423</v>
      </c>
      <c r="CX13" s="62">
        <f t="shared" si="14"/>
        <v>206.02591806621032</v>
      </c>
      <c r="CY13" s="62">
        <f ca="1">AVERAGE(OFFSET($CX$3,0,0,'Données projet'!$E$13+1,1))-AVERAGE(OFFSET($H$3,0,0,'Données projet'!$E$13+1,1))</f>
        <v>426.87921482911719</v>
      </c>
      <c r="CZ13" s="62">
        <f t="shared" si="42"/>
        <v>313.49594674441835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8.2637604224711172</v>
      </c>
      <c r="DQ13" s="14">
        <f t="shared" si="43"/>
        <v>2.9783127206856603</v>
      </c>
      <c r="DR13" s="22">
        <f t="shared" si="16"/>
        <v>19.579944057664719</v>
      </c>
      <c r="DS13" s="62">
        <f t="shared" si="17"/>
        <v>211.51860604270962</v>
      </c>
      <c r="DT13" s="62">
        <f ca="1">AVERAGE(OFFSET($DS$3,0,0,'Données projet'!$E$14+1,1))-AVERAGE(OFFSET($H$3,0,0,'Données projet'!$E$14+1,1))</f>
        <v>500.25828825677058</v>
      </c>
      <c r="DU13" s="62">
        <f t="shared" si="44"/>
        <v>313.56299786481338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3.65</v>
      </c>
      <c r="EJ13" s="13">
        <f>IF('Données projet'!$A$192&gt;35,EJ12+EI13-ER12,IF(A13&lt;'Données projet'!$A$192,$EG$205^A13,IF(A13='Données projet'!$A$192,'Données projet'!$B$192,EJ12+EI13-ER12)))</f>
        <v>8.5440037453175322</v>
      </c>
      <c r="EK13" s="18">
        <f>EJ13*VLOOKUP('Données projet'!$B$15,Paramètres!$A$1:$I$89,3,0)*VLOOKUP('Données projet'!$B$15,Paramètres!$A$1:$I$89,5,0)</f>
        <v>9.1967656314597903</v>
      </c>
      <c r="EL13" s="14">
        <f t="shared" si="45"/>
        <v>3.2735581214758165</v>
      </c>
      <c r="EM13" s="22">
        <f t="shared" si="19"/>
        <v>21.719147203029511</v>
      </c>
      <c r="EN13" s="62">
        <f t="shared" si="20"/>
        <v>213.6578091880744</v>
      </c>
      <c r="EO13" s="62">
        <f ca="1">AVERAGE(OFFSET($EN$3,0,0,'Données projet'!$E$15+1,1))-AVERAGE(OFFSET($H$3,0,0,'Données projet'!$E$15+1,1))</f>
        <v>548.17046467409421</v>
      </c>
      <c r="EP13" s="62">
        <f t="shared" si="46"/>
        <v>341.9250949809848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472.83070477639035</v>
      </c>
      <c r="T14" s="62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2">
        <f t="shared" si="5"/>
        <v>219.7324949230792</v>
      </c>
      <c r="AN14" s="62">
        <f ca="1">AVERAGE(OFFSET($AM$3,0,0,'Données projet'!$E$10+1,1))-AVERAGE(OFFSET($H$3,0,0,'Données projet'!$E$10+1,1))</f>
        <v>520.80494930257237</v>
      </c>
      <c r="AO14" s="62">
        <f t="shared" si="36"/>
        <v>325.72635759450861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8.1284210526315785</v>
      </c>
      <c r="BD14" s="13">
        <f>IF('Données projet'!$A$88&gt;35,BD13+BC14-BL13,IF(A14&lt;'Données projet'!$A$88,$BA$205^A14,IF(A14='Données projet'!$A$88,'Données projet'!$B$88,BD13+BC14-BL13)))</f>
        <v>18.500212727616166</v>
      </c>
      <c r="BE14" s="14">
        <f>BD14*VLOOKUP('Données projet'!$B$11,Paramètres!$A$1:$I$89,3,0)*VLOOKUP('Données projet'!$B$11,Paramètres!$A$1:$I$89,5,0)</f>
        <v>10.341618914737436</v>
      </c>
      <c r="BF14" s="14">
        <f t="shared" si="37"/>
        <v>3.6311357898884093</v>
      </c>
      <c r="BG14" s="22">
        <f t="shared" si="7"/>
        <v>24.335881110556681</v>
      </c>
      <c r="BH14" s="62">
        <f t="shared" si="8"/>
        <v>218.8316797196708</v>
      </c>
      <c r="BI14" s="62">
        <f ca="1">AVERAGE(OFFSET($BH$3,0,0,'Données projet'!$E$11+1,1))-AVERAGE(OFFSET($H$3,0,0,'Données projet'!$E$11+1,1))</f>
        <v>321.60602866722138</v>
      </c>
      <c r="BJ14" s="62">
        <f t="shared" si="38"/>
        <v>375.18886653687389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11.2</v>
      </c>
      <c r="BY14" s="13">
        <f>IF('Données projet'!$A$114&gt;35,BY13+BX14-CG13,IF(A14&lt;'Données projet'!$A$114,$BV$205^A14,IF(A14='Données projet'!$A$114,'Données projet'!$B$114,BY13+BX14-CG13)))</f>
        <v>40.200000000000003</v>
      </c>
      <c r="BZ14" s="14">
        <f>BY14*VLOOKUP('Données projet'!$B$12,Paramètres!$A$1:$I$89,3,0)*VLOOKUP('Données projet'!$B$12,Paramètres!$A$1:$I$89,5,0)</f>
        <v>21.949200000000001</v>
      </c>
      <c r="CA14" s="14">
        <f t="shared" si="39"/>
        <v>7.0604051729439155</v>
      </c>
      <c r="CB14" s="22">
        <f t="shared" si="10"/>
        <v>50.525062342877327</v>
      </c>
      <c r="CC14" s="62">
        <f t="shared" si="11"/>
        <v>245.02086095199147</v>
      </c>
      <c r="CD14" s="62">
        <f ca="1">AVERAGE(OFFSET($CC$3,0,0,'Données projet'!$E$12+1,1))-AVERAGE(OFFSET($H$3,0,0,'Données projet'!$E$12+1,1))</f>
        <v>182.44246264133781</v>
      </c>
      <c r="CE14" s="62">
        <f t="shared" si="40"/>
        <v>262.5818213397049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2.1856629398041312</v>
      </c>
      <c r="CN14" s="24">
        <f t="shared" si="12"/>
        <v>2.1856629398041312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7.9</v>
      </c>
      <c r="CT14" s="13">
        <f>IF('Données projet'!$A$140&gt;35,CT13+CS14-DB13,IF(A14&lt;'Données projet'!$A$140,$CQ$205^A14,IF(A14='Données projet'!$A$140,'Données projet'!$B$140,CT13+CS14-DB13)))</f>
        <v>16.190542381779895</v>
      </c>
      <c r="CU14" s="18">
        <f>CT14*VLOOKUP('Données projet'!$B$13,Paramètres!$A$1:$I$89,3,0)*VLOOKUP('Données projet'!$B$13,Paramètres!$A$1:$I$89,5,0)</f>
        <v>7.5771738346729904</v>
      </c>
      <c r="CV14" s="14">
        <f t="shared" si="41"/>
        <v>2.7585742106736397</v>
      </c>
      <c r="CW14" s="22">
        <f t="shared" si="13"/>
        <v>18.001427845645381</v>
      </c>
      <c r="CX14" s="62">
        <f t="shared" si="14"/>
        <v>212.49722645475953</v>
      </c>
      <c r="CY14" s="62">
        <f ca="1">AVERAGE(OFFSET($CX$3,0,0,'Données projet'!$E$13+1,1))-AVERAGE(OFFSET($H$3,0,0,'Données projet'!$E$13+1,1))</f>
        <v>426.87921482911719</v>
      </c>
      <c r="CZ14" s="62">
        <f t="shared" si="42"/>
        <v>313.49594674441835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10.241035248115747</v>
      </c>
      <c r="DQ14" s="14">
        <f t="shared" si="43"/>
        <v>3.5999121311945652</v>
      </c>
      <c r="DR14" s="22">
        <f t="shared" si="16"/>
        <v>24.106316685632123</v>
      </c>
      <c r="DS14" s="62">
        <f t="shared" si="17"/>
        <v>218.60211529474626</v>
      </c>
      <c r="DT14" s="62">
        <f ca="1">AVERAGE(OFFSET($DS$3,0,0,'Données projet'!$E$14+1,1))-AVERAGE(OFFSET($H$3,0,0,'Données projet'!$E$14+1,1))</f>
        <v>500.25828825677058</v>
      </c>
      <c r="DU14" s="62">
        <f t="shared" si="44"/>
        <v>313.56299786481338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3.65</v>
      </c>
      <c r="EJ14" s="13">
        <f>IF('Données projet'!$A$192&gt;35,EJ13+EI14-ER13,IF(A14&lt;'Données projet'!$A$192,$EG$205^A14,IF(A14='Données projet'!$A$192,'Données projet'!$B$192,EJ13+EI14-ER13)))</f>
        <v>10.588332555950936</v>
      </c>
      <c r="EK14" s="18">
        <f>EJ14*VLOOKUP('Données projet'!$B$15,Paramètres!$A$1:$I$89,3,0)*VLOOKUP('Données projet'!$B$15,Paramètres!$A$1:$I$89,5,0)</f>
        <v>11.397281163225587</v>
      </c>
      <c r="EL14" s="14">
        <f t="shared" si="45"/>
        <v>3.9567777795201704</v>
      </c>
      <c r="EM14" s="22">
        <f t="shared" si="19"/>
        <v>26.741652658615525</v>
      </c>
      <c r="EN14" s="62">
        <f t="shared" si="20"/>
        <v>221.23745126772965</v>
      </c>
      <c r="EO14" s="62">
        <f ca="1">AVERAGE(OFFSET($EN$3,0,0,'Données projet'!$E$15+1,1))-AVERAGE(OFFSET($H$3,0,0,'Données projet'!$E$15+1,1))</f>
        <v>548.17046467409421</v>
      </c>
      <c r="EP14" s="62">
        <f t="shared" si="46"/>
        <v>341.9250949809848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472.83070477639035</v>
      </c>
      <c r="T15" s="62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2">
        <f t="shared" si="5"/>
        <v>228.10508384726486</v>
      </c>
      <c r="AN15" s="62">
        <f ca="1">AVERAGE(OFFSET($AM$3,0,0,'Données projet'!$E$10+1,1))-AVERAGE(OFFSET($H$3,0,0,'Données projet'!$E$10+1,1))</f>
        <v>520.80494930257237</v>
      </c>
      <c r="AO15" s="62">
        <f t="shared" si="36"/>
        <v>325.72635759450861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8.1284210526315785</v>
      </c>
      <c r="BD15" s="13">
        <f>IF('Données projet'!$A$88&gt;35,BD14+BC15-BL14,IF(A15&lt;'Données projet'!$A$88,$BA$205^A15,IF(A15='Données projet'!$A$88,'Données projet'!$B$88,BD14+BC15-BL14)))</f>
        <v>24.119850191693295</v>
      </c>
      <c r="BE15" s="14">
        <f>BD15*VLOOKUP('Données projet'!$B$11,Paramètres!$A$1:$I$89,3,0)*VLOOKUP('Données projet'!$B$11,Paramètres!$A$1:$I$89,5,0)</f>
        <v>13.482996257156552</v>
      </c>
      <c r="BF15" s="14">
        <f t="shared" si="37"/>
        <v>4.5901971633416325</v>
      </c>
      <c r="BG15" s="22">
        <f t="shared" si="7"/>
        <v>31.477478540701004</v>
      </c>
      <c r="BH15" s="62">
        <f t="shared" si="8"/>
        <v>228.50725599343389</v>
      </c>
      <c r="BI15" s="62">
        <f ca="1">AVERAGE(OFFSET($BH$3,0,0,'Données projet'!$E$11+1,1))-AVERAGE(OFFSET($H$3,0,0,'Données projet'!$E$11+1,1))</f>
        <v>321.60602866722138</v>
      </c>
      <c r="BJ15" s="62">
        <f t="shared" si="38"/>
        <v>375.18886653687389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11.2</v>
      </c>
      <c r="BY15" s="13">
        <f>IF('Données projet'!$A$114&gt;35,BY14+BX15-CG14,IF(A15&lt;'Données projet'!$A$114,$BV$205^A15,IF(A15='Données projet'!$A$114,'Données projet'!$B$114,BY14+BX15-CG14)))</f>
        <v>51.400000000000006</v>
      </c>
      <c r="BZ15" s="14">
        <f>BY15*VLOOKUP('Données projet'!$B$12,Paramètres!$A$1:$I$89,3,0)*VLOOKUP('Données projet'!$B$12,Paramètres!$A$1:$I$89,5,0)</f>
        <v>28.064400000000003</v>
      </c>
      <c r="CA15" s="14">
        <f t="shared" si="39"/>
        <v>8.7728862017683937</v>
      </c>
      <c r="CB15" s="22">
        <f t="shared" si="10"/>
        <v>64.158273468079955</v>
      </c>
      <c r="CC15" s="62">
        <f t="shared" si="11"/>
        <v>261.18805092081283</v>
      </c>
      <c r="CD15" s="62">
        <f ca="1">AVERAGE(OFFSET($CC$3,0,0,'Données projet'!$E$12+1,1))-AVERAGE(OFFSET($H$3,0,0,'Données projet'!$E$12+1,1))</f>
        <v>182.44246264133781</v>
      </c>
      <c r="CE15" s="62">
        <f t="shared" si="40"/>
        <v>262.5818213397049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1.5454970861236261</v>
      </c>
      <c r="CN15" s="24">
        <f t="shared" si="12"/>
        <v>1.5454970861236261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7.9</v>
      </c>
      <c r="CT15" s="13">
        <f>IF('Données projet'!$A$140&gt;35,CT14+CS15-DB14,IF(A15&lt;'Données projet'!$A$140,$CQ$205^A15,IF(A15='Données projet'!$A$140,'Données projet'!$B$140,CT14+CS15-DB14)))</f>
        <v>20.854234472198982</v>
      </c>
      <c r="CU15" s="18">
        <f>CT15*VLOOKUP('Données projet'!$B$13,Paramètres!$A$1:$I$89,3,0)*VLOOKUP('Données projet'!$B$13,Paramètres!$A$1:$I$89,5,0)</f>
        <v>9.7597817329891239</v>
      </c>
      <c r="CV15" s="14">
        <f t="shared" si="41"/>
        <v>3.4500178483814818</v>
      </c>
      <c r="CW15" s="22">
        <f t="shared" si="13"/>
        <v>23.00706760422047</v>
      </c>
      <c r="CX15" s="62">
        <f t="shared" si="14"/>
        <v>220.03684505695335</v>
      </c>
      <c r="CY15" s="62">
        <f ca="1">AVERAGE(OFFSET($CX$3,0,0,'Données projet'!$E$13+1,1))-AVERAGE(OFFSET($H$3,0,0,'Données projet'!$E$13+1,1))</f>
        <v>426.87921482911719</v>
      </c>
      <c r="CZ15" s="62">
        <f t="shared" si="42"/>
        <v>313.49594674441835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12.69141378638699</v>
      </c>
      <c r="DQ15" s="14">
        <f t="shared" si="43"/>
        <v>4.3512446702837533</v>
      </c>
      <c r="DR15" s="22">
        <f t="shared" si="16"/>
        <v>29.682630145368211</v>
      </c>
      <c r="DS15" s="62">
        <f t="shared" si="17"/>
        <v>226.71240759810109</v>
      </c>
      <c r="DT15" s="62">
        <f ca="1">AVERAGE(OFFSET($DS$3,0,0,'Données projet'!$E$14+1,1))-AVERAGE(OFFSET($H$3,0,0,'Données projet'!$E$14+1,1))</f>
        <v>500.25828825677058</v>
      </c>
      <c r="DU15" s="62">
        <f t="shared" si="44"/>
        <v>313.56299786481338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3.65</v>
      </c>
      <c r="EJ15" s="13">
        <f>IF('Données projet'!$A$192&gt;35,EJ14+EI15-ER14,IF(A15&lt;'Données projet'!$A$192,$EG$205^A15,IF(A15='Données projet'!$A$192,'Données projet'!$B$192,EJ14+EI15-ER14)))</f>
        <v>13.121809125710287</v>
      </c>
      <c r="EK15" s="18">
        <f>EJ15*VLOOKUP('Données projet'!$B$15,Paramètres!$A$1:$I$89,3,0)*VLOOKUP('Données projet'!$B$15,Paramètres!$A$1:$I$89,5,0)</f>
        <v>14.124315342914553</v>
      </c>
      <c r="EL15" s="14">
        <f t="shared" si="45"/>
        <v>4.7825912403370845</v>
      </c>
      <c r="EM15" s="22">
        <f t="shared" si="19"/>
        <v>32.929528965829938</v>
      </c>
      <c r="EN15" s="62">
        <f t="shared" si="20"/>
        <v>229.95930641856282</v>
      </c>
      <c r="EO15" s="62">
        <f ca="1">AVERAGE(OFFSET($EN$3,0,0,'Données projet'!$E$15+1,1))-AVERAGE(OFFSET($H$3,0,0,'Données projet'!$E$15+1,1))</f>
        <v>548.17046467409421</v>
      </c>
      <c r="EP15" s="62">
        <f t="shared" si="46"/>
        <v>341.9250949809848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472.83070477639035</v>
      </c>
      <c r="T16" s="62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2">
        <f t="shared" si="5"/>
        <v>237.81022669869324</v>
      </c>
      <c r="AN16" s="62">
        <f ca="1">AVERAGE(OFFSET($AM$3,0,0,'Données projet'!$E$10+1,1))-AVERAGE(OFFSET($H$3,0,0,'Données projet'!$E$10+1,1))</f>
        <v>520.80494930257237</v>
      </c>
      <c r="AO16" s="62">
        <f t="shared" si="36"/>
        <v>325.72635759450861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8.1284210526315785</v>
      </c>
      <c r="BD16" s="13">
        <f>IF('Données projet'!$A$88&gt;35,BD15+BC16-BL15,IF(A16&lt;'Données projet'!$A$88,$BA$205^A16,IF(A16='Données projet'!$A$88,'Données projet'!$B$88,BD15+BC16-BL15)))</f>
        <v>31.446512633949066</v>
      </c>
      <c r="BE16" s="14">
        <f>BD16*VLOOKUP('Données projet'!$B$11,Paramètres!$A$1:$I$89,3,0)*VLOOKUP('Données projet'!$B$11,Paramètres!$A$1:$I$89,5,0)</f>
        <v>17.578600562377527</v>
      </c>
      <c r="BF16" s="14">
        <f t="shared" si="37"/>
        <v>5.8025673556529513</v>
      </c>
      <c r="BG16" s="22">
        <f t="shared" si="7"/>
        <v>40.722200790569744</v>
      </c>
      <c r="BH16" s="62">
        <f t="shared" si="8"/>
        <v>240.26320104218854</v>
      </c>
      <c r="BI16" s="62">
        <f ca="1">AVERAGE(OFFSET($BH$3,0,0,'Données projet'!$E$11+1,1))-AVERAGE(OFFSET($H$3,0,0,'Données projet'!$E$11+1,1))</f>
        <v>321.60602866722138</v>
      </c>
      <c r="BJ16" s="62">
        <f t="shared" si="38"/>
        <v>375.18886653687389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11.2</v>
      </c>
      <c r="BY16" s="13">
        <f>IF('Données projet'!$A$114&gt;35,BY15+BX16-CG15,IF(A16&lt;'Données projet'!$A$114,$BV$205^A16,IF(A16='Données projet'!$A$114,'Données projet'!$B$114,BY15+BX16-CG15)))</f>
        <v>62.600000000000009</v>
      </c>
      <c r="BZ16" s="14">
        <f>BY16*VLOOKUP('Données projet'!$B$12,Paramètres!$A$1:$I$89,3,0)*VLOOKUP('Données projet'!$B$12,Paramètres!$A$1:$I$89,5,0)</f>
        <v>34.179600000000001</v>
      </c>
      <c r="CA16" s="14">
        <f t="shared" si="39"/>
        <v>10.442117235140335</v>
      </c>
      <c r="CB16" s="22">
        <f t="shared" si="10"/>
        <v>77.716157517869419</v>
      </c>
      <c r="CC16" s="62">
        <f t="shared" si="11"/>
        <v>277.25715776948823</v>
      </c>
      <c r="CD16" s="62">
        <f ca="1">AVERAGE(OFFSET($CC$3,0,0,'Données projet'!$E$12+1,1))-AVERAGE(OFFSET($H$3,0,0,'Données projet'!$E$12+1,1))</f>
        <v>182.44246264133781</v>
      </c>
      <c r="CE16" s="62">
        <f t="shared" si="40"/>
        <v>262.5818213397049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1.0928314699020658</v>
      </c>
      <c r="CN16" s="24">
        <f t="shared" si="12"/>
        <v>1.0928314699020658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7.9</v>
      </c>
      <c r="CT16" s="13">
        <f>IF('Données projet'!$A$140&gt;35,CT15+CS16-DB15,IF(A16&lt;'Données projet'!$A$140,$CQ$205^A16,IF(A16='Données projet'!$A$140,'Données projet'!$B$140,CT15+CS16-DB15)))</f>
        <v>26.861304900499697</v>
      </c>
      <c r="CU16" s="18">
        <f>CT16*VLOOKUP('Données projet'!$B$13,Paramètres!$A$1:$I$89,3,0)*VLOOKUP('Données projet'!$B$13,Paramètres!$A$1:$I$89,5,0)</f>
        <v>12.571090693433858</v>
      </c>
      <c r="CV16" s="14">
        <f t="shared" si="41"/>
        <v>4.3147735914069099</v>
      </c>
      <c r="CW16" s="22">
        <f t="shared" si="13"/>
        <v>29.409546962764335</v>
      </c>
      <c r="CX16" s="62">
        <f t="shared" si="14"/>
        <v>228.95054721438314</v>
      </c>
      <c r="CY16" s="62">
        <f ca="1">AVERAGE(OFFSET($CX$3,0,0,'Données projet'!$E$13+1,1))-AVERAGE(OFFSET($H$3,0,0,'Données projet'!$E$13+1,1))</f>
        <v>426.87921482911719</v>
      </c>
      <c r="CZ16" s="62">
        <f t="shared" si="42"/>
        <v>313.49594674441835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15.728095841377899</v>
      </c>
      <c r="DQ16" s="14">
        <f t="shared" si="43"/>
        <v>5.2593867546400634</v>
      </c>
      <c r="DR16" s="22">
        <f t="shared" si="16"/>
        <v>36.553198854731285</v>
      </c>
      <c r="DS16" s="62">
        <f t="shared" si="17"/>
        <v>236.09419910635009</v>
      </c>
      <c r="DT16" s="62">
        <f ca="1">AVERAGE(OFFSET($DS$3,0,0,'Données projet'!$E$14+1,1))-AVERAGE(OFFSET($H$3,0,0,'Données projet'!$E$14+1,1))</f>
        <v>500.25828825677058</v>
      </c>
      <c r="DU16" s="62">
        <f t="shared" si="44"/>
        <v>313.56299786481338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3.65</v>
      </c>
      <c r="EJ16" s="13">
        <f>IF('Données projet'!$A$192&gt;35,EJ15+EI16-ER15,IF(A16&lt;'Données projet'!$A$192,$EG$205^A16,IF(A16='Données projet'!$A$192,'Données projet'!$B$192,EJ15+EI16-ER15)))</f>
        <v>16.261472127148366</v>
      </c>
      <c r="EK16" s="18">
        <f>EJ16*VLOOKUP('Données projet'!$B$15,Paramètres!$A$1:$I$89,3,0)*VLOOKUP('Données projet'!$B$15,Paramètres!$A$1:$I$89,5,0)</f>
        <v>17.5038485976625</v>
      </c>
      <c r="EL16" s="14">
        <f t="shared" si="45"/>
        <v>5.7807590536264062</v>
      </c>
      <c r="EM16" s="22">
        <f t="shared" si="19"/>
        <v>40.55402499266151</v>
      </c>
      <c r="EN16" s="62">
        <f t="shared" si="20"/>
        <v>240.09502524428032</v>
      </c>
      <c r="EO16" s="62">
        <f ca="1">AVERAGE(OFFSET($EN$3,0,0,'Données projet'!$E$15+1,1))-AVERAGE(OFFSET($H$3,0,0,'Données projet'!$E$15+1,1))</f>
        <v>548.17046467409421</v>
      </c>
      <c r="EP16" s="62">
        <f t="shared" si="46"/>
        <v>341.9250949809848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472.83070477639035</v>
      </c>
      <c r="T17" s="62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2">
        <f t="shared" si="5"/>
        <v>249.16390139133293</v>
      </c>
      <c r="AN17" s="62">
        <f ca="1">AVERAGE(OFFSET($AM$3,0,0,'Données projet'!$E$10+1,1))-AVERAGE(OFFSET($H$3,0,0,'Données projet'!$E$10+1,1))</f>
        <v>520.80494930257237</v>
      </c>
      <c r="AO17" s="62">
        <f t="shared" si="36"/>
        <v>325.72635759450861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8.1284210526315785</v>
      </c>
      <c r="BD17" s="13">
        <f>IF('Données projet'!$A$88&gt;35,BD16+BC17-BL16,IF(A17&lt;'Données projet'!$A$88,$BA$205^A17,IF(A17='Données projet'!$A$88,'Données projet'!$B$88,BD16+BC17-BL16)))</f>
        <v>40.998727147056762</v>
      </c>
      <c r="BE17" s="14">
        <f>BD17*VLOOKUP('Données projet'!$B$11,Paramètres!$A$1:$I$89,3,0)*VLOOKUP('Données projet'!$B$11,Paramètres!$A$1:$I$89,5,0)</f>
        <v>22.918288475204729</v>
      </c>
      <c r="BF17" s="14">
        <f t="shared" si="37"/>
        <v>7.3351506958750976</v>
      </c>
      <c r="BG17" s="22">
        <f t="shared" si="7"/>
        <v>52.691406556297359</v>
      </c>
      <c r="BH17" s="62">
        <f t="shared" si="8"/>
        <v>254.72126832857055</v>
      </c>
      <c r="BI17" s="62">
        <f ca="1">AVERAGE(OFFSET($BH$3,0,0,'Données projet'!$E$11+1,1))-AVERAGE(OFFSET($H$3,0,0,'Données projet'!$E$11+1,1))</f>
        <v>321.60602866722138</v>
      </c>
      <c r="BJ17" s="62">
        <f t="shared" si="38"/>
        <v>375.18886653687389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11.2</v>
      </c>
      <c r="BY17" s="13">
        <f>IF('Données projet'!$A$114&gt;35,BY16+BX17-CG16,IF(A17&lt;'Données projet'!$A$114,$BV$205^A17,IF(A17='Données projet'!$A$114,'Données projet'!$B$114,BY16+BX17-CG16)))</f>
        <v>73.800000000000011</v>
      </c>
      <c r="BZ17" s="14">
        <f>BY17*VLOOKUP('Données projet'!$B$12,Paramètres!$A$1:$I$89,3,0)*VLOOKUP('Données projet'!$B$12,Paramètres!$A$1:$I$89,5,0)</f>
        <v>40.294800000000002</v>
      </c>
      <c r="CA17" s="14">
        <f t="shared" si="39"/>
        <v>12.076750255219567</v>
      </c>
      <c r="CB17" s="22">
        <f t="shared" si="10"/>
        <v>91.21378336117408</v>
      </c>
      <c r="CC17" s="62">
        <f t="shared" si="11"/>
        <v>293.24364513344727</v>
      </c>
      <c r="CD17" s="62">
        <f ca="1">AVERAGE(OFFSET($CC$3,0,0,'Données projet'!$E$12+1,1))-AVERAGE(OFFSET($H$3,0,0,'Données projet'!$E$12+1,1))</f>
        <v>182.44246264133781</v>
      </c>
      <c r="CE17" s="62">
        <f t="shared" si="40"/>
        <v>262.5818213397049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0.77274854306181318</v>
      </c>
      <c r="CN17" s="24">
        <f t="shared" si="12"/>
        <v>0.77274854306181318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7.9</v>
      </c>
      <c r="CT17" s="13">
        <f>IF('Données projet'!$A$140&gt;35,CT16+CS17-DB16,IF(A17&lt;'Données projet'!$A$140,$CQ$205^A17,IF(A17='Données projet'!$A$140,'Données projet'!$B$140,CT16+CS17-DB16)))</f>
        <v>34.598714324397214</v>
      </c>
      <c r="CU17" s="18">
        <f>CT17*VLOOKUP('Données projet'!$B$13,Paramètres!$A$1:$I$89,3,0)*VLOOKUP('Données projet'!$B$13,Paramètres!$A$1:$I$89,5,0)</f>
        <v>16.192198303817896</v>
      </c>
      <c r="CV17" s="14">
        <f t="shared" si="41"/>
        <v>5.3962825594761723</v>
      </c>
      <c r="CW17" s="22">
        <f t="shared" si="13"/>
        <v>37.599937503570509</v>
      </c>
      <c r="CX17" s="62">
        <f t="shared" si="14"/>
        <v>239.62979927584371</v>
      </c>
      <c r="CY17" s="62">
        <f ca="1">AVERAGE(OFFSET($CX$3,0,0,'Données projet'!$E$13+1,1))-AVERAGE(OFFSET($H$3,0,0,'Données projet'!$E$13+1,1))</f>
        <v>426.87921482911719</v>
      </c>
      <c r="CZ17" s="62">
        <f t="shared" si="42"/>
        <v>313.49594674441835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19.491366601009023</v>
      </c>
      <c r="DQ17" s="14">
        <f t="shared" si="43"/>
        <v>6.3570658813537859</v>
      </c>
      <c r="DR17" s="22">
        <f t="shared" si="16"/>
        <v>45.01935324011523</v>
      </c>
      <c r="DS17" s="62">
        <f t="shared" si="17"/>
        <v>247.04921501238843</v>
      </c>
      <c r="DT17" s="62">
        <f ca="1">AVERAGE(OFFSET($DS$3,0,0,'Données projet'!$E$14+1,1))-AVERAGE(OFFSET($H$3,0,0,'Données projet'!$E$14+1,1))</f>
        <v>500.25828825677058</v>
      </c>
      <c r="DU17" s="62">
        <f t="shared" si="44"/>
        <v>313.56299786481338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3.65</v>
      </c>
      <c r="EJ17" s="13">
        <f>IF('Données projet'!$A$192&gt;35,EJ16+EI17-ER16,IF(A17&lt;'Données projet'!$A$192,$EG$205^A17,IF(A17='Données projet'!$A$192,'Données projet'!$B$192,EJ16+EI17-ER16)))</f>
        <v>20.152364144963837</v>
      </c>
      <c r="EK17" s="18">
        <f>EJ17*VLOOKUP('Données projet'!$B$15,Paramètres!$A$1:$I$89,3,0)*VLOOKUP('Données projet'!$B$15,Paramètres!$A$1:$I$89,5,0)</f>
        <v>21.692004765639073</v>
      </c>
      <c r="EL17" s="14">
        <f t="shared" si="45"/>
        <v>6.9872530510737043</v>
      </c>
      <c r="EM17" s="22">
        <f t="shared" si="19"/>
        <v>49.949707364108086</v>
      </c>
      <c r="EN17" s="62">
        <f t="shared" si="20"/>
        <v>251.97956913638129</v>
      </c>
      <c r="EO17" s="62">
        <f ca="1">AVERAGE(OFFSET($EN$3,0,0,'Données projet'!$E$15+1,1))-AVERAGE(OFFSET($H$3,0,0,'Données projet'!$E$15+1,1))</f>
        <v>548.17046467409421</v>
      </c>
      <c r="EP17" s="62">
        <f t="shared" si="46"/>
        <v>341.9250949809848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472.83070477639035</v>
      </c>
      <c r="T18" s="62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2">
        <f t="shared" si="5"/>
        <v>262.55577243500142</v>
      </c>
      <c r="AN18" s="62">
        <f ca="1">AVERAGE(OFFSET($AM$3,0,0,'Données projet'!$E$10+1,1))-AVERAGE(OFFSET($H$3,0,0,'Données projet'!$E$10+1,1))</f>
        <v>520.80494930257237</v>
      </c>
      <c r="AO18" s="62">
        <f t="shared" si="36"/>
        <v>325.72635759450861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8.1284210526315785</v>
      </c>
      <c r="BD18" s="13">
        <f>IF('Données projet'!$A$88&gt;35,BD17+BC18-BL17,IF(A18&lt;'Données projet'!$A$88,$BA$205^A18,IF(A18='Données projet'!$A$88,'Données projet'!$B$88,BD17+BC18-BL17)))</f>
        <v>53.452528973408192</v>
      </c>
      <c r="BE18" s="14">
        <f>BD18*VLOOKUP('Données projet'!$B$11,Paramètres!$A$1:$I$89,3,0)*VLOOKUP('Données projet'!$B$11,Paramètres!$A$1:$I$89,5,0)</f>
        <v>29.879963696135178</v>
      </c>
      <c r="BF18" s="14">
        <f t="shared" si="37"/>
        <v>9.2725223911067207</v>
      </c>
      <c r="BG18" s="22">
        <f t="shared" si="7"/>
        <v>68.190579935279629</v>
      </c>
      <c r="BH18" s="62">
        <f t="shared" si="8"/>
        <v>272.68732986816065</v>
      </c>
      <c r="BI18" s="62">
        <f ca="1">AVERAGE(OFFSET($BH$3,0,0,'Données projet'!$E$11+1,1))-AVERAGE(OFFSET($H$3,0,0,'Données projet'!$E$11+1,1))</f>
        <v>321.60602866722138</v>
      </c>
      <c r="BJ18" s="62">
        <f t="shared" si="38"/>
        <v>375.18886653687389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85</v>
      </c>
      <c r="BW18" s="13">
        <f>VLOOKUP(A18,'Données projet'!$A$113:$I$133,9,0)</f>
        <v>11.2</v>
      </c>
      <c r="BX18" s="13">
        <f t="array" ref="BX18">INDEX(BW:BW,MIN(IF(ISNUMBER(BW18:BW214),ROW(BW18:BW214),"")))</f>
        <v>11.2</v>
      </c>
      <c r="BY18" s="13">
        <f>IF('Données projet'!$A$114&gt;35,BY17+BX18-CG17,IF(A18&lt;'Données projet'!$A$114,$BV$205^A18,IF(A18='Données projet'!$A$114,'Données projet'!$B$114,BY17+BX18-CG17)))</f>
        <v>85.000000000000014</v>
      </c>
      <c r="BZ18" s="14">
        <f>BY18*VLOOKUP('Données projet'!$B$12,Paramètres!$A$1:$I$89,3,0)*VLOOKUP('Données projet'!$B$12,Paramètres!$A$1:$I$89,5,0)</f>
        <v>46.410000000000004</v>
      </c>
      <c r="CA18" s="14">
        <f t="shared" si="39"/>
        <v>13.682644606433925</v>
      </c>
      <c r="CB18" s="22">
        <f t="shared" si="10"/>
        <v>104.66135602287243</v>
      </c>
      <c r="CC18" s="62">
        <f t="shared" si="11"/>
        <v>309.15810595575346</v>
      </c>
      <c r="CD18" s="62">
        <f ca="1">AVERAGE(OFFSET($CC$3,0,0,'Données projet'!$E$12+1,1))-AVERAGE(OFFSET($H$3,0,0,'Données projet'!$E$12+1,1))</f>
        <v>182.44246264133781</v>
      </c>
      <c r="CE18" s="62">
        <f t="shared" si="40"/>
        <v>262.5818213397049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21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0.6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9.0902993716321081</v>
      </c>
      <c r="CM18" s="23">
        <f>EXP(-LN(2)/2)*CM17+(1-EXP(-LN(2)/2))/(LN(2)/2)*CG18*CJ18*VLOOKUP('Données projet'!$B$12,Paramètres!$A$1:$I$89,3,0)*0.475*44/12</f>
        <v>0.54641573495103302</v>
      </c>
      <c r="CN18" s="24">
        <f t="shared" si="12"/>
        <v>9.6367151065831411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7.9</v>
      </c>
      <c r="CT18" s="13">
        <f>IF('Données projet'!$A$140&gt;35,CT17+CS18-DB17,IF(A18&lt;'Données projet'!$A$140,$CQ$205^A18,IF(A18='Données projet'!$A$140,'Données projet'!$B$140,CT17+CS18-DB17)))</f>
        <v>44.564887571004775</v>
      </c>
      <c r="CU18" s="18">
        <f>CT18*VLOOKUP('Données projet'!$B$13,Paramètres!$A$1:$I$89,3,0)*VLOOKUP('Données projet'!$B$13,Paramètres!$A$1:$I$89,5,0)</f>
        <v>20.856367383230236</v>
      </c>
      <c r="CV18" s="14">
        <f t="shared" si="41"/>
        <v>6.7488744993944465</v>
      </c>
      <c r="CW18" s="22">
        <f t="shared" si="13"/>
        <v>48.079129612237985</v>
      </c>
      <c r="CX18" s="62">
        <f t="shared" si="14"/>
        <v>252.57587954511902</v>
      </c>
      <c r="CY18" s="62">
        <f ca="1">AVERAGE(OFFSET($CX$3,0,0,'Données projet'!$E$13+1,1))-AVERAGE(OFFSET($H$3,0,0,'Données projet'!$E$13+1,1))</f>
        <v>426.87921482911719</v>
      </c>
      <c r="CZ18" s="62">
        <f t="shared" si="42"/>
        <v>313.49594674441835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24.155077372776663</v>
      </c>
      <c r="DQ18" s="14">
        <f t="shared" si="43"/>
        <v>7.6838400568695304</v>
      </c>
      <c r="DR18" s="22">
        <f t="shared" si="16"/>
        <v>55.452781189967119</v>
      </c>
      <c r="DS18" s="62">
        <f t="shared" si="17"/>
        <v>259.94953112284816</v>
      </c>
      <c r="DT18" s="62">
        <f ca="1">AVERAGE(OFFSET($DS$3,0,0,'Données projet'!$E$14+1,1))-AVERAGE(OFFSET($H$3,0,0,'Données projet'!$E$14+1,1))</f>
        <v>500.25828825677058</v>
      </c>
      <c r="DU18" s="62">
        <f t="shared" si="44"/>
        <v>313.56299786481338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3.65</v>
      </c>
      <c r="EJ18" s="13">
        <f>IF('Données projet'!$A$192&gt;35,EJ17+EI18-ER17,IF(A18&lt;'Données projet'!$A$192,$EG$205^A18,IF(A18='Données projet'!$A$192,'Données projet'!$B$192,EJ17+EI18-ER17)))</f>
        <v>24.974232188561476</v>
      </c>
      <c r="EK18" s="18">
        <f>EJ18*VLOOKUP('Données projet'!$B$15,Paramètres!$A$1:$I$89,3,0)*VLOOKUP('Données projet'!$B$15,Paramètres!$A$1:$I$89,5,0)</f>
        <v>26.882263527767574</v>
      </c>
      <c r="EL18" s="14">
        <f t="shared" si="45"/>
        <v>8.4455526941763424</v>
      </c>
      <c r="EM18" s="22">
        <f t="shared" si="19"/>
        <v>61.52927991988566</v>
      </c>
      <c r="EN18" s="62">
        <f t="shared" si="20"/>
        <v>266.02602985276673</v>
      </c>
      <c r="EO18" s="62">
        <f ca="1">AVERAGE(OFFSET($EN$3,0,0,'Données projet'!$E$15+1,1))-AVERAGE(OFFSET($H$3,0,0,'Données projet'!$E$15+1,1))</f>
        <v>548.17046467409421</v>
      </c>
      <c r="EP18" s="62">
        <f t="shared" si="46"/>
        <v>341.9250949809848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472.83070477639035</v>
      </c>
      <c r="T19" s="62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2">
        <f t="shared" si="5"/>
        <v>278.46644464610415</v>
      </c>
      <c r="AN19" s="62">
        <f ca="1">AVERAGE(OFFSET($AM$3,0,0,'Données projet'!$E$10+1,1))-AVERAGE(OFFSET($H$3,0,0,'Données projet'!$E$10+1,1))</f>
        <v>520.80494930257237</v>
      </c>
      <c r="AO19" s="62">
        <f t="shared" si="36"/>
        <v>325.72635759450861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8.1284210526315785</v>
      </c>
      <c r="BD19" s="13">
        <f>IF('Données projet'!$A$88&gt;35,BD18+BC19-BL18,IF(A19&lt;'Données projet'!$A$88,$BA$205^A19,IF(A19='Données projet'!$A$88,'Données projet'!$B$88,BD18+BC19-BL18)))</f>
        <v>69.689306290040648</v>
      </c>
      <c r="BE19" s="14">
        <f>BD19*VLOOKUP('Données projet'!$B$11,Paramètres!$A$1:$I$89,3,0)*VLOOKUP('Données projet'!$B$11,Paramètres!$A$1:$I$89,5,0)</f>
        <v>38.956322216132719</v>
      </c>
      <c r="BF19" s="14">
        <f t="shared" si="37"/>
        <v>11.721595786972175</v>
      </c>
      <c r="BG19" s="22">
        <f t="shared" si="7"/>
        <v>88.264040522074353</v>
      </c>
      <c r="BH19" s="62">
        <f t="shared" si="8"/>
        <v>295.20608644418843</v>
      </c>
      <c r="BI19" s="62">
        <f ca="1">AVERAGE(OFFSET($BH$3,0,0,'Données projet'!$E$11+1,1))-AVERAGE(OFFSET($H$3,0,0,'Données projet'!$E$11+1,1))</f>
        <v>321.60602866722138</v>
      </c>
      <c r="BJ19" s="62">
        <f t="shared" si="38"/>
        <v>375.18886653687389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75.600000000000009</v>
      </c>
      <c r="BZ19" s="14">
        <f>BY19*VLOOKUP('Données projet'!$B$12,Paramètres!$A$1:$I$89,3,0)*VLOOKUP('Données projet'!$B$12,Paramètres!$A$1:$I$89,5,0)</f>
        <v>41.277600000000007</v>
      </c>
      <c r="CA19" s="14">
        <f t="shared" si="39"/>
        <v>12.33665280707495</v>
      </c>
      <c r="CB19" s="22">
        <f t="shared" si="10"/>
        <v>93.378156972322202</v>
      </c>
      <c r="CC19" s="62">
        <f t="shared" si="11"/>
        <v>300.32020289443625</v>
      </c>
      <c r="CD19" s="62">
        <f ca="1">AVERAGE(OFFSET($CC$3,0,0,'Données projet'!$E$12+1,1))-AVERAGE(OFFSET($H$3,0,0,'Données projet'!$E$12+1,1))</f>
        <v>182.44246264133781</v>
      </c>
      <c r="CE19" s="62">
        <f t="shared" si="40"/>
        <v>262.5818213397049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8.8417246572767603</v>
      </c>
      <c r="CM19" s="23">
        <f>EXP(-LN(2)/2)*CM18+(1-EXP(-LN(2)/2))/(LN(2)/2)*CG19*CJ19*VLOOKUP('Données projet'!$B$12,Paramètres!$A$1:$I$89,3,0)*0.475*44/12</f>
        <v>0.3863742715309067</v>
      </c>
      <c r="CN19" s="24">
        <f t="shared" si="12"/>
        <v>9.2280989288076665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7.9</v>
      </c>
      <c r="CT19" s="13">
        <f>IF('Données projet'!$A$140&gt;35,CT18+CS19-DB18,IF(A19&lt;'Données projet'!$A$140,$CQ$205^A19,IF(A19='Données projet'!$A$140,'Données projet'!$B$140,CT18+CS19-DB18)))</f>
        <v>57.401820934596167</v>
      </c>
      <c r="CU19" s="18">
        <f>CT19*VLOOKUP('Données projet'!$B$13,Paramètres!$A$1:$I$89,3,0)*VLOOKUP('Données projet'!$B$13,Paramètres!$A$1:$I$89,5,0)</f>
        <v>26.864052197391008</v>
      </c>
      <c r="CV19" s="14">
        <f t="shared" si="41"/>
        <v>8.4404970471001413</v>
      </c>
      <c r="CW19" s="22">
        <f t="shared" si="13"/>
        <v>61.488756600822086</v>
      </c>
      <c r="CX19" s="62">
        <f t="shared" si="14"/>
        <v>268.43080252293612</v>
      </c>
      <c r="CY19" s="62">
        <f ca="1">AVERAGE(OFFSET($CX$3,0,0,'Données projet'!$E$13+1,1))-AVERAGE(OFFSET($H$3,0,0,'Données projet'!$E$13+1,1))</f>
        <v>426.87921482911719</v>
      </c>
      <c r="CZ19" s="62">
        <f t="shared" si="42"/>
        <v>313.49594674441835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29.934676968962361</v>
      </c>
      <c r="DQ19" s="14">
        <f t="shared" si="43"/>
        <v>9.2875233828754098</v>
      </c>
      <c r="DR19" s="22">
        <f t="shared" si="16"/>
        <v>68.311998946117441</v>
      </c>
      <c r="DS19" s="62">
        <f t="shared" si="17"/>
        <v>275.25404486823152</v>
      </c>
      <c r="DT19" s="62">
        <f ca="1">AVERAGE(OFFSET($DS$3,0,0,'Données projet'!$E$14+1,1))-AVERAGE(OFFSET($H$3,0,0,'Données projet'!$E$14+1,1))</f>
        <v>500.25828825677058</v>
      </c>
      <c r="DU19" s="62">
        <f t="shared" si="44"/>
        <v>313.56299786481338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3.65</v>
      </c>
      <c r="EJ19" s="13">
        <f>IF('Données projet'!$A$192&gt;35,EJ18+EI19-ER18,IF(A19&lt;'Données projet'!$A$192,$EG$205^A19,IF(A19='Données projet'!$A$192,'Données projet'!$B$192,EJ18+EI19-ER18)))</f>
        <v>30.949831440200953</v>
      </c>
      <c r="EK19" s="18">
        <f>EJ19*VLOOKUP('Données projet'!$B$15,Paramètres!$A$1:$I$89,3,0)*VLOOKUP('Données projet'!$B$15,Paramètres!$A$1:$I$89,5,0)</f>
        <v>33.314398562232306</v>
      </c>
      <c r="EL19" s="14">
        <f t="shared" si="45"/>
        <v>10.208211980979948</v>
      </c>
      <c r="EM19" s="22">
        <f t="shared" si="19"/>
        <v>75.801880029428006</v>
      </c>
      <c r="EN19" s="62">
        <f t="shared" si="20"/>
        <v>282.74392595154205</v>
      </c>
      <c r="EO19" s="62">
        <f ca="1">AVERAGE(OFFSET($EN$3,0,0,'Données projet'!$E$15+1,1))-AVERAGE(OFFSET($H$3,0,0,'Données projet'!$E$15+1,1))</f>
        <v>548.17046467409421</v>
      </c>
      <c r="EP19" s="62">
        <f t="shared" si="46"/>
        <v>341.9250949809848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472.83070477639035</v>
      </c>
      <c r="T20" s="62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2">
        <f t="shared" si="5"/>
        <v>297.48876601578291</v>
      </c>
      <c r="AN20" s="62">
        <f ca="1">AVERAGE(OFFSET($AM$3,0,0,'Données projet'!$E$10+1,1))-AVERAGE(OFFSET($H$3,0,0,'Données projet'!$E$10+1,1))</f>
        <v>520.80494930257237</v>
      </c>
      <c r="AO20" s="62">
        <f t="shared" si="36"/>
        <v>325.72635759450861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8.1284210526315785</v>
      </c>
      <c r="BD20" s="13">
        <f>IF('Données projet'!$A$88&gt;35,BD19+BC20-BL19,IF(A20&lt;'Données projet'!$A$88,$BA$205^A20,IF(A20='Données projet'!$A$88,'Données projet'!$B$88,BD19+BC20-BL19)))</f>
        <v>90.858178358655039</v>
      </c>
      <c r="BE20" s="14">
        <f>BD20*VLOOKUP('Données projet'!$B$11,Paramètres!$A$1:$I$89,3,0)*VLOOKUP('Données projet'!$B$11,Paramètres!$A$1:$I$89,5,0)</f>
        <v>50.789721702488166</v>
      </c>
      <c r="BF20" s="14">
        <f t="shared" si="37"/>
        <v>14.817522352379566</v>
      </c>
      <c r="BG20" s="22">
        <f t="shared" si="7"/>
        <v>114.26595006222796</v>
      </c>
      <c r="BH20" s="62">
        <f t="shared" si="8"/>
        <v>323.6320743781007</v>
      </c>
      <c r="BI20" s="62">
        <f ca="1">AVERAGE(OFFSET($BH$3,0,0,'Données projet'!$E$11+1,1))-AVERAGE(OFFSET($H$3,0,0,'Données projet'!$E$11+1,1))</f>
        <v>321.60602866722138</v>
      </c>
      <c r="BJ20" s="62">
        <f t="shared" si="38"/>
        <v>375.18886653687389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87.2</v>
      </c>
      <c r="BZ20" s="14">
        <f>BY20*VLOOKUP('Données projet'!$B$12,Paramètres!$A$1:$I$89,3,0)*VLOOKUP('Données projet'!$B$12,Paramètres!$A$1:$I$89,5,0)</f>
        <v>47.611200000000004</v>
      </c>
      <c r="CA20" s="14">
        <f t="shared" si="39"/>
        <v>13.995094974431229</v>
      </c>
      <c r="CB20" s="22">
        <f t="shared" si="10"/>
        <v>107.29763041380107</v>
      </c>
      <c r="CC20" s="62">
        <f t="shared" si="11"/>
        <v>316.66375472967377</v>
      </c>
      <c r="CD20" s="62">
        <f ca="1">AVERAGE(OFFSET($CC$3,0,0,'Données projet'!$E$12+1,1))-AVERAGE(OFFSET($H$3,0,0,'Données projet'!$E$12+1,1))</f>
        <v>182.44246264133781</v>
      </c>
      <c r="CE20" s="62">
        <f t="shared" si="40"/>
        <v>262.5818213397049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8.5999472315574348</v>
      </c>
      <c r="CM20" s="23">
        <f>EXP(-LN(2)/2)*CM19+(1-EXP(-LN(2)/2))/(LN(2)/2)*CG20*CJ20*VLOOKUP('Données projet'!$B$12,Paramètres!$A$1:$I$89,3,0)*0.475*44/12</f>
        <v>0.27320786747551656</v>
      </c>
      <c r="CN20" s="24">
        <f t="shared" si="12"/>
        <v>8.8731550990329513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7.9</v>
      </c>
      <c r="CT20" s="13">
        <f>IF('Données projet'!$A$140&gt;35,CT19+CS20-DB19,IF(A20&lt;'Données projet'!$A$140,$CQ$205^A20,IF(A20='Données projet'!$A$140,'Données projet'!$B$140,CT19+CS20-DB19)))</f>
        <v>73.936437994095741</v>
      </c>
      <c r="CU20" s="18">
        <f>CT20*VLOOKUP('Données projet'!$B$13,Paramètres!$A$1:$I$89,3,0)*VLOOKUP('Données projet'!$B$13,Paramètres!$A$1:$I$89,5,0)</f>
        <v>34.602252981236802</v>
      </c>
      <c r="CV20" s="14">
        <f t="shared" si="41"/>
        <v>10.556129086190376</v>
      </c>
      <c r="CW20" s="22">
        <f t="shared" si="13"/>
        <v>78.650848767435647</v>
      </c>
      <c r="CX20" s="62">
        <f t="shared" si="14"/>
        <v>288.01697308330836</v>
      </c>
      <c r="CY20" s="62">
        <f ca="1">AVERAGE(OFFSET($CX$3,0,0,'Données projet'!$E$13+1,1))-AVERAGE(OFFSET($H$3,0,0,'Données projet'!$E$13+1,1))</f>
        <v>426.87921482911719</v>
      </c>
      <c r="CZ20" s="62">
        <f t="shared" si="42"/>
        <v>313.49594674441835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37.097164766113913</v>
      </c>
      <c r="DQ20" s="14">
        <f t="shared" si="43"/>
        <v>11.225909174194843</v>
      </c>
      <c r="DR20" s="22">
        <f t="shared" si="16"/>
        <v>84.162687112704418</v>
      </c>
      <c r="DS20" s="62">
        <f t="shared" si="17"/>
        <v>293.52881142857711</v>
      </c>
      <c r="DT20" s="62">
        <f ca="1">AVERAGE(OFFSET($DS$3,0,0,'Données projet'!$E$14+1,1))-AVERAGE(OFFSET($H$3,0,0,'Données projet'!$E$14+1,1))</f>
        <v>500.25828825677058</v>
      </c>
      <c r="DU20" s="62">
        <f t="shared" si="44"/>
        <v>313.56299786481338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3.65</v>
      </c>
      <c r="EJ20" s="13">
        <f>IF('Données projet'!$A$192&gt;35,EJ19+EI20-ER19,IF(A20&lt;'Données projet'!$A$192,$EG$205^A20,IF(A20='Données projet'!$A$192,'Données projet'!$B$192,EJ19+EI20-ER19)))</f>
        <v>38.355215845858055</v>
      </c>
      <c r="EK20" s="18">
        <f>EJ20*VLOOKUP('Données projet'!$B$15,Paramètres!$A$1:$I$89,3,0)*VLOOKUP('Données projet'!$B$15,Paramètres!$A$1:$I$89,5,0)</f>
        <v>41.28555433648161</v>
      </c>
      <c r="EL20" s="14">
        <f t="shared" si="45"/>
        <v>12.338753379690502</v>
      </c>
      <c r="EM20" s="22">
        <f t="shared" si="19"/>
        <v>93.39566927233308</v>
      </c>
      <c r="EN20" s="62">
        <f t="shared" si="20"/>
        <v>302.76179358820582</v>
      </c>
      <c r="EO20" s="62">
        <f ca="1">AVERAGE(OFFSET($EN$3,0,0,'Données projet'!$E$15+1,1))-AVERAGE(OFFSET($H$3,0,0,'Données projet'!$E$15+1,1))</f>
        <v>548.17046467409421</v>
      </c>
      <c r="EP20" s="62">
        <f t="shared" si="46"/>
        <v>341.9250949809848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472.83070477639035</v>
      </c>
      <c r="T21" s="62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2">
        <f t="shared" si="5"/>
        <v>320.35413206775308</v>
      </c>
      <c r="AN21" s="62">
        <f ca="1">AVERAGE(OFFSET($AM$3,0,0,'Données projet'!$E$10+1,1))-AVERAGE(OFFSET($H$3,0,0,'Données projet'!$E$10+1,1))</f>
        <v>520.80494930257237</v>
      </c>
      <c r="AO21" s="62">
        <f t="shared" si="36"/>
        <v>325.72635759450861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8.1284210526315785</v>
      </c>
      <c r="BD21" s="13">
        <f>IF('Données projet'!$A$88&gt;35,BD20+BC21-BL20,IF(A21&lt;'Données projet'!$A$88,$BA$205^A21,IF(A21='Données projet'!$A$88,'Données projet'!$B$88,BD20+BC21-BL20)))</f>
        <v>118.45732170579704</v>
      </c>
      <c r="BE21" s="14">
        <f>BD21*VLOOKUP('Données projet'!$B$11,Paramètres!$A$1:$I$89,3,0)*VLOOKUP('Données projet'!$B$11,Paramètres!$A$1:$I$89,5,0)</f>
        <v>66.217642833540552</v>
      </c>
      <c r="BF21" s="14">
        <f t="shared" si="37"/>
        <v>18.731149977658681</v>
      </c>
      <c r="BG21" s="22">
        <f t="shared" si="7"/>
        <v>147.95248081283867</v>
      </c>
      <c r="BH21" s="62">
        <f t="shared" si="8"/>
        <v>359.72183400484175</v>
      </c>
      <c r="BI21" s="62">
        <f ca="1">AVERAGE(OFFSET($BH$3,0,0,'Données projet'!$E$11+1,1))-AVERAGE(OFFSET($H$3,0,0,'Données projet'!$E$11+1,1))</f>
        <v>321.60602866722138</v>
      </c>
      <c r="BJ21" s="62">
        <f t="shared" si="38"/>
        <v>375.18886653687389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98.8</v>
      </c>
      <c r="BZ21" s="14">
        <f>BY21*VLOOKUP('Données projet'!$B$12,Paramètres!$A$1:$I$89,3,0)*VLOOKUP('Données projet'!$B$12,Paramètres!$A$1:$I$89,5,0)</f>
        <v>53.944799999999994</v>
      </c>
      <c r="CA21" s="14">
        <f t="shared" si="39"/>
        <v>15.627975445731314</v>
      </c>
      <c r="CB21" s="22">
        <f t="shared" si="10"/>
        <v>121.17258390131535</v>
      </c>
      <c r="CC21" s="62">
        <f t="shared" si="11"/>
        <v>332.94193709331847</v>
      </c>
      <c r="CD21" s="62">
        <f ca="1">AVERAGE(OFFSET($CC$3,0,0,'Données projet'!$E$12+1,1))-AVERAGE(OFFSET($H$3,0,0,'Données projet'!$E$12+1,1))</f>
        <v>182.44246264133781</v>
      </c>
      <c r="CE21" s="62">
        <f t="shared" si="40"/>
        <v>262.5818213397049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8.3647812222589266</v>
      </c>
      <c r="CM21" s="23">
        <f>EXP(-LN(2)/2)*CM20+(1-EXP(-LN(2)/2))/(LN(2)/2)*CG21*CJ21*VLOOKUP('Données projet'!$B$12,Paramètres!$A$1:$I$89,3,0)*0.475*44/12</f>
        <v>0.19318713576545338</v>
      </c>
      <c r="CN21" s="24">
        <f t="shared" si="12"/>
        <v>8.5579683580243806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7.9</v>
      </c>
      <c r="CT21" s="13">
        <f>IF('Données projet'!$A$140&gt;35,CT20+CS21-DB20,IF(A21&lt;'Données projet'!$A$140,$CQ$205^A21,IF(A21='Données projet'!$A$140,'Données projet'!$B$140,CT20+CS21-DB20)))</f>
        <v>95.233857990035276</v>
      </c>
      <c r="CU21" s="18">
        <f>CT21*VLOOKUP('Données projet'!$B$13,Paramètres!$A$1:$I$89,3,0)*VLOOKUP('Données projet'!$B$13,Paramètres!$A$1:$I$89,5,0)</f>
        <v>44.569445539336513</v>
      </c>
      <c r="CV21" s="14">
        <f t="shared" si="41"/>
        <v>13.202049673437019</v>
      </c>
      <c r="CW21" s="22">
        <f t="shared" si="13"/>
        <v>100.61868749558056</v>
      </c>
      <c r="CX21" s="62">
        <f t="shared" si="14"/>
        <v>312.38804068758367</v>
      </c>
      <c r="CY21" s="62">
        <f ca="1">AVERAGE(OFFSET($CX$3,0,0,'Données projet'!$E$13+1,1))-AVERAGE(OFFSET($H$3,0,0,'Données projet'!$E$13+1,1))</f>
        <v>426.87921482911719</v>
      </c>
      <c r="CZ21" s="62">
        <f t="shared" si="42"/>
        <v>313.49594674441835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45.973425238933089</v>
      </c>
      <c r="DQ21" s="14">
        <f t="shared" si="43"/>
        <v>13.56885270616201</v>
      </c>
      <c r="DR21" s="22">
        <f t="shared" si="16"/>
        <v>103.70280075437397</v>
      </c>
      <c r="DS21" s="62">
        <f t="shared" si="17"/>
        <v>315.47215394637709</v>
      </c>
      <c r="DT21" s="62">
        <f ca="1">AVERAGE(OFFSET($DS$3,0,0,'Données projet'!$E$14+1,1))-AVERAGE(OFFSET($H$3,0,0,'Données projet'!$E$14+1,1))</f>
        <v>500.25828825677058</v>
      </c>
      <c r="DU21" s="62">
        <f t="shared" si="44"/>
        <v>313.56299786481338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3.65</v>
      </c>
      <c r="EJ21" s="13">
        <f>IF('Données projet'!$A$192&gt;35,EJ20+EI21-ER20,IF(A21&lt;'Données projet'!$A$192,$EG$205^A21,IF(A21='Données projet'!$A$192,'Données projet'!$B$192,EJ20+EI21-ER20)))</f>
        <v>47.532490941824946</v>
      </c>
      <c r="EK21" s="18">
        <f>EJ21*VLOOKUP('Données projet'!$B$15,Paramètres!$A$1:$I$89,3,0)*VLOOKUP('Données projet'!$B$15,Paramètres!$A$1:$I$89,5,0)</f>
        <v>51.163973249780369</v>
      </c>
      <c r="EL21" s="14">
        <f t="shared" si="45"/>
        <v>14.913957042476</v>
      </c>
      <c r="EM21" s="22">
        <f t="shared" si="19"/>
        <v>115.08572859234651</v>
      </c>
      <c r="EN21" s="62">
        <f t="shared" si="20"/>
        <v>326.85508178434964</v>
      </c>
      <c r="EO21" s="62">
        <f ca="1">AVERAGE(OFFSET($EN$3,0,0,'Données projet'!$E$15+1,1))-AVERAGE(OFFSET($H$3,0,0,'Données projet'!$E$15+1,1))</f>
        <v>548.17046467409421</v>
      </c>
      <c r="EP21" s="62">
        <f t="shared" si="46"/>
        <v>341.9250949809848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472.83070477639035</v>
      </c>
      <c r="T22" s="62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2">
        <f t="shared" si="5"/>
        <v>347.96496845689671</v>
      </c>
      <c r="AN22" s="62">
        <f ca="1">AVERAGE(OFFSET($AM$3,0,0,'Données projet'!$E$10+1,1))-AVERAGE(OFFSET($H$3,0,0,'Données projet'!$E$10+1,1))</f>
        <v>520.80494930257237</v>
      </c>
      <c r="AO22" s="62">
        <f t="shared" si="36"/>
        <v>325.72635759450861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154.44</v>
      </c>
      <c r="BB22" s="13">
        <f>VLOOKUP(A22,'Données projet'!$A$87:$I$107,9,0)</f>
        <v>8.1284210526315785</v>
      </c>
      <c r="BC22" s="13">
        <f t="array" ref="BC22">INDEX(BB:BB,MIN(IF(ISNUMBER(BB22:BB218),ROW(BB22:BB218),"")))</f>
        <v>8.1284210526315785</v>
      </c>
      <c r="BD22" s="13">
        <f>IF('Données projet'!$A$88&gt;35,BD21+BC22-BL21,IF(A22&lt;'Données projet'!$A$88,$BA$205^A22,IF(A22='Données projet'!$A$88,'Données projet'!$B$88,BD21+BC22-BL21)))</f>
        <v>154.44</v>
      </c>
      <c r="BE22" s="14">
        <f>BD22*VLOOKUP('Données projet'!$B$11,Paramètres!$A$1:$I$89,3,0)*VLOOKUP('Données projet'!$B$11,Paramètres!$A$1:$I$89,5,0)</f>
        <v>86.331959999999995</v>
      </c>
      <c r="BF22" s="14">
        <f t="shared" si="37"/>
        <v>23.67845117029286</v>
      </c>
      <c r="BG22" s="22">
        <f t="shared" si="7"/>
        <v>191.60146612159338</v>
      </c>
      <c r="BH22" s="62">
        <f t="shared" si="8"/>
        <v>405.75356036461687</v>
      </c>
      <c r="BI22" s="62">
        <f ca="1">AVERAGE(OFFSET($BH$3,0,0,'Données projet'!$E$11+1,1))-AVERAGE(OFFSET($H$3,0,0,'Données projet'!$E$11+1,1))</f>
        <v>321.60602866722138</v>
      </c>
      <c r="BJ22" s="62">
        <f t="shared" si="38"/>
        <v>375.18886653687389</v>
      </c>
      <c r="BK22" s="16">
        <f>IF(ISNA(VLOOKUP(A22,'Données projet'!$A$87:$I$107,3,0)),0,VLOOKUP(A22,'Données projet'!$A$87:$I$107,3,0))</f>
        <v>1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110.39999999999999</v>
      </c>
      <c r="BZ22" s="14">
        <f>BY22*VLOOKUP('Données projet'!$B$12,Paramètres!$A$1:$I$89,3,0)*VLOOKUP('Données projet'!$B$12,Paramètres!$A$1:$I$89,5,0)</f>
        <v>60.278399999999998</v>
      </c>
      <c r="CA22" s="14">
        <f t="shared" si="39"/>
        <v>17.238638291828391</v>
      </c>
      <c r="CB22" s="22">
        <f t="shared" si="10"/>
        <v>135.00884169160111</v>
      </c>
      <c r="CC22" s="62">
        <f t="shared" si="11"/>
        <v>349.1609359346246</v>
      </c>
      <c r="CD22" s="62">
        <f ca="1">AVERAGE(OFFSET($CC$3,0,0,'Données projet'!$E$12+1,1))-AVERAGE(OFFSET($H$3,0,0,'Données projet'!$E$12+1,1))</f>
        <v>182.44246264133781</v>
      </c>
      <c r="CE22" s="62">
        <f t="shared" si="40"/>
        <v>262.5818213397049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8.1360458398515298</v>
      </c>
      <c r="CM22" s="23">
        <f>EXP(-LN(2)/2)*CM21+(1-EXP(-LN(2)/2))/(LN(2)/2)*CG22*CJ22*VLOOKUP('Données projet'!$B$12,Paramètres!$A$1:$I$89,3,0)*0.475*44/12</f>
        <v>0.13660393373775831</v>
      </c>
      <c r="CN22" s="24">
        <f t="shared" si="12"/>
        <v>8.2726497735892881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7.9</v>
      </c>
      <c r="CT22" s="13">
        <f>IF('Données projet'!$A$140&gt;35,CT21+CS22-DB21,IF(A22&lt;'Données projet'!$A$140,$CQ$205^A22,IF(A22='Données projet'!$A$140,'Données projet'!$B$140,CT21+CS22-DB21)))</f>
        <v>122.66600817840934</v>
      </c>
      <c r="CU22" s="18">
        <f>CT22*VLOOKUP('Données projet'!$B$13,Paramètres!$A$1:$I$89,3,0)*VLOOKUP('Données projet'!$B$13,Paramètres!$A$1:$I$89,5,0)</f>
        <v>57.407691827495569</v>
      </c>
      <c r="CV22" s="14">
        <f t="shared" si="41"/>
        <v>16.511176981334152</v>
      </c>
      <c r="CW22" s="22">
        <f t="shared" si="13"/>
        <v>128.7420298420451</v>
      </c>
      <c r="CX22" s="62">
        <f t="shared" si="14"/>
        <v>342.8941240850686</v>
      </c>
      <c r="CY22" s="62">
        <f ca="1">AVERAGE(OFFSET($CX$3,0,0,'Données projet'!$E$13+1,1))-AVERAGE(OFFSET($H$3,0,0,'Données projet'!$E$13+1,1))</f>
        <v>426.87921482911719</v>
      </c>
      <c r="CZ22" s="62">
        <f t="shared" si="42"/>
        <v>313.49594674441835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56.973513785354818</v>
      </c>
      <c r="DQ22" s="14">
        <f t="shared" si="43"/>
        <v>16.400788649238766</v>
      </c>
      <c r="DR22" s="22">
        <f t="shared" si="16"/>
        <v>127.7935767402505</v>
      </c>
      <c r="DS22" s="62">
        <f t="shared" si="17"/>
        <v>341.945670983274</v>
      </c>
      <c r="DT22" s="62">
        <f ca="1">AVERAGE(OFFSET($DS$3,0,0,'Données projet'!$E$14+1,1))-AVERAGE(OFFSET($H$3,0,0,'Données projet'!$E$14+1,1))</f>
        <v>500.25828825677058</v>
      </c>
      <c r="DU22" s="62">
        <f t="shared" si="44"/>
        <v>313.56299786481338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3.65</v>
      </c>
      <c r="EJ22" s="13">
        <f>IF('Données projet'!$A$192&gt;35,EJ21+EI22-ER21,IF(A22&lt;'Données projet'!$A$192,$EG$205^A22,IF(A22='Données projet'!$A$192,'Données projet'!$B$192,EJ21+EI22-ER21)))</f>
        <v>58.90561805764559</v>
      </c>
      <c r="EK22" s="18">
        <f>EJ22*VLOOKUP('Données projet'!$B$15,Paramètres!$A$1:$I$89,3,0)*VLOOKUP('Données projet'!$B$15,Paramètres!$A$1:$I$89,5,0)</f>
        <v>63.406007277249707</v>
      </c>
      <c r="EL22" s="14">
        <f t="shared" si="45"/>
        <v>18.026627797823672</v>
      </c>
      <c r="EM22" s="22">
        <f t="shared" si="19"/>
        <v>141.82850608908612</v>
      </c>
      <c r="EN22" s="62">
        <f t="shared" si="20"/>
        <v>355.98060033210965</v>
      </c>
      <c r="EO22" s="62">
        <f ca="1">AVERAGE(OFFSET($EN$3,0,0,'Données projet'!$E$15+1,1))-AVERAGE(OFFSET($H$3,0,0,'Données projet'!$E$15+1,1))</f>
        <v>548.17046467409421</v>
      </c>
      <c r="EP22" s="62">
        <f t="shared" si="46"/>
        <v>341.9250949809848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472.83070477639035</v>
      </c>
      <c r="T23" s="62">
        <f t="shared" si="34"/>
        <v>297.32483725004136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2">
        <f t="shared" si="5"/>
        <v>381.43484595601308</v>
      </c>
      <c r="AN23" s="62">
        <f ca="1">AVERAGE(OFFSET($AM$3,0,0,'Données projet'!$E$10+1,1))-AVERAGE(OFFSET($H$3,0,0,'Données projet'!$E$10+1,1))</f>
        <v>520.80494930257237</v>
      </c>
      <c r="AO23" s="62">
        <f t="shared" si="36"/>
        <v>325.72635759450861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20.355000000000004</v>
      </c>
      <c r="BD23" s="13">
        <f>IF('Données projet'!$A$88&gt;35,BD22+BC23-BL22,IF(A23&lt;'Données projet'!$A$88,$BA$205^A23,IF(A23='Données projet'!$A$88,'Données projet'!$B$88,BD22+BC23-BL22)))</f>
        <v>174.79500000000002</v>
      </c>
      <c r="BE23" s="14">
        <f>BD23*VLOOKUP('Données projet'!$B$11,Paramètres!$A$1:$I$89,3,0)*VLOOKUP('Données projet'!$B$11,Paramètres!$A$1:$I$89,5,0)</f>
        <v>97.710405000000009</v>
      </c>
      <c r="BF23" s="14">
        <f t="shared" si="37"/>
        <v>26.41579998765167</v>
      </c>
      <c r="BG23" s="22">
        <f t="shared" si="7"/>
        <v>216.18647368682664</v>
      </c>
      <c r="BH23" s="62">
        <f t="shared" si="8"/>
        <v>432.70117657372236</v>
      </c>
      <c r="BI23" s="62">
        <f ca="1">AVERAGE(OFFSET($BH$3,0,0,'Données projet'!$E$11+1,1))-AVERAGE(OFFSET($H$3,0,0,'Données projet'!$E$11+1,1))</f>
        <v>321.60602866722138</v>
      </c>
      <c r="BJ23" s="62">
        <f t="shared" si="38"/>
        <v>375.18886653687389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122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121.99999999999999</v>
      </c>
      <c r="BZ23" s="14">
        <f>BY23*VLOOKUP('Données projet'!$B$12,Paramètres!$A$1:$I$89,3,0)*VLOOKUP('Données projet'!$B$12,Paramètres!$A$1:$I$89,5,0)</f>
        <v>66.611999999999995</v>
      </c>
      <c r="CA23" s="14">
        <f t="shared" si="39"/>
        <v>18.829683939536395</v>
      </c>
      <c r="CB23" s="22">
        <f t="shared" si="10"/>
        <v>148.81093286135922</v>
      </c>
      <c r="CC23" s="62">
        <f t="shared" si="11"/>
        <v>365.32563574825497</v>
      </c>
      <c r="CD23" s="62">
        <f ca="1">AVERAGE(OFFSET($CC$3,0,0,'Données projet'!$E$12+1,1))-AVERAGE(OFFSET($H$3,0,0,'Données projet'!$E$12+1,1))</f>
        <v>182.44246264133781</v>
      </c>
      <c r="CE23" s="62">
        <f t="shared" si="40"/>
        <v>262.5818213397049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24</v>
      </c>
      <c r="CH23" s="17">
        <f>IF(ISNA(VLOOKUP(A23,'Données projet'!$A$113:$I$133,5,0)),0%,VLOOKUP(A23,'Données projet'!$A$113:$I$133,5,0)*VLOOKUP('Données projet'!$B$12,Paramètres!$A$1:$I$89,7,0))</f>
        <v>0.12</v>
      </c>
      <c r="CI23" s="17">
        <f>IF(ISNA(VLOOKUP(A23,'Données projet'!$A$113:$I$133,6,0)),0%,VLOOKUP(A23,'Données projet'!$A$113:$I$133,6,0)*VLOOKUP('Données projet'!$B$12,Paramètres!$A$1:$I$89,7,0))</f>
        <v>0.48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2.0859960748895681</v>
      </c>
      <c r="CL23" s="23">
        <f>EXP(-LN(2)/25)*CL22+(1-EXP(-LN(2)/25))/(LN(2)/25)*Calculateur!CG23*Calculateur!CI23*VLOOKUP('Données projet'!$B$12,Paramètres!$A$1:$I$89,3,0)*0.475*44/12</f>
        <v>16.224696092568372</v>
      </c>
      <c r="CM23" s="23">
        <f>EXP(-LN(2)/2)*CM22+(1-EXP(-LN(2)/2))/(LN(2)/2)*CG23*CJ23*VLOOKUP('Données projet'!$B$12,Paramètres!$A$1:$I$89,3,0)*0.475*44/12</f>
        <v>9.6593567882726702E-2</v>
      </c>
      <c r="CN23" s="24">
        <f t="shared" si="12"/>
        <v>18.407285735340668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158</v>
      </c>
      <c r="CR23" s="13">
        <f>VLOOKUP(A23,'Données projet'!$A$139:$I$159,9,0)</f>
        <v>7.9</v>
      </c>
      <c r="CS23" s="13">
        <f t="array" ref="CS23">INDEX(CR:CR,MIN(IF(ISNUMBER(CR23:CR219),ROW(CR23:CR219),"")))</f>
        <v>7.9</v>
      </c>
      <c r="CT23" s="13">
        <f>IF('Données projet'!$A$140&gt;35,CT22+CS23-DB22,IF(A23&lt;'Données projet'!$A$140,$CQ$205^A23,IF(A23='Données projet'!$A$140,'Données projet'!$B$140,CT22+CS23-DB22)))</f>
        <v>158</v>
      </c>
      <c r="CU23" s="18">
        <f>CT23*VLOOKUP('Données projet'!$B$13,Paramètres!$A$1:$I$89,3,0)*VLOOKUP('Données projet'!$B$13,Paramètres!$A$1:$I$89,5,0)</f>
        <v>73.944000000000003</v>
      </c>
      <c r="CV23" s="14">
        <f t="shared" si="41"/>
        <v>20.649745460165708</v>
      </c>
      <c r="CW23" s="22">
        <f t="shared" si="13"/>
        <v>164.75077334312192</v>
      </c>
      <c r="CX23" s="62">
        <f t="shared" si="14"/>
        <v>381.26547623001761</v>
      </c>
      <c r="CY23" s="62">
        <f ca="1">AVERAGE(OFFSET($CX$3,0,0,'Données projet'!$E$13+1,1))-AVERAGE(OFFSET($H$3,0,0,'Données projet'!$E$13+1,1))</f>
        <v>426.87921482911719</v>
      </c>
      <c r="CZ23" s="62">
        <f t="shared" si="42"/>
        <v>313.49594674441835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70.605599999999995</v>
      </c>
      <c r="DQ23" s="14">
        <f t="shared" si="43"/>
        <v>19.823773913828742</v>
      </c>
      <c r="DR23" s="22">
        <f t="shared" si="16"/>
        <v>157.49782623325171</v>
      </c>
      <c r="DS23" s="62">
        <f t="shared" si="17"/>
        <v>374.01252912014741</v>
      </c>
      <c r="DT23" s="62">
        <f ca="1">AVERAGE(OFFSET($DS$3,0,0,'Données projet'!$E$14+1,1))-AVERAGE(OFFSET($H$3,0,0,'Données projet'!$E$14+1,1))</f>
        <v>500.25828825677058</v>
      </c>
      <c r="DU23" s="62">
        <f t="shared" si="44"/>
        <v>313.56299786481338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6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1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5.475475390837989</v>
      </c>
      <c r="ED23" s="24">
        <f t="shared" si="18"/>
        <v>5.475475390837989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73</v>
      </c>
      <c r="EH23" s="13">
        <f>VLOOKUP(A23,'Données projet'!$A$191:$I$211,9,0)</f>
        <v>3.65</v>
      </c>
      <c r="EI23" s="13">
        <f t="array" ref="EI23">INDEX(EH:EH,MIN(IF(ISNUMBER(EH23:EH219),ROW(EH23:EH219),"")))</f>
        <v>3.65</v>
      </c>
      <c r="EJ23" s="13">
        <f>IF('Données projet'!$A$192&gt;35,EJ22+EI23-ER22,IF(A23&lt;'Données projet'!$A$192,$EG$205^A23,IF(A23='Données projet'!$A$192,'Données projet'!$B$192,EJ22+EI23-ER22)))</f>
        <v>73</v>
      </c>
      <c r="EK23" s="18">
        <f>EJ23*VLOOKUP('Données projet'!$B$15,Paramètres!$A$1:$I$89,3,0)*VLOOKUP('Données projet'!$B$15,Paramètres!$A$1:$I$89,5,0)</f>
        <v>78.577200000000005</v>
      </c>
      <c r="EL23" s="14">
        <f t="shared" si="45"/>
        <v>21.788939637935243</v>
      </c>
      <c r="EM23" s="22">
        <f t="shared" si="19"/>
        <v>174.8043598694039</v>
      </c>
      <c r="EN23" s="62">
        <f t="shared" si="20"/>
        <v>391.31906275629962</v>
      </c>
      <c r="EO23" s="62">
        <f ca="1">AVERAGE(OFFSET($EN$3,0,0,'Données projet'!$E$15+1,1))-AVERAGE(OFFSET($H$3,0,0,'Données projet'!$E$15+1,1))</f>
        <v>548.17046467409421</v>
      </c>
      <c r="EP23" s="62">
        <f t="shared" si="46"/>
        <v>341.9250949809848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1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6.0936742252874376</v>
      </c>
      <c r="EY23" s="24">
        <f t="shared" si="21"/>
        <v>6.0936742252874376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368.80929029089941</v>
      </c>
      <c r="S24" s="62">
        <f ca="1">AVERAGE(OFFSET($R$3,0,0,'Données projet'!$E$9+1,1))-AVERAGE(OFFSET($H$3,0,0,'Données projet'!$E$9+1,1))</f>
        <v>472.83070477639035</v>
      </c>
      <c r="T24" s="62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75.238800000000012</v>
      </c>
      <c r="AK24" s="14">
        <f t="shared" si="35"/>
        <v>20.96892143970209</v>
      </c>
      <c r="AL24" s="22">
        <f t="shared" si="4"/>
        <v>167.56178150748116</v>
      </c>
      <c r="AM24" s="62">
        <f t="shared" si="5"/>
        <v>386.41930988335554</v>
      </c>
      <c r="AN24" s="62">
        <f ca="1">AVERAGE(OFFSET($AM$3,0,0,'Données projet'!$E$10+1,1))-AVERAGE(OFFSET($H$3,0,0,'Données projet'!$E$10+1,1))</f>
        <v>520.80494930257237</v>
      </c>
      <c r="AO24" s="62">
        <f t="shared" si="36"/>
        <v>325.72635759450861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195.15</v>
      </c>
      <c r="BB24" s="13">
        <f>VLOOKUP(A24,'Données projet'!$A$87:$I$107,9,0)</f>
        <v>20.355000000000004</v>
      </c>
      <c r="BC24" s="13">
        <f t="array" ref="BC24">INDEX(BB:BB,MIN(IF(ISNUMBER(BB24:BB220),ROW(BB24:BB220),"")))</f>
        <v>20.355000000000004</v>
      </c>
      <c r="BD24" s="13">
        <f>IF('Données projet'!$A$88&gt;35,BD23+BC24-BL23,IF(A24&lt;'Données projet'!$A$88,$BA$205^A24,IF(A24='Données projet'!$A$88,'Données projet'!$B$88,BD23+BC24-BL23)))</f>
        <v>195.15000000000003</v>
      </c>
      <c r="BE24" s="14">
        <f>BD24*VLOOKUP('Données projet'!$B$11,Paramètres!$A$1:$I$89,3,0)*VLOOKUP('Données projet'!$B$11,Paramètres!$A$1:$I$89,5,0)</f>
        <v>109.08885000000002</v>
      </c>
      <c r="BF24" s="14">
        <f t="shared" si="37"/>
        <v>29.116206715124498</v>
      </c>
      <c r="BG24" s="22">
        <f t="shared" si="7"/>
        <v>240.70714044550854</v>
      </c>
      <c r="BH24" s="62">
        <f t="shared" si="8"/>
        <v>459.56466882138295</v>
      </c>
      <c r="BI24" s="62">
        <f ca="1">AVERAGE(OFFSET($BH$3,0,0,'Données projet'!$E$11+1,1))-AVERAGE(OFFSET($H$3,0,0,'Données projet'!$E$11+1,1))</f>
        <v>321.60602866722138</v>
      </c>
      <c r="BJ24" s="62">
        <f t="shared" si="38"/>
        <v>375.18886653687389</v>
      </c>
      <c r="BK24" s="16">
        <f>IF(ISNA(VLOOKUP(A24,'Données projet'!$A$87:$I$107,3,0)),0,VLOOKUP(A24,'Données projet'!$A$87:$I$107,3,0))</f>
        <v>2</v>
      </c>
      <c r="BL24" s="16">
        <f>IF(ISNA(VLOOKUP(A24,'Données projet'!$A$87:$I$107,4,0)),0,VLOOKUP(A24,'Données projet'!$A$87:$I$107,4,0))</f>
        <v>64.58</v>
      </c>
      <c r="BM24" s="17">
        <f>IF(ISNA(VLOOKUP(A24,'Données projet'!$A$87:$I$107,5,0)),0%,VLOOKUP(A24,'Données projet'!$A$87:$I$107,5,0)*VLOOKUP('Données projet'!$B$11,Paramètres!$A$1:$I$89,7,0))</f>
        <v>5.5000000000000007E-2</v>
      </c>
      <c r="BN24" s="17">
        <f>IF(ISNA(VLOOKUP(A24,'Données projet'!$A$87:$I$107,6,0)),0%,VLOOKUP(A24,'Données projet'!$A$87:$I$107,6,0)*VLOOKUP('Données projet'!$B$11,Paramètres!$A$1:$I$89,7,0))</f>
        <v>0.22000000000000003</v>
      </c>
      <c r="BO24" s="17">
        <f>IF(ISNA(VLOOKUP(A24,'Données projet'!$A$87:$I$107,7,0)),0%,VLOOKUP(A24,'Données projet'!$A$87:$I$107,7,0))</f>
        <v>0.5</v>
      </c>
      <c r="BP24" s="23">
        <f>EXP(-LN(2)/35)*BP23+(1-EXP(-LN(2)/35))/(LN(2)/35)*BL24*BM24*VLOOKUP('Données projet'!$B$11,Paramètres!$A$1:$I$89,3,0)*0.475*44/12</f>
        <v>2.6339097777051177</v>
      </c>
      <c r="BQ24" s="23">
        <f>EXP(-LN(2)/25)*BQ23+(1-EXP(-LN(2)/25))/(LN(2)/25)*Calculateur!BL24*Calculateur!BN24*VLOOKUP('Données projet'!$B$11,Paramètres!$A$1:$I$89,3,0)*0.475*44/12</f>
        <v>10.494156285247946</v>
      </c>
      <c r="BR24" s="23">
        <f>EXP(-LN(2)/2)*BR23+(1-EXP(-LN(2)/2))/(LN(2)/2)*BL24*BO24*VLOOKUP('Données projet'!$B$11,Paramètres!$A$1:$I$89,3,0)*0.475*44/12</f>
        <v>20.436917515905439</v>
      </c>
      <c r="BS24" s="24">
        <f t="shared" si="9"/>
        <v>33.564983578858502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108.6</v>
      </c>
      <c r="BZ24" s="14">
        <f>BY24*VLOOKUP('Données projet'!$B$12,Paramètres!$A$1:$I$89,3,0)*VLOOKUP('Données projet'!$B$12,Paramètres!$A$1:$I$89,5,0)</f>
        <v>59.295599999999993</v>
      </c>
      <c r="CA24" s="14">
        <f t="shared" si="39"/>
        <v>16.990052370780411</v>
      </c>
      <c r="CB24" s="22">
        <f t="shared" si="10"/>
        <v>132.86417787910921</v>
      </c>
      <c r="CC24" s="62">
        <f t="shared" si="11"/>
        <v>351.72170625498359</v>
      </c>
      <c r="CD24" s="62">
        <f ca="1">AVERAGE(OFFSET($CC$3,0,0,'Données projet'!$E$12+1,1))-AVERAGE(OFFSET($H$3,0,0,'Données projet'!$E$12+1,1))</f>
        <v>182.44246264133781</v>
      </c>
      <c r="CE24" s="62">
        <f t="shared" si="40"/>
        <v>262.5818213397049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2.0450909641929571</v>
      </c>
      <c r="CL24" s="23">
        <f>EXP(-LN(2)/25)*CL23+(1-EXP(-LN(2)/25))/(LN(2)/25)*Calculateur!CG24*Calculateur!CI24*VLOOKUP('Données projet'!$B$12,Paramètres!$A$1:$I$89,3,0)*0.475*44/12</f>
        <v>15.781030924697404</v>
      </c>
      <c r="CM24" s="23">
        <f>EXP(-LN(2)/2)*CM23+(1-EXP(-LN(2)/2))/(LN(2)/2)*CG24*CJ24*VLOOKUP('Données projet'!$B$12,Paramètres!$A$1:$I$89,3,0)*0.475*44/12</f>
        <v>6.8301966868879155E-2</v>
      </c>
      <c r="CN24" s="24">
        <f t="shared" si="12"/>
        <v>17.894423855759243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9.1999999999999993</v>
      </c>
      <c r="CT24" s="13">
        <f>IF('Données projet'!$A$140&gt;35,CT23+CS24-DB23,IF(A24&lt;'Données projet'!$A$140,$CQ$205^A24,IF(A24='Données projet'!$A$140,'Données projet'!$B$140,CT23+CS24-DB23)))</f>
        <v>167.2</v>
      </c>
      <c r="CU24" s="18">
        <f>CT24*VLOOKUP('Données projet'!$B$13,Paramètres!$A$1:$I$89,3,0)*VLOOKUP('Données projet'!$B$13,Paramètres!$A$1:$I$89,5,0)</f>
        <v>78.249599999999987</v>
      </c>
      <c r="CV24" s="14">
        <f t="shared" si="41"/>
        <v>21.708652740239781</v>
      </c>
      <c r="CW24" s="22">
        <f t="shared" si="13"/>
        <v>174.09395685591758</v>
      </c>
      <c r="CX24" s="62">
        <f t="shared" si="14"/>
        <v>392.95148523179193</v>
      </c>
      <c r="CY24" s="62">
        <f ca="1">AVERAGE(OFFSET($CX$3,0,0,'Données projet'!$E$13+1,1))-AVERAGE(OFFSET($H$3,0,0,'Données projet'!$E$13+1,1))</f>
        <v>426.87921482911719</v>
      </c>
      <c r="CZ24" s="62">
        <f t="shared" si="42"/>
        <v>313.49594674441835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74.2</v>
      </c>
      <c r="DP24" s="18">
        <f>DO24*VLOOKUP('Données projet'!$B$14,Paramètres!$A$1:$I$89,3,0)*VLOOKUP('Données projet'!$B$14,Paramètres!$A$1:$I$89,5,0)</f>
        <v>71.76624000000001</v>
      </c>
      <c r="DQ24" s="14">
        <f t="shared" si="43"/>
        <v>20.111439068025625</v>
      </c>
      <c r="DR24" s="22">
        <f t="shared" si="16"/>
        <v>160.02029104347795</v>
      </c>
      <c r="DS24" s="62">
        <f t="shared" si="17"/>
        <v>378.87781941935236</v>
      </c>
      <c r="DT24" s="62">
        <f ca="1">AVERAGE(OFFSET($DS$3,0,0,'Données projet'!$E$14+1,1))-AVERAGE(OFFSET($H$3,0,0,'Données projet'!$E$14+1,1))</f>
        <v>500.25828825677058</v>
      </c>
      <c r="DU24" s="62">
        <f t="shared" si="44"/>
        <v>313.56299786481338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3.8717457790816039</v>
      </c>
      <c r="ED24" s="24">
        <f t="shared" si="18"/>
        <v>3.8717457790816039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7.2</v>
      </c>
      <c r="EJ24" s="13">
        <f>IF('Données projet'!$A$192&gt;35,EJ23+EI24-ER23,IF(A24&lt;'Données projet'!$A$192,$EG$205^A24,IF(A24='Données projet'!$A$192,'Données projet'!$B$192,EJ23+EI24-ER23)))</f>
        <v>74.2</v>
      </c>
      <c r="EK24" s="18">
        <f>EJ24*VLOOKUP('Données projet'!$B$15,Paramètres!$A$1:$I$89,3,0)*VLOOKUP('Données projet'!$B$15,Paramètres!$A$1:$I$89,5,0)</f>
        <v>79.868880000000004</v>
      </c>
      <c r="EL24" s="14">
        <f t="shared" si="45"/>
        <v>22.105121546989441</v>
      </c>
      <c r="EM24" s="22">
        <f t="shared" si="19"/>
        <v>177.6047193610066</v>
      </c>
      <c r="EN24" s="62">
        <f t="shared" si="20"/>
        <v>396.46224773688095</v>
      </c>
      <c r="EO24" s="62">
        <f ca="1">AVERAGE(OFFSET($EN$3,0,0,'Données projet'!$E$15+1,1))-AVERAGE(OFFSET($H$3,0,0,'Données projet'!$E$15+1,1))</f>
        <v>548.17046467409421</v>
      </c>
      <c r="EP24" s="62">
        <f t="shared" si="46"/>
        <v>341.9250949809848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4.3088783670424293</v>
      </c>
      <c r="EY24" s="24">
        <f t="shared" si="21"/>
        <v>4.3088783670424293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385.29482020389531</v>
      </c>
      <c r="S25" s="62">
        <f ca="1">AVERAGE(OFFSET($R$3,0,0,'Données projet'!$E$9+1,1))-AVERAGE(OFFSET($H$3,0,0,'Données projet'!$E$9+1,1))</f>
        <v>472.83070477639035</v>
      </c>
      <c r="T25" s="62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82.539600000000007</v>
      </c>
      <c r="AK25" s="14">
        <f t="shared" si="35"/>
        <v>22.756995627482848</v>
      </c>
      <c r="AL25" s="22">
        <f t="shared" si="4"/>
        <v>183.39157071786599</v>
      </c>
      <c r="AM25" s="62">
        <f t="shared" si="5"/>
        <v>404.57248462133441</v>
      </c>
      <c r="AN25" s="62">
        <f ca="1">AVERAGE(OFFSET($AM$3,0,0,'Données projet'!$E$10+1,1))-AVERAGE(OFFSET($H$3,0,0,'Données projet'!$E$10+1,1))</f>
        <v>520.80494930257237</v>
      </c>
      <c r="AO25" s="62">
        <f t="shared" si="36"/>
        <v>325.72635759450861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21.612857142857145</v>
      </c>
      <c r="BD25" s="13">
        <f>IF('Données projet'!$A$88&gt;35,BD24+BC25-BL24,IF(A25&lt;'Données projet'!$A$88,$BA$205^A25,IF(A25='Données projet'!$A$88,'Données projet'!$B$88,BD24+BC25-BL24)))</f>
        <v>152.18285714285719</v>
      </c>
      <c r="BE25" s="14">
        <f>BD25*VLOOKUP('Données projet'!$B$11,Paramètres!$A$1:$I$89,3,0)*VLOOKUP('Données projet'!$B$11,Paramètres!$A$1:$I$89,5,0)</f>
        <v>85.070217142857175</v>
      </c>
      <c r="BF25" s="14">
        <f t="shared" si="37"/>
        <v>23.372410230575955</v>
      </c>
      <c r="BG25" s="22">
        <f t="shared" si="7"/>
        <v>188.87090934206267</v>
      </c>
      <c r="BH25" s="62">
        <f t="shared" si="8"/>
        <v>410.05182324553107</v>
      </c>
      <c r="BI25" s="62">
        <f ca="1">AVERAGE(OFFSET($BH$3,0,0,'Données projet'!$E$11+1,1))-AVERAGE(OFFSET($H$3,0,0,'Données projet'!$E$11+1,1))</f>
        <v>321.60602866722138</v>
      </c>
      <c r="BJ25" s="62">
        <f t="shared" si="38"/>
        <v>375.18886653687389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2.5822604134906535</v>
      </c>
      <c r="BQ25" s="23">
        <f>EXP(-LN(2)/25)*BQ24+(1-EXP(-LN(2)/25))/(LN(2)/25)*Calculateur!BL25*Calculateur!BN25*VLOOKUP('Données projet'!$B$11,Paramètres!$A$1:$I$89,3,0)*0.475*44/12</f>
        <v>10.207193029764147</v>
      </c>
      <c r="BR25" s="23">
        <f>EXP(-LN(2)/2)*BR24+(1-EXP(-LN(2)/2))/(LN(2)/2)*BL25*BO25*VLOOKUP('Données projet'!$B$11,Paramètres!$A$1:$I$89,3,0)*0.475*44/12</f>
        <v>14.451082962046868</v>
      </c>
      <c r="BS25" s="24">
        <f t="shared" si="9"/>
        <v>27.240536405301668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119.19999999999999</v>
      </c>
      <c r="BZ25" s="14">
        <f>BY25*VLOOKUP('Données projet'!$B$12,Paramètres!$A$1:$I$89,3,0)*VLOOKUP('Données projet'!$B$12,Paramètres!$A$1:$I$89,5,0)</f>
        <v>65.083199999999991</v>
      </c>
      <c r="CA25" s="14">
        <f t="shared" si="39"/>
        <v>18.447315830328332</v>
      </c>
      <c r="CB25" s="22">
        <f t="shared" si="10"/>
        <v>145.48231507115517</v>
      </c>
      <c r="CC25" s="62">
        <f t="shared" si="11"/>
        <v>366.66322897462356</v>
      </c>
      <c r="CD25" s="62">
        <f ca="1">AVERAGE(OFFSET($CC$3,0,0,'Données projet'!$E$12+1,1))-AVERAGE(OFFSET($H$3,0,0,'Données projet'!$E$12+1,1))</f>
        <v>182.44246264133781</v>
      </c>
      <c r="CE25" s="62">
        <f t="shared" si="40"/>
        <v>262.5818213397049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2.0049879777674526</v>
      </c>
      <c r="CL25" s="23">
        <f>EXP(-LN(2)/25)*CL24+(1-EXP(-LN(2)/25))/(LN(2)/25)*Calculateur!CG25*Calculateur!CI25*VLOOKUP('Données projet'!$B$12,Paramètres!$A$1:$I$89,3,0)*0.475*44/12</f>
        <v>15.349497804173206</v>
      </c>
      <c r="CM25" s="23">
        <f>EXP(-LN(2)/2)*CM24+(1-EXP(-LN(2)/2))/(LN(2)/2)*CG25*CJ25*VLOOKUP('Données projet'!$B$12,Paramètres!$A$1:$I$89,3,0)*0.475*44/12</f>
        <v>4.8296783941363351E-2</v>
      </c>
      <c r="CN25" s="24">
        <f t="shared" si="12"/>
        <v>17.402782565882024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9.1999999999999993</v>
      </c>
      <c r="CT25" s="13">
        <f>IF('Données projet'!$A$140&gt;35,CT24+CS25-DB24,IF(A25&lt;'Données projet'!$A$140,$CQ$205^A25,IF(A25='Données projet'!$A$140,'Données projet'!$B$140,CT24+CS25-DB24)))</f>
        <v>176.39999999999998</v>
      </c>
      <c r="CU25" s="18">
        <f>CT25*VLOOKUP('Données projet'!$B$13,Paramètres!$A$1:$I$89,3,0)*VLOOKUP('Données projet'!$B$13,Paramètres!$A$1:$I$89,5,0)</f>
        <v>82.555199999999985</v>
      </c>
      <c r="CV25" s="14">
        <f t="shared" si="41"/>
        <v>22.760796016854769</v>
      </c>
      <c r="CW25" s="22">
        <f t="shared" si="13"/>
        <v>183.42535972935536</v>
      </c>
      <c r="CX25" s="62">
        <f t="shared" si="14"/>
        <v>404.60627363282379</v>
      </c>
      <c r="CY25" s="62">
        <f ca="1">AVERAGE(OFFSET($CX$3,0,0,'Données projet'!$E$13+1,1))-AVERAGE(OFFSET($H$3,0,0,'Données projet'!$E$13+1,1))</f>
        <v>426.87921482911719</v>
      </c>
      <c r="CZ25" s="62">
        <f t="shared" si="42"/>
        <v>313.49594674441835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81.400000000000006</v>
      </c>
      <c r="DP25" s="18">
        <f>DO25*VLOOKUP('Données projet'!$B$14,Paramètres!$A$1:$I$89,3,0)*VLOOKUP('Données projet'!$B$14,Paramètres!$A$1:$I$89,5,0)</f>
        <v>78.730080000000015</v>
      </c>
      <c r="DQ25" s="14">
        <f t="shared" si="43"/>
        <v>21.826393515256996</v>
      </c>
      <c r="DR25" s="22">
        <f t="shared" si="16"/>
        <v>175.13585803907259</v>
      </c>
      <c r="DS25" s="62">
        <f t="shared" si="17"/>
        <v>396.31677194254098</v>
      </c>
      <c r="DT25" s="62">
        <f ca="1">AVERAGE(OFFSET($DS$3,0,0,'Données projet'!$E$14+1,1))-AVERAGE(OFFSET($H$3,0,0,'Données projet'!$E$14+1,1))</f>
        <v>500.25828825677058</v>
      </c>
      <c r="DU25" s="62">
        <f t="shared" si="44"/>
        <v>313.56299786481338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2.7377376954189949</v>
      </c>
      <c r="ED25" s="24">
        <f t="shared" si="18"/>
        <v>2.7377376954189949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7.2</v>
      </c>
      <c r="EJ25" s="13">
        <f>IF('Données projet'!$A$192&gt;35,EJ24+EI25-ER24,IF(A25&lt;'Données projet'!$A$192,$EG$205^A25,IF(A25='Données projet'!$A$192,'Données projet'!$B$192,EJ24+EI25-ER24)))</f>
        <v>81.400000000000006</v>
      </c>
      <c r="EK25" s="18">
        <f>EJ25*VLOOKUP('Données projet'!$B$15,Paramètres!$A$1:$I$89,3,0)*VLOOKUP('Données projet'!$B$15,Paramètres!$A$1:$I$89,5,0)</f>
        <v>87.618960000000001</v>
      </c>
      <c r="EL25" s="14">
        <f t="shared" si="45"/>
        <v>23.990082457811074</v>
      </c>
      <c r="EM25" s="22">
        <f t="shared" si="19"/>
        <v>194.38574894735427</v>
      </c>
      <c r="EN25" s="62">
        <f t="shared" si="20"/>
        <v>415.56666285082269</v>
      </c>
      <c r="EO25" s="62">
        <f ca="1">AVERAGE(OFFSET($EN$3,0,0,'Données projet'!$E$15+1,1))-AVERAGE(OFFSET($H$3,0,0,'Données projet'!$E$15+1,1))</f>
        <v>548.17046467409421</v>
      </c>
      <c r="EP25" s="62">
        <f t="shared" si="46"/>
        <v>341.9250949809848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3.0468371126437197</v>
      </c>
      <c r="EY25" s="24">
        <f t="shared" si="21"/>
        <v>3.0468371126437197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401.73236386226296</v>
      </c>
      <c r="S26" s="62">
        <f ca="1">AVERAGE(OFFSET($R$3,0,0,'Données projet'!$E$9+1,1))-AVERAGE(OFFSET($H$3,0,0,'Données projet'!$E$9+1,1))</f>
        <v>472.83070477639035</v>
      </c>
      <c r="T26" s="62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89.840400000000017</v>
      </c>
      <c r="AK26" s="14">
        <f t="shared" si="35"/>
        <v>24.526729341796202</v>
      </c>
      <c r="AL26" s="22">
        <f t="shared" si="4"/>
        <v>199.18941693696172</v>
      </c>
      <c r="AM26" s="62">
        <f t="shared" si="5"/>
        <v>422.67461364650819</v>
      </c>
      <c r="AN26" s="62">
        <f ca="1">AVERAGE(OFFSET($AM$3,0,0,'Données projet'!$E$10+1,1))-AVERAGE(OFFSET($H$3,0,0,'Données projet'!$E$10+1,1))</f>
        <v>520.80494930257237</v>
      </c>
      <c r="AO26" s="62">
        <f t="shared" si="36"/>
        <v>325.72635759450861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21.612857142857145</v>
      </c>
      <c r="BD26" s="13">
        <f>IF('Données projet'!$A$88&gt;35,BD25+BC26-BL25,IF(A26&lt;'Données projet'!$A$88,$BA$205^A26,IF(A26='Données projet'!$A$88,'Données projet'!$B$88,BD25+BC26-BL25)))</f>
        <v>173.79571428571433</v>
      </c>
      <c r="BE26" s="14">
        <f>BD26*VLOOKUP('Données projet'!$B$11,Paramètres!$A$1:$I$89,3,0)*VLOOKUP('Données projet'!$B$11,Paramètres!$A$1:$I$89,5,0)</f>
        <v>97.15180428571432</v>
      </c>
      <c r="BF26" s="14">
        <f t="shared" si="37"/>
        <v>26.282317303127122</v>
      </c>
      <c r="BG26" s="22">
        <f t="shared" si="7"/>
        <v>214.98109510056551</v>
      </c>
      <c r="BH26" s="62">
        <f t="shared" si="8"/>
        <v>438.46629181011201</v>
      </c>
      <c r="BI26" s="62">
        <f ca="1">AVERAGE(OFFSET($BH$3,0,0,'Données projet'!$E$11+1,1))-AVERAGE(OFFSET($H$3,0,0,'Données projet'!$E$11+1,1))</f>
        <v>321.60602866722138</v>
      </c>
      <c r="BJ26" s="62">
        <f t="shared" si="38"/>
        <v>375.18886653687389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2.5316238618054334</v>
      </c>
      <c r="BQ26" s="23">
        <f>EXP(-LN(2)/25)*BQ25+(1-EXP(-LN(2)/25))/(LN(2)/25)*Calculateur!BL26*Calculateur!BN26*VLOOKUP('Données projet'!$B$11,Paramètres!$A$1:$I$89,3,0)*0.475*44/12</f>
        <v>9.9280767995922936</v>
      </c>
      <c r="BR26" s="23">
        <f>EXP(-LN(2)/2)*BR25+(1-EXP(-LN(2)/2))/(LN(2)/2)*BL26*BO26*VLOOKUP('Données projet'!$B$11,Paramètres!$A$1:$I$89,3,0)*0.475*44/12</f>
        <v>10.218458757952721</v>
      </c>
      <c r="BS26" s="24">
        <f t="shared" si="9"/>
        <v>22.67815941935045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129.79999999999998</v>
      </c>
      <c r="BZ26" s="14">
        <f>BY26*VLOOKUP('Données projet'!$B$12,Paramètres!$A$1:$I$89,3,0)*VLOOKUP('Données projet'!$B$12,Paramètres!$A$1:$I$89,5,0)</f>
        <v>70.870799999999988</v>
      </c>
      <c r="CA26" s="14">
        <f t="shared" si="39"/>
        <v>19.889552055326323</v>
      </c>
      <c r="CB26" s="22">
        <f t="shared" si="10"/>
        <v>158.07427982969332</v>
      </c>
      <c r="CC26" s="62">
        <f t="shared" si="11"/>
        <v>381.55947653923982</v>
      </c>
      <c r="CD26" s="62">
        <f ca="1">AVERAGE(OFFSET($CC$3,0,0,'Données projet'!$E$12+1,1))-AVERAGE(OFFSET($H$3,0,0,'Données projet'!$E$12+1,1))</f>
        <v>182.44246264133781</v>
      </c>
      <c r="CE26" s="62">
        <f t="shared" si="40"/>
        <v>262.5818213397049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1.9656713864453459</v>
      </c>
      <c r="CL26" s="23">
        <f>EXP(-LN(2)/25)*CL25+(1-EXP(-LN(2)/25))/(LN(2)/25)*Calculateur!CG26*Calculateur!CI26*VLOOKUP('Données projet'!$B$12,Paramètres!$A$1:$I$89,3,0)*0.475*44/12</f>
        <v>14.929764979523082</v>
      </c>
      <c r="CM26" s="23">
        <f>EXP(-LN(2)/2)*CM25+(1-EXP(-LN(2)/2))/(LN(2)/2)*CG26*CJ26*VLOOKUP('Données projet'!$B$12,Paramètres!$A$1:$I$89,3,0)*0.475*44/12</f>
        <v>3.4150983434439577E-2</v>
      </c>
      <c r="CN26" s="24">
        <f t="shared" si="12"/>
        <v>16.929587349402869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9.1999999999999993</v>
      </c>
      <c r="CT26" s="13">
        <f>IF('Données projet'!$A$140&gt;35,CT25+CS26-DB25,IF(A26&lt;'Données projet'!$A$140,$CQ$205^A26,IF(A26='Données projet'!$A$140,'Données projet'!$B$140,CT25+CS26-DB25)))</f>
        <v>185.59999999999997</v>
      </c>
      <c r="CU26" s="18">
        <f>CT26*VLOOKUP('Données projet'!$B$13,Paramètres!$A$1:$I$89,3,0)*VLOOKUP('Données projet'!$B$13,Paramètres!$A$1:$I$89,5,0)</f>
        <v>86.860799999999983</v>
      </c>
      <c r="CV26" s="14">
        <f t="shared" si="41"/>
        <v>23.806568296036275</v>
      </c>
      <c r="CW26" s="22">
        <f t="shared" si="13"/>
        <v>192.7456664489298</v>
      </c>
      <c r="CX26" s="62">
        <f t="shared" si="14"/>
        <v>416.23086315847627</v>
      </c>
      <c r="CY26" s="62">
        <f ca="1">AVERAGE(OFFSET($CX$3,0,0,'Données projet'!$E$13+1,1))-AVERAGE(OFFSET($H$3,0,0,'Données projet'!$E$13+1,1))</f>
        <v>426.87921482911719</v>
      </c>
      <c r="CZ26" s="62">
        <f t="shared" si="42"/>
        <v>313.49594674441835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88.600000000000009</v>
      </c>
      <c r="DP26" s="18">
        <f>DO26*VLOOKUP('Données projet'!$B$14,Paramètres!$A$1:$I$89,3,0)*VLOOKUP('Données projet'!$B$14,Paramètres!$A$1:$I$89,5,0)</f>
        <v>85.693920000000006</v>
      </c>
      <c r="DQ26" s="14">
        <f t="shared" si="43"/>
        <v>23.523757486236178</v>
      </c>
      <c r="DR26" s="22">
        <f t="shared" si="16"/>
        <v>190.22078828852798</v>
      </c>
      <c r="DS26" s="62">
        <f t="shared" si="17"/>
        <v>413.70598499807448</v>
      </c>
      <c r="DT26" s="62">
        <f ca="1">AVERAGE(OFFSET($DS$3,0,0,'Données projet'!$E$14+1,1))-AVERAGE(OFFSET($H$3,0,0,'Données projet'!$E$14+1,1))</f>
        <v>500.25828825677058</v>
      </c>
      <c r="DU26" s="62">
        <f t="shared" si="44"/>
        <v>313.56299786481338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1.9358728895408022</v>
      </c>
      <c r="ED26" s="24">
        <f t="shared" si="18"/>
        <v>1.9358728895408022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7.2</v>
      </c>
      <c r="EJ26" s="13">
        <f>IF('Données projet'!$A$192&gt;35,EJ25+EI26-ER25,IF(A26&lt;'Données projet'!$A$192,$EG$205^A26,IF(A26='Données projet'!$A$192,'Données projet'!$B$192,EJ25+EI26-ER25)))</f>
        <v>88.600000000000009</v>
      </c>
      <c r="EK26" s="18">
        <f>EJ26*VLOOKUP('Données projet'!$B$15,Paramètres!$A$1:$I$89,3,0)*VLOOKUP('Données projet'!$B$15,Paramètres!$A$1:$I$89,5,0)</f>
        <v>95.369039999999998</v>
      </c>
      <c r="EL26" s="14">
        <f t="shared" si="45"/>
        <v>25.855709117398451</v>
      </c>
      <c r="EM26" s="22">
        <f t="shared" si="19"/>
        <v>211.13310471280226</v>
      </c>
      <c r="EN26" s="62">
        <f t="shared" si="20"/>
        <v>434.61830142234874</v>
      </c>
      <c r="EO26" s="62">
        <f ca="1">AVERAGE(OFFSET($EN$3,0,0,'Données projet'!$E$15+1,1))-AVERAGE(OFFSET($H$3,0,0,'Données projet'!$E$15+1,1))</f>
        <v>548.17046467409421</v>
      </c>
      <c r="EP26" s="62">
        <f t="shared" si="46"/>
        <v>341.9250949809848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2.1544391835212151</v>
      </c>
      <c r="EY26" s="24">
        <f t="shared" si="21"/>
        <v>2.1544391835212151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418.12486670230362</v>
      </c>
      <c r="S27" s="62">
        <f ca="1">AVERAGE(OFFSET($R$3,0,0,'Données projet'!$E$9+1,1))-AVERAGE(OFFSET($H$3,0,0,'Données projet'!$E$9+1,1))</f>
        <v>472.83070477639035</v>
      </c>
      <c r="T27" s="62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97.141200000000026</v>
      </c>
      <c r="AK27" s="14">
        <f t="shared" si="35"/>
        <v>26.279782450761708</v>
      </c>
      <c r="AL27" s="22">
        <f t="shared" si="4"/>
        <v>214.95821110174333</v>
      </c>
      <c r="AM27" s="62">
        <f t="shared" si="5"/>
        <v>440.72891928536313</v>
      </c>
      <c r="AN27" s="62">
        <f ca="1">AVERAGE(OFFSET($AM$3,0,0,'Données projet'!$E$10+1,1))-AVERAGE(OFFSET($H$3,0,0,'Données projet'!$E$10+1,1))</f>
        <v>520.80494930257237</v>
      </c>
      <c r="AO27" s="62">
        <f t="shared" si="36"/>
        <v>325.72635759450861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21.612857142857145</v>
      </c>
      <c r="BD27" s="13">
        <f>IF('Données projet'!$A$88&gt;35,BD26+BC27-BL26,IF(A27&lt;'Données projet'!$A$88,$BA$205^A27,IF(A27='Données projet'!$A$88,'Données projet'!$B$88,BD26+BC27-BL26)))</f>
        <v>195.40857142857146</v>
      </c>
      <c r="BE27" s="14">
        <f>BD27*VLOOKUP('Données projet'!$B$11,Paramètres!$A$1:$I$89,3,0)*VLOOKUP('Données projet'!$B$11,Paramètres!$A$1:$I$89,5,0)</f>
        <v>109.23339142857145</v>
      </c>
      <c r="BF27" s="14">
        <f t="shared" si="37"/>
        <v>29.150292163037918</v>
      </c>
      <c r="BG27" s="22">
        <f t="shared" si="7"/>
        <v>241.018248922053</v>
      </c>
      <c r="BH27" s="62">
        <f t="shared" si="8"/>
        <v>466.78895710567281</v>
      </c>
      <c r="BI27" s="62">
        <f ca="1">AVERAGE(OFFSET($BH$3,0,0,'Données projet'!$E$11+1,1))-AVERAGE(OFFSET($H$3,0,0,'Données projet'!$E$11+1,1))</f>
        <v>321.60602866722138</v>
      </c>
      <c r="BJ27" s="62">
        <f t="shared" si="38"/>
        <v>375.18886653687389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2.4819802620135136</v>
      </c>
      <c r="BQ27" s="23">
        <f>EXP(-LN(2)/25)*BQ26+(1-EXP(-LN(2)/25))/(LN(2)/25)*Calculateur!BL27*Calculateur!BN27*VLOOKUP('Données projet'!$B$11,Paramètres!$A$1:$I$89,3,0)*0.475*44/12</f>
        <v>9.6565930174125736</v>
      </c>
      <c r="BR27" s="23">
        <f>EXP(-LN(2)/2)*BR26+(1-EXP(-LN(2)/2))/(LN(2)/2)*BL27*BO27*VLOOKUP('Données projet'!$B$11,Paramètres!$A$1:$I$89,3,0)*0.475*44/12</f>
        <v>7.2255414810234351</v>
      </c>
      <c r="BS27" s="24">
        <f t="shared" si="9"/>
        <v>19.364114760449521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140.39999999999998</v>
      </c>
      <c r="BZ27" s="14">
        <f>BY27*VLOOKUP('Données projet'!$B$12,Paramètres!$A$1:$I$89,3,0)*VLOOKUP('Données projet'!$B$12,Paramètres!$A$1:$I$89,5,0)</f>
        <v>76.658399999999986</v>
      </c>
      <c r="CA27" s="14">
        <f t="shared" si="39"/>
        <v>21.318127749842347</v>
      </c>
      <c r="CB27" s="22">
        <f t="shared" si="10"/>
        <v>170.64245249764204</v>
      </c>
      <c r="CC27" s="62">
        <f t="shared" si="11"/>
        <v>396.41316068126184</v>
      </c>
      <c r="CD27" s="62">
        <f ca="1">AVERAGE(OFFSET($CC$3,0,0,'Données projet'!$E$12+1,1))-AVERAGE(OFFSET($H$3,0,0,'Données projet'!$E$12+1,1))</f>
        <v>182.44246264133781</v>
      </c>
      <c r="CE27" s="62">
        <f t="shared" si="40"/>
        <v>262.5818213397049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1.9271257694983128</v>
      </c>
      <c r="CL27" s="23">
        <f>EXP(-LN(2)/25)*CL26+(1-EXP(-LN(2)/25))/(LN(2)/25)*Calculateur!CG27*Calculateur!CI27*VLOOKUP('Données projet'!$B$12,Paramètres!$A$1:$I$89,3,0)*0.475*44/12</f>
        <v>14.521509771035806</v>
      </c>
      <c r="CM27" s="23">
        <f>EXP(-LN(2)/2)*CM26+(1-EXP(-LN(2)/2))/(LN(2)/2)*CG27*CJ27*VLOOKUP('Données projet'!$B$12,Paramètres!$A$1:$I$89,3,0)*0.475*44/12</f>
        <v>2.4148391970681676E-2</v>
      </c>
      <c r="CN27" s="24">
        <f t="shared" si="12"/>
        <v>16.4727839325048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9.1999999999999993</v>
      </c>
      <c r="CT27" s="13">
        <f>IF('Données projet'!$A$140&gt;35,CT26+CS27-DB26,IF(A27&lt;'Données projet'!$A$140,$CQ$205^A27,IF(A27='Données projet'!$A$140,'Données projet'!$B$140,CT26+CS27-DB26)))</f>
        <v>194.79999999999995</v>
      </c>
      <c r="CU27" s="18">
        <f>CT27*VLOOKUP('Données projet'!$B$13,Paramètres!$A$1:$I$89,3,0)*VLOOKUP('Données projet'!$B$13,Paramètres!$A$1:$I$89,5,0)</f>
        <v>91.166399999999982</v>
      </c>
      <c r="CV27" s="14">
        <f t="shared" si="41"/>
        <v>24.846321420979159</v>
      </c>
      <c r="CW27" s="22">
        <f t="shared" si="13"/>
        <v>202.05548980820535</v>
      </c>
      <c r="CX27" s="62">
        <f t="shared" si="14"/>
        <v>427.82619799182515</v>
      </c>
      <c r="CY27" s="62">
        <f ca="1">AVERAGE(OFFSET($CX$3,0,0,'Données projet'!$E$13+1,1))-AVERAGE(OFFSET($H$3,0,0,'Données projet'!$E$13+1,1))</f>
        <v>426.87921482911719</v>
      </c>
      <c r="CZ27" s="62">
        <f t="shared" si="42"/>
        <v>313.49594674441835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95.800000000000011</v>
      </c>
      <c r="DP27" s="18">
        <f>DO27*VLOOKUP('Données projet'!$B$14,Paramètres!$A$1:$I$89,3,0)*VLOOKUP('Données projet'!$B$14,Paramètres!$A$1:$I$89,5,0)</f>
        <v>92.65776000000001</v>
      </c>
      <c r="DQ27" s="14">
        <f t="shared" si="43"/>
        <v>25.205122972074609</v>
      </c>
      <c r="DR27" s="22">
        <f t="shared" si="16"/>
        <v>205.2778545096966</v>
      </c>
      <c r="DS27" s="62">
        <f t="shared" si="17"/>
        <v>431.0485626933164</v>
      </c>
      <c r="DT27" s="62">
        <f ca="1">AVERAGE(OFFSET($DS$3,0,0,'Données projet'!$E$14+1,1))-AVERAGE(OFFSET($H$3,0,0,'Données projet'!$E$14+1,1))</f>
        <v>500.25828825677058</v>
      </c>
      <c r="DU27" s="62">
        <f t="shared" si="44"/>
        <v>313.56299786481338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1.3688688477094977</v>
      </c>
      <c r="ED27" s="24">
        <f t="shared" si="18"/>
        <v>1.3688688477094977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7.2</v>
      </c>
      <c r="EJ27" s="13">
        <f>IF('Données projet'!$A$192&gt;35,EJ26+EI27-ER26,IF(A27&lt;'Données projet'!$A$192,$EG$205^A27,IF(A27='Données projet'!$A$192,'Données projet'!$B$192,EJ26+EI27-ER26)))</f>
        <v>95.800000000000011</v>
      </c>
      <c r="EK27" s="18">
        <f>EJ27*VLOOKUP('Données projet'!$B$15,Paramètres!$A$1:$I$89,3,0)*VLOOKUP('Données projet'!$B$15,Paramètres!$A$1:$I$89,5,0)</f>
        <v>103.11912000000001</v>
      </c>
      <c r="EL27" s="14">
        <f t="shared" si="45"/>
        <v>27.703751333753903</v>
      </c>
      <c r="EM27" s="22">
        <f t="shared" si="19"/>
        <v>227.84983423962137</v>
      </c>
      <c r="EN27" s="62">
        <f t="shared" si="20"/>
        <v>453.6205424232412</v>
      </c>
      <c r="EO27" s="62">
        <f ca="1">AVERAGE(OFFSET($EN$3,0,0,'Données projet'!$E$15+1,1))-AVERAGE(OFFSET($H$3,0,0,'Données projet'!$E$15+1,1))</f>
        <v>548.17046467409421</v>
      </c>
      <c r="EP27" s="62">
        <f t="shared" si="46"/>
        <v>341.9250949809848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1.5234185563218601</v>
      </c>
      <c r="EY27" s="24">
        <f t="shared" si="21"/>
        <v>1.5234185563218601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434.47485318479289</v>
      </c>
      <c r="S28" s="62">
        <f ca="1">AVERAGE(OFFSET($R$3,0,0,'Données projet'!$E$9+1,1))-AVERAGE(OFFSET($H$3,0,0,'Données projet'!$E$9+1,1))</f>
        <v>472.83070477639035</v>
      </c>
      <c r="T28" s="62">
        <f t="shared" si="34"/>
        <v>297.32483725004136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0.129</v>
      </c>
      <c r="Y28" s="17">
        <f>IF(ISNA(VLOOKUP(A28,'Données projet'!$A$35:$I$55,7,0)),0%,VLOOKUP(A28,'Données projet'!$A$35:$I$55,7,0))</f>
        <v>0.7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3.5986042274365828</v>
      </c>
      <c r="AB28" s="23">
        <f>EXP(-LN(2)/2)*AB27+(1-EXP(-LN(2)/2))/(LN(2)/2)*V28*Y28*VLOOKUP('Données projet'!$B$9,Paramètres!$A$1:$I$89,3,0)*0.475*44/12</f>
        <v>16.73258178576512</v>
      </c>
      <c r="AC28" s="24">
        <f t="shared" si="3"/>
        <v>20.331186013201702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104.44200000000004</v>
      </c>
      <c r="AK28" s="14">
        <f t="shared" si="35"/>
        <v>28.01755116176631</v>
      </c>
      <c r="AL28" s="22">
        <f t="shared" si="4"/>
        <v>230.70038494007636</v>
      </c>
      <c r="AM28" s="62">
        <f t="shared" si="5"/>
        <v>458.73815890640844</v>
      </c>
      <c r="AN28" s="62">
        <f ca="1">AVERAGE(OFFSET($AM$3,0,0,'Données projet'!$E$10+1,1))-AVERAGE(OFFSET($H$3,0,0,'Données projet'!$E$10+1,1))</f>
        <v>520.80494930257237</v>
      </c>
      <c r="AO28" s="62">
        <f t="shared" si="36"/>
        <v>325.72635759450861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0.129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4.032918530747895</v>
      </c>
      <c r="AW28" s="23">
        <f>EXP(-LN(2)/2)*AW27+(1-EXP(-LN(2)/2))/(LN(2)/2)*AQ28*AT28*VLOOKUP('Données projet'!$B$10,Paramètres!$A$1:$I$89,3,0)*0.475*44/12</f>
        <v>18.752031311633324</v>
      </c>
      <c r="AX28" s="23">
        <f t="shared" si="6"/>
        <v>22.78494984238122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21.612857142857145</v>
      </c>
      <c r="BD28" s="13">
        <f>IF('Données projet'!$A$88&gt;35,BD27+BC28-BL27,IF(A28&lt;'Données projet'!$A$88,$BA$205^A28,IF(A28='Données projet'!$A$88,'Données projet'!$B$88,BD27+BC28-BL27)))</f>
        <v>217.0214285714286</v>
      </c>
      <c r="BE28" s="14">
        <f>BD28*VLOOKUP('Données projet'!$B$11,Paramètres!$A$1:$I$89,3,0)*VLOOKUP('Données projet'!$B$11,Paramètres!$A$1:$I$89,5,0)</f>
        <v>121.31497857142858</v>
      </c>
      <c r="BF28" s="14">
        <f t="shared" si="37"/>
        <v>31.981501643962339</v>
      </c>
      <c r="BG28" s="22">
        <f t="shared" si="7"/>
        <v>266.99136970847246</v>
      </c>
      <c r="BH28" s="62">
        <f t="shared" si="8"/>
        <v>495.02914367480457</v>
      </c>
      <c r="BI28" s="62">
        <f ca="1">AVERAGE(OFFSET($BH$3,0,0,'Données projet'!$E$11+1,1))-AVERAGE(OFFSET($H$3,0,0,'Données projet'!$E$11+1,1))</f>
        <v>321.60602866722138</v>
      </c>
      <c r="BJ28" s="62">
        <f t="shared" si="38"/>
        <v>375.18886653687389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2.4333101429339075</v>
      </c>
      <c r="BQ28" s="23">
        <f>EXP(-LN(2)/25)*BQ27+(1-EXP(-LN(2)/25))/(LN(2)/25)*Calculateur!BL28*Calculateur!BN28*VLOOKUP('Données projet'!$B$11,Paramètres!$A$1:$I$89,3,0)*0.475*44/12</f>
        <v>9.392532973533271</v>
      </c>
      <c r="BR28" s="23">
        <f>EXP(-LN(2)/2)*BR27+(1-EXP(-LN(2)/2))/(LN(2)/2)*BL28*BO28*VLOOKUP('Données projet'!$B$11,Paramètres!$A$1:$I$89,3,0)*0.475*44/12</f>
        <v>5.1092293789763614</v>
      </c>
      <c r="BS28" s="24">
        <f t="shared" si="9"/>
        <v>16.935072495443539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151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150.99999999999997</v>
      </c>
      <c r="BZ28" s="14">
        <f>BY28*VLOOKUP('Données projet'!$B$12,Paramètres!$A$1:$I$89,3,0)*VLOOKUP('Données projet'!$B$12,Paramètres!$A$1:$I$89,5,0)</f>
        <v>82.445999999999984</v>
      </c>
      <c r="CA28" s="14">
        <f t="shared" si="39"/>
        <v>22.734191534864372</v>
      </c>
      <c r="CB28" s="22">
        <f t="shared" si="10"/>
        <v>183.18883358988873</v>
      </c>
      <c r="CC28" s="62">
        <f t="shared" si="11"/>
        <v>411.22660755622087</v>
      </c>
      <c r="CD28" s="62">
        <f ca="1">AVERAGE(OFFSET($CC$3,0,0,'Données projet'!$E$12+1,1))-AVERAGE(OFFSET($H$3,0,0,'Données projet'!$E$12+1,1))</f>
        <v>182.44246264133781</v>
      </c>
      <c r="CE28" s="62">
        <f t="shared" si="40"/>
        <v>262.5818213397049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22</v>
      </c>
      <c r="CH28" s="17">
        <f>IF(ISNA(VLOOKUP(A28,'Données projet'!$A$113:$I$133,5,0)),0%,VLOOKUP(A28,'Données projet'!$A$113:$I$133,5,0)*VLOOKUP('Données projet'!$B$12,Paramètres!$A$1:$I$89,7,0))</f>
        <v>0.18</v>
      </c>
      <c r="CI28" s="17">
        <f>IF(ISNA(VLOOKUP(A28,'Données projet'!$A$113:$I$133,6,0)),0%,VLOOKUP(A28,'Données projet'!$A$113:$I$133,6,0)*VLOOKUP('Données projet'!$B$12,Paramètres!$A$1:$I$89,7,0))</f>
        <v>0.42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4.7575806115622621</v>
      </c>
      <c r="CL28" s="23">
        <f>EXP(-LN(2)/25)*CL27+(1-EXP(-LN(2)/25))/(LN(2)/25)*Calculateur!CG28*Calculateur!CI28*VLOOKUP('Données projet'!$B$12,Paramètres!$A$1:$I$89,3,0)*0.475*44/12</f>
        <v>20.790637861890701</v>
      </c>
      <c r="CM28" s="23">
        <f>EXP(-LN(2)/2)*CM27+(1-EXP(-LN(2)/2))/(LN(2)/2)*CG28*CJ28*VLOOKUP('Données projet'!$B$12,Paramètres!$A$1:$I$89,3,0)*0.475*44/12</f>
        <v>1.7075491717219789E-2</v>
      </c>
      <c r="CN28" s="24">
        <f t="shared" si="12"/>
        <v>25.565293965170181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9.1999999999999993</v>
      </c>
      <c r="CT28" s="13">
        <f>IF('Données projet'!$A$140&gt;35,CT27+CS28-DB27,IF(A28&lt;'Données projet'!$A$140,$CQ$205^A28,IF(A28='Données projet'!$A$140,'Données projet'!$B$140,CT27+CS28-DB27)))</f>
        <v>203.99999999999994</v>
      </c>
      <c r="CU28" s="18">
        <f>CT28*VLOOKUP('Données projet'!$B$13,Paramètres!$A$1:$I$89,3,0)*VLOOKUP('Données projet'!$B$13,Paramètres!$A$1:$I$89,5,0)</f>
        <v>95.47199999999998</v>
      </c>
      <c r="CV28" s="14">
        <f t="shared" si="41"/>
        <v>25.880372123231144</v>
      </c>
      <c r="CW28" s="22">
        <f t="shared" si="13"/>
        <v>211.35538144796087</v>
      </c>
      <c r="CX28" s="62">
        <f t="shared" si="14"/>
        <v>439.39315541429301</v>
      </c>
      <c r="CY28" s="62">
        <f ca="1">AVERAGE(OFFSET($CX$3,0,0,'Données projet'!$E$13+1,1))-AVERAGE(OFFSET($H$3,0,0,'Données projet'!$E$13+1,1))</f>
        <v>426.87921482911719</v>
      </c>
      <c r="CZ28" s="62">
        <f t="shared" si="42"/>
        <v>313.49594674441835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103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103.00000000000001</v>
      </c>
      <c r="DP28" s="18">
        <f>DO28*VLOOKUP('Données projet'!$B$14,Paramètres!$A$1:$I$89,3,0)*VLOOKUP('Données projet'!$B$14,Paramètres!$A$1:$I$89,5,0)</f>
        <v>99.621600000000015</v>
      </c>
      <c r="DQ28" s="14">
        <f t="shared" si="43"/>
        <v>26.871829085032747</v>
      </c>
      <c r="DR28" s="22">
        <f t="shared" si="16"/>
        <v>220.30938898976538</v>
      </c>
      <c r="DS28" s="62">
        <f t="shared" si="17"/>
        <v>448.34716295609746</v>
      </c>
      <c r="DT28" s="62">
        <f ca="1">AVERAGE(OFFSET($DS$3,0,0,'Données projet'!$E$14+1,1))-AVERAGE(OFFSET($H$3,0,0,'Données projet'!$E$14+1,1))</f>
        <v>500.25828825677058</v>
      </c>
      <c r="DU28" s="62">
        <f t="shared" si="44"/>
        <v>313.56299786481338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1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26.520154935347687</v>
      </c>
      <c r="ED28" s="24">
        <f t="shared" si="18"/>
        <v>26.520154935347687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103</v>
      </c>
      <c r="EH28" s="13">
        <f>VLOOKUP(A28,'Données projet'!$A$191:$I$211,9,0)</f>
        <v>7.2</v>
      </c>
      <c r="EI28" s="13">
        <f t="array" ref="EI28">INDEX(EH:EH,MIN(IF(ISNUMBER(EH28:EH224),ROW(EH28:EH224),"")))</f>
        <v>7.2</v>
      </c>
      <c r="EJ28" s="13">
        <f>IF('Données projet'!$A$192&gt;35,EJ27+EI28-ER27,IF(A28&lt;'Données projet'!$A$192,$EG$205^A28,IF(A28='Données projet'!$A$192,'Données projet'!$B$192,EJ27+EI28-ER27)))</f>
        <v>103.00000000000001</v>
      </c>
      <c r="EK28" s="18">
        <f>EJ28*VLOOKUP('Données projet'!$B$15,Paramètres!$A$1:$I$89,3,0)*VLOOKUP('Données projet'!$B$15,Paramètres!$A$1:$I$89,5,0)</f>
        <v>110.86920000000002</v>
      </c>
      <c r="EL28" s="14">
        <f t="shared" si="45"/>
        <v>29.535680967701619</v>
      </c>
      <c r="EM28" s="22">
        <f t="shared" si="19"/>
        <v>244.53850101874704</v>
      </c>
      <c r="EN28" s="62">
        <f t="shared" si="20"/>
        <v>472.57627498507918</v>
      </c>
      <c r="EO28" s="62">
        <f ca="1">AVERAGE(OFFSET($EN$3,0,0,'Données projet'!$E$15+1,1))-AVERAGE(OFFSET($H$3,0,0,'Données projet'!$E$15+1,1))</f>
        <v>548.17046467409421</v>
      </c>
      <c r="EP28" s="62">
        <f t="shared" si="46"/>
        <v>341.9250949809848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1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29.514365976435325</v>
      </c>
      <c r="EY28" s="24">
        <f t="shared" si="21"/>
        <v>29.514365976435325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472.83070477639035</v>
      </c>
      <c r="T29" s="62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3.5002002055949579</v>
      </c>
      <c r="AB29" s="23">
        <f>EXP(-LN(2)/2)*AB28+(1-EXP(-LN(2)/2))/(LN(2)/2)*V29*Y29*VLOOKUP('Données projet'!$B$9,Paramètres!$A$1:$I$89,3,0)*0.475*44/12</f>
        <v>11.831722047473029</v>
      </c>
      <c r="AC29" s="24">
        <f t="shared" si="3"/>
        <v>15.331922253067987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2">
        <f t="shared" si="5"/>
        <v>419.82551671522663</v>
      </c>
      <c r="AN29" s="62">
        <f ca="1">AVERAGE(OFFSET($AM$3,0,0,'Données projet'!$E$10+1,1))-AVERAGE(OFFSET($H$3,0,0,'Données projet'!$E$10+1,1))</f>
        <v>520.80494930257237</v>
      </c>
      <c r="AO29" s="62">
        <f t="shared" si="36"/>
        <v>325.72635759450861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3.9226381614426256</v>
      </c>
      <c r="AW29" s="23">
        <f>EXP(-LN(2)/2)*AW28+(1-EXP(-LN(2)/2))/(LN(2)/2)*AQ29*AT29*VLOOKUP('Données projet'!$B$10,Paramètres!$A$1:$I$89,3,0)*0.475*44/12</f>
        <v>13.259688501478394</v>
      </c>
      <c r="AX29" s="23">
        <f t="shared" si="6"/>
        <v>17.182326662921021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21.612857142857145</v>
      </c>
      <c r="BD29" s="13">
        <f>IF('Données projet'!$A$88&gt;35,BD28+BC29-BL28,IF(A29&lt;'Données projet'!$A$88,$BA$205^A29,IF(A29='Données projet'!$A$88,'Données projet'!$B$88,BD28+BC29-BL28)))</f>
        <v>238.63428571428574</v>
      </c>
      <c r="BE29" s="14">
        <f>BD29*VLOOKUP('Données projet'!$B$11,Paramètres!$A$1:$I$89,3,0)*VLOOKUP('Données projet'!$B$11,Paramètres!$A$1:$I$89,5,0)</f>
        <v>133.39656571428571</v>
      </c>
      <c r="BF29" s="14">
        <f t="shared" si="37"/>
        <v>34.780023938654864</v>
      </c>
      <c r="BG29" s="22">
        <f t="shared" si="7"/>
        <v>292.90756031220479</v>
      </c>
      <c r="BH29" s="62">
        <f t="shared" si="8"/>
        <v>523.19427436139495</v>
      </c>
      <c r="BI29" s="62">
        <f ca="1">AVERAGE(OFFSET($BH$3,0,0,'Données projet'!$E$11+1,1))-AVERAGE(OFFSET($H$3,0,0,'Données projet'!$E$11+1,1))</f>
        <v>321.60602866722138</v>
      </c>
      <c r="BJ29" s="62">
        <f t="shared" si="38"/>
        <v>375.18886653687389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2.3855944152036108</v>
      </c>
      <c r="BQ29" s="23">
        <f>EXP(-LN(2)/25)*BQ28+(1-EXP(-LN(2)/25))/(LN(2)/25)*Calculateur!BL29*Calculateur!BN29*VLOOKUP('Données projet'!$B$11,Paramètres!$A$1:$I$89,3,0)*0.475*44/12</f>
        <v>9.1356936654401615</v>
      </c>
      <c r="BR29" s="23">
        <f>EXP(-LN(2)/2)*BR28+(1-EXP(-LN(2)/2))/(LN(2)/2)*BL29*BO29*VLOOKUP('Données projet'!$B$11,Paramètres!$A$1:$I$89,3,0)*0.475*44/12</f>
        <v>3.6127707405117184</v>
      </c>
      <c r="BS29" s="24">
        <f t="shared" si="9"/>
        <v>15.134058821155492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8.4</v>
      </c>
      <c r="BY29" s="13">
        <f>IF('Données projet'!$A$114&gt;35,BY28+BX29-CG28,IF(A29&lt;'Données projet'!$A$114,$BV$205^A29,IF(A29='Données projet'!$A$114,'Données projet'!$B$114,BY28+BX29-CG28)))</f>
        <v>137.39999999999998</v>
      </c>
      <c r="BZ29" s="14">
        <f>BY29*VLOOKUP('Données projet'!$B$12,Paramètres!$A$1:$I$89,3,0)*VLOOKUP('Données projet'!$B$12,Paramètres!$A$1:$I$89,5,0)</f>
        <v>75.020399999999995</v>
      </c>
      <c r="CA29" s="14">
        <f t="shared" si="39"/>
        <v>20.91512964718104</v>
      </c>
      <c r="CB29" s="22">
        <f t="shared" si="10"/>
        <v>167.08771413550696</v>
      </c>
      <c r="CC29" s="62">
        <f t="shared" si="11"/>
        <v>397.37442818469714</v>
      </c>
      <c r="CD29" s="62">
        <f ca="1">AVERAGE(OFFSET($CC$3,0,0,'Données projet'!$E$12+1,1))-AVERAGE(OFFSET($H$3,0,0,'Données projet'!$E$12+1,1))</f>
        <v>182.44246264133781</v>
      </c>
      <c r="CE29" s="62">
        <f t="shared" si="40"/>
        <v>262.5818213397049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4.6642873576071668</v>
      </c>
      <c r="CL29" s="23">
        <f>EXP(-LN(2)/25)*CL28+(1-EXP(-LN(2)/25))/(LN(2)/25)*Calculateur!CG29*Calculateur!CI29*VLOOKUP('Données projet'!$B$12,Paramètres!$A$1:$I$89,3,0)*0.475*44/12</f>
        <v>20.222116776225171</v>
      </c>
      <c r="CM29" s="23">
        <f>EXP(-LN(2)/2)*CM28+(1-EXP(-LN(2)/2))/(LN(2)/2)*CG29*CJ29*VLOOKUP('Données projet'!$B$12,Paramètres!$A$1:$I$89,3,0)*0.475*44/12</f>
        <v>1.2074195985340838E-2</v>
      </c>
      <c r="CN29" s="24">
        <f t="shared" si="12"/>
        <v>24.898478329817678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213.19999999999993</v>
      </c>
      <c r="CU29" s="18">
        <f>CT29*VLOOKUP('Données projet'!$B$13,Paramètres!$A$1:$I$89,3,0)*VLOOKUP('Données projet'!$B$13,Paramètres!$A$1:$I$89,5,0)</f>
        <v>99.777599999999964</v>
      </c>
      <c r="CV29" s="14">
        <f t="shared" si="41"/>
        <v>26.909006951444532</v>
      </c>
      <c r="CW29" s="22">
        <f t="shared" si="13"/>
        <v>220.64584044043249</v>
      </c>
      <c r="CX29" s="62">
        <f t="shared" si="14"/>
        <v>450.9325544896227</v>
      </c>
      <c r="CY29" s="62">
        <f ca="1">AVERAGE(OFFSET($CX$3,0,0,'Données projet'!$E$13+1,1))-AVERAGE(OFFSET($H$3,0,0,'Données projet'!$E$13+1,1))</f>
        <v>426.87921482911719</v>
      </c>
      <c r="CZ29" s="62">
        <f t="shared" si="42"/>
        <v>313.49594674441835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81.438240000000022</v>
      </c>
      <c r="DQ29" s="14">
        <f t="shared" si="43"/>
        <v>22.488475778344696</v>
      </c>
      <c r="DR29" s="22">
        <f t="shared" si="16"/>
        <v>181.00569664728371</v>
      </c>
      <c r="DS29" s="62">
        <f t="shared" si="17"/>
        <v>411.29241069647389</v>
      </c>
      <c r="DT29" s="62">
        <f ca="1">AVERAGE(OFFSET($DS$3,0,0,'Données projet'!$E$14+1,1))-AVERAGE(OFFSET($H$3,0,0,'Données projet'!$E$14+1,1))</f>
        <v>500.25828825677058</v>
      </c>
      <c r="DU29" s="62">
        <f t="shared" si="44"/>
        <v>313.56299786481338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18.752581392902236</v>
      </c>
      <c r="ED29" s="24">
        <f t="shared" si="18"/>
        <v>18.752581392902236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9.1999999999999993</v>
      </c>
      <c r="EJ29" s="13">
        <f>IF('Données projet'!$A$192&gt;35,EJ28+EI29-ER28,IF(A29&lt;'Données projet'!$A$192,$EG$205^A29,IF(A29='Données projet'!$A$192,'Données projet'!$B$192,EJ28+EI29-ER28)))</f>
        <v>84.200000000000017</v>
      </c>
      <c r="EK29" s="18">
        <f>EJ29*VLOOKUP('Données projet'!$B$15,Paramètres!$A$1:$I$89,3,0)*VLOOKUP('Données projet'!$B$15,Paramètres!$A$1:$I$89,5,0)</f>
        <v>90.632880000000014</v>
      </c>
      <c r="EL29" s="14">
        <f t="shared" si="45"/>
        <v>24.717798105117861</v>
      </c>
      <c r="EM29" s="22">
        <f t="shared" si="19"/>
        <v>200.90243103308026</v>
      </c>
      <c r="EN29" s="62">
        <f t="shared" si="20"/>
        <v>431.18914508227044</v>
      </c>
      <c r="EO29" s="62">
        <f ca="1">AVERAGE(OFFSET($EN$3,0,0,'Données projet'!$E$15+1,1))-AVERAGE(OFFSET($H$3,0,0,'Données projet'!$E$15+1,1))</f>
        <v>548.17046467409421</v>
      </c>
      <c r="EP29" s="62">
        <f t="shared" si="46"/>
        <v>341.9250949809848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20.869808324358939</v>
      </c>
      <c r="EY29" s="24">
        <f t="shared" si="21"/>
        <v>20.869808324358939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472.83070477639035</v>
      </c>
      <c r="T30" s="62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3.4044870469054347</v>
      </c>
      <c r="AB30" s="23">
        <f>EXP(-LN(2)/2)*AB29+(1-EXP(-LN(2)/2))/(LN(2)/2)*V30*Y30*VLOOKUP('Données projet'!$B$9,Paramètres!$A$1:$I$89,3,0)*0.475*44/12</f>
        <v>8.3662908928825619</v>
      </c>
      <c r="AC30" s="24">
        <f t="shared" si="3"/>
        <v>11.770777939787997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2">
        <f t="shared" si="5"/>
        <v>442.22285893687535</v>
      </c>
      <c r="AN30" s="62">
        <f ca="1">AVERAGE(OFFSET($AM$3,0,0,'Données projet'!$E$10+1,1))-AVERAGE(OFFSET($H$3,0,0,'Données projet'!$E$10+1,1))</f>
        <v>520.80494930257237</v>
      </c>
      <c r="AO30" s="62">
        <f t="shared" si="36"/>
        <v>325.72635759450861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3.8153734146354013</v>
      </c>
      <c r="AW30" s="23">
        <f>EXP(-LN(2)/2)*AW29+(1-EXP(-LN(2)/2))/(LN(2)/2)*AQ30*AT30*VLOOKUP('Données projet'!$B$10,Paramètres!$A$1:$I$89,3,0)*0.475*44/12</f>
        <v>9.3760156558166639</v>
      </c>
      <c r="AX30" s="23">
        <f t="shared" si="6"/>
        <v>13.191389070452065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21.612857142857145</v>
      </c>
      <c r="BD30" s="13">
        <f>IF('Données projet'!$A$88&gt;35,BD29+BC30-BL29,IF(A30&lt;'Données projet'!$A$88,$BA$205^A30,IF(A30='Données projet'!$A$88,'Données projet'!$B$88,BD29+BC30-BL29)))</f>
        <v>260.24714285714288</v>
      </c>
      <c r="BE30" s="14">
        <f>BD30*VLOOKUP('Données projet'!$B$11,Paramètres!$A$1:$I$89,3,0)*VLOOKUP('Données projet'!$B$11,Paramètres!$A$1:$I$89,5,0)</f>
        <v>145.47815285714287</v>
      </c>
      <c r="BF30" s="14">
        <f t="shared" si="37"/>
        <v>37.54915616665005</v>
      </c>
      <c r="BG30" s="22">
        <f t="shared" si="7"/>
        <v>318.77256321643932</v>
      </c>
      <c r="BH30" s="62">
        <f t="shared" si="8"/>
        <v>551.29040608900277</v>
      </c>
      <c r="BI30" s="62">
        <f ca="1">AVERAGE(OFFSET($BH$3,0,0,'Données projet'!$E$11+1,1))-AVERAGE(OFFSET($H$3,0,0,'Données projet'!$E$11+1,1))</f>
        <v>321.60602866722138</v>
      </c>
      <c r="BJ30" s="62">
        <f t="shared" si="38"/>
        <v>375.18886653687389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2.3388143637903851</v>
      </c>
      <c r="BQ30" s="23">
        <f>EXP(-LN(2)/25)*BQ29+(1-EXP(-LN(2)/25))/(LN(2)/25)*Calculateur!BL30*Calculateur!BN30*VLOOKUP('Données projet'!$B$11,Paramètres!$A$1:$I$89,3,0)*0.475*44/12</f>
        <v>8.8858776417334511</v>
      </c>
      <c r="BR30" s="23">
        <f>EXP(-LN(2)/2)*BR29+(1-EXP(-LN(2)/2))/(LN(2)/2)*BL30*BO30*VLOOKUP('Données projet'!$B$11,Paramètres!$A$1:$I$89,3,0)*0.475*44/12</f>
        <v>2.5546146894881812</v>
      </c>
      <c r="BS30" s="24">
        <f t="shared" si="9"/>
        <v>13.779306695012018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8.4</v>
      </c>
      <c r="BY30" s="13">
        <f>IF('Données projet'!$A$114&gt;35,BY29+BX30-CG29,IF(A30&lt;'Données projet'!$A$114,$BV$205^A30,IF(A30='Données projet'!$A$114,'Données projet'!$B$114,BY29+BX30-CG29)))</f>
        <v>145.79999999999998</v>
      </c>
      <c r="BZ30" s="14">
        <f>BY30*VLOOKUP('Données projet'!$B$12,Paramètres!$A$1:$I$89,3,0)*VLOOKUP('Données projet'!$B$12,Paramètres!$A$1:$I$89,5,0)</f>
        <v>79.606799999999993</v>
      </c>
      <c r="CA30" s="14">
        <f t="shared" si="39"/>
        <v>22.041017133124218</v>
      </c>
      <c r="CB30" s="22">
        <f t="shared" si="10"/>
        <v>177.03661484019131</v>
      </c>
      <c r="CC30" s="62">
        <f t="shared" si="11"/>
        <v>409.55445771275481</v>
      </c>
      <c r="CD30" s="62">
        <f ca="1">AVERAGE(OFFSET($CC$3,0,0,'Données projet'!$E$12+1,1))-AVERAGE(OFFSET($H$3,0,0,'Données projet'!$E$12+1,1))</f>
        <v>182.44246264133781</v>
      </c>
      <c r="CE30" s="62">
        <f t="shared" si="40"/>
        <v>262.5818213397049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4.5728235274588647</v>
      </c>
      <c r="CL30" s="23">
        <f>EXP(-LN(2)/25)*CL29+(1-EXP(-LN(2)/25))/(LN(2)/25)*Calculateur!CG30*Calculateur!CI30*VLOOKUP('Données projet'!$B$12,Paramètres!$A$1:$I$89,3,0)*0.475*44/12</f>
        <v>19.669141929544391</v>
      </c>
      <c r="CM30" s="23">
        <f>EXP(-LN(2)/2)*CM29+(1-EXP(-LN(2)/2))/(LN(2)/2)*CG30*CJ30*VLOOKUP('Données projet'!$B$12,Paramètres!$A$1:$I$89,3,0)*0.475*44/12</f>
        <v>8.5377458586098944E-3</v>
      </c>
      <c r="CN30" s="24">
        <f t="shared" si="12"/>
        <v>24.250503202861868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222.39999999999992</v>
      </c>
      <c r="CU30" s="18">
        <f>CT30*VLOOKUP('Données projet'!$B$13,Paramètres!$A$1:$I$89,3,0)*VLOOKUP('Données projet'!$B$13,Paramètres!$A$1:$I$89,5,0)</f>
        <v>104.08319999999996</v>
      </c>
      <c r="CV30" s="14">
        <f t="shared" si="41"/>
        <v>27.932486325387405</v>
      </c>
      <c r="CW30" s="22">
        <f t="shared" si="13"/>
        <v>229.92732035004965</v>
      </c>
      <c r="CX30" s="62">
        <f t="shared" si="14"/>
        <v>462.44516322261313</v>
      </c>
      <c r="CY30" s="62">
        <f ca="1">AVERAGE(OFFSET($CX$3,0,0,'Données projet'!$E$13+1,1))-AVERAGE(OFFSET($H$3,0,0,'Données projet'!$E$13+1,1))</f>
        <v>426.87921482911719</v>
      </c>
      <c r="CZ30" s="62">
        <f t="shared" si="42"/>
        <v>313.49594674441835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90.336480000000023</v>
      </c>
      <c r="DQ30" s="14">
        <f t="shared" si="43"/>
        <v>24.646358234355564</v>
      </c>
      <c r="DR30" s="22">
        <f t="shared" si="16"/>
        <v>200.26177659150264</v>
      </c>
      <c r="DS30" s="62">
        <f t="shared" si="17"/>
        <v>432.77961946406617</v>
      </c>
      <c r="DT30" s="62">
        <f ca="1">AVERAGE(OFFSET($DS$3,0,0,'Données projet'!$E$14+1,1))-AVERAGE(OFFSET($H$3,0,0,'Données projet'!$E$14+1,1))</f>
        <v>500.25828825677058</v>
      </c>
      <c r="DU30" s="62">
        <f t="shared" si="44"/>
        <v>313.56299786481338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13.260077467673845</v>
      </c>
      <c r="ED30" s="24">
        <f t="shared" si="18"/>
        <v>13.260077467673845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9.1999999999999993</v>
      </c>
      <c r="EJ30" s="13">
        <f>IF('Données projet'!$A$192&gt;35,EJ29+EI30-ER29,IF(A30&lt;'Données projet'!$A$192,$EG$205^A30,IF(A30='Données projet'!$A$192,'Données projet'!$B$192,EJ29+EI30-ER29)))</f>
        <v>93.40000000000002</v>
      </c>
      <c r="EK30" s="18">
        <f>EJ30*VLOOKUP('Données projet'!$B$15,Paramètres!$A$1:$I$89,3,0)*VLOOKUP('Données projet'!$B$15,Paramètres!$A$1:$I$89,5,0)</f>
        <v>100.53576000000002</v>
      </c>
      <c r="EL30" s="14">
        <f t="shared" si="45"/>
        <v>27.08959526060206</v>
      </c>
      <c r="EM30" s="22">
        <f t="shared" si="19"/>
        <v>222.28082707888197</v>
      </c>
      <c r="EN30" s="62">
        <f t="shared" si="20"/>
        <v>454.7986699514455</v>
      </c>
      <c r="EO30" s="62">
        <f ca="1">AVERAGE(OFFSET($EN$3,0,0,'Données projet'!$E$15+1,1))-AVERAGE(OFFSET($H$3,0,0,'Données projet'!$E$15+1,1))</f>
        <v>548.17046467409421</v>
      </c>
      <c r="EP30" s="62">
        <f t="shared" si="46"/>
        <v>341.9250949809848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14.757182988217664</v>
      </c>
      <c r="EY30" s="24">
        <f t="shared" si="21"/>
        <v>14.757182988217664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472.83070477639035</v>
      </c>
      <c r="T31" s="62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3.3113911695736129</v>
      </c>
      <c r="AB31" s="23">
        <f>EXP(-LN(2)/2)*AB30+(1-EXP(-LN(2)/2))/(LN(2)/2)*V31*Y31*VLOOKUP('Données projet'!$B$9,Paramètres!$A$1:$I$89,3,0)*0.475*44/12</f>
        <v>5.9158610237365155</v>
      </c>
      <c r="AC31" s="24">
        <f t="shared" si="3"/>
        <v>9.2272521933101288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2">
        <f t="shared" si="5"/>
        <v>464.55795088152234</v>
      </c>
      <c r="AN31" s="62">
        <f ca="1">AVERAGE(OFFSET($AM$3,0,0,'Données projet'!$E$10+1,1))-AVERAGE(OFFSET($H$3,0,0,'Données projet'!$E$10+1,1))</f>
        <v>520.80494930257237</v>
      </c>
      <c r="AO31" s="62">
        <f t="shared" si="36"/>
        <v>325.72635759450861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3.7110418279704285</v>
      </c>
      <c r="AW31" s="23">
        <f>EXP(-LN(2)/2)*AW30+(1-EXP(-LN(2)/2))/(LN(2)/2)*AQ31*AT31*VLOOKUP('Données projet'!$B$10,Paramètres!$A$1:$I$89,3,0)*0.475*44/12</f>
        <v>6.6298442507391977</v>
      </c>
      <c r="AX31" s="23">
        <f t="shared" si="6"/>
        <v>10.340886078709627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281.86</v>
      </c>
      <c r="BB31" s="13">
        <f>VLOOKUP(A31,'Données projet'!$A$87:$I$107,9,0)</f>
        <v>21.612857142857145</v>
      </c>
      <c r="BC31" s="13">
        <f t="array" ref="BC31">INDEX(BB:BB,MIN(IF(ISNUMBER(BB31:BB227),ROW(BB31:BB227),"")))</f>
        <v>21.612857142857145</v>
      </c>
      <c r="BD31" s="13">
        <f>IF('Données projet'!$A$88&gt;35,BD30+BC31-BL30,IF(A31&lt;'Données projet'!$A$88,$BA$205^A31,IF(A31='Données projet'!$A$88,'Données projet'!$B$88,BD30+BC31-BL30)))</f>
        <v>281.86</v>
      </c>
      <c r="BE31" s="14">
        <f>BD31*VLOOKUP('Données projet'!$B$11,Paramètres!$A$1:$I$89,3,0)*VLOOKUP('Données projet'!$B$11,Paramètres!$A$1:$I$89,5,0)</f>
        <v>157.55974000000001</v>
      </c>
      <c r="BF31" s="14">
        <f t="shared" si="37"/>
        <v>40.291616590408985</v>
      </c>
      <c r="BG31" s="22">
        <f t="shared" si="7"/>
        <v>344.59111272829563</v>
      </c>
      <c r="BH31" s="62">
        <f t="shared" si="8"/>
        <v>579.32258215027969</v>
      </c>
      <c r="BI31" s="62">
        <f ca="1">AVERAGE(OFFSET($BH$3,0,0,'Données projet'!$E$11+1,1))-AVERAGE(OFFSET($H$3,0,0,'Données projet'!$E$11+1,1))</f>
        <v>321.60602866722138</v>
      </c>
      <c r="BJ31" s="62">
        <f t="shared" si="38"/>
        <v>375.18886653687389</v>
      </c>
      <c r="BK31" s="16">
        <f>IF(ISNA(VLOOKUP(A31,'Données projet'!$A$87:$I$107,3,0)),0,VLOOKUP(A31,'Données projet'!$A$87:$I$107,3,0))</f>
        <v>3</v>
      </c>
      <c r="BL31" s="16">
        <f>IF(ISNA(VLOOKUP(A31,'Données projet'!$A$87:$I$107,4,0)),0,VLOOKUP(A31,'Données projet'!$A$87:$I$107,4,0))</f>
        <v>67.61</v>
      </c>
      <c r="BM31" s="17">
        <f>IF(ISNA(VLOOKUP(A31,'Données projet'!$A$87:$I$107,5,0)),0%,VLOOKUP(A31,'Données projet'!$A$87:$I$107,5,0)*VLOOKUP('Données projet'!$B$11,Paramètres!$A$1:$I$89,7,0))</f>
        <v>0.22000000000000003</v>
      </c>
      <c r="BN31" s="17">
        <f>IF(ISNA(VLOOKUP(A31,'Données projet'!$A$87:$I$107,6,0)),0%,VLOOKUP(A31,'Données projet'!$A$87:$I$107,6,0)*VLOOKUP('Données projet'!$B$11,Paramètres!$A$1:$I$89,7,0))</f>
        <v>0.16500000000000001</v>
      </c>
      <c r="BO31" s="17">
        <f>IF(ISNA(VLOOKUP(A31,'Données projet'!$A$87:$I$107,7,0)),0%,VLOOKUP(A31,'Données projet'!$A$87:$I$107,7,0))</f>
        <v>0.3</v>
      </c>
      <c r="BP31" s="23">
        <f>EXP(-LN(2)/35)*BP30+(1-EXP(-LN(2)/35))/(LN(2)/35)*BL31*BM31*VLOOKUP('Données projet'!$B$11,Paramètres!$A$1:$I$89,3,0)*0.475*44/12</f>
        <v>13.322907668564593</v>
      </c>
      <c r="BQ31" s="23">
        <f>EXP(-LN(2)/25)*BQ30+(1-EXP(-LN(2)/25))/(LN(2)/25)*Calculateur!BL31*Calculateur!BN31*VLOOKUP('Données projet'!$B$11,Paramètres!$A$1:$I$89,3,0)*0.475*44/12</f>
        <v>16.882788016547963</v>
      </c>
      <c r="BR31" s="23">
        <f>EXP(-LN(2)/2)*BR30+(1-EXP(-LN(2)/2))/(LN(2)/2)*BL31*BO31*VLOOKUP('Données projet'!$B$11,Paramètres!$A$1:$I$89,3,0)*0.475*44/12</f>
        <v>14.643858209373541</v>
      </c>
      <c r="BS31" s="24">
        <f t="shared" si="9"/>
        <v>44.849553894486093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8.4</v>
      </c>
      <c r="BY31" s="13">
        <f>IF('Données projet'!$A$114&gt;35,BY30+BX31-CG30,IF(A31&lt;'Données projet'!$A$114,$BV$205^A31,IF(A31='Données projet'!$A$114,'Données projet'!$B$114,BY30+BX31-CG30)))</f>
        <v>154.19999999999999</v>
      </c>
      <c r="BZ31" s="14">
        <f>BY31*VLOOKUP('Données projet'!$B$12,Paramètres!$A$1:$I$89,3,0)*VLOOKUP('Données projet'!$B$12,Paramètres!$A$1:$I$89,5,0)</f>
        <v>84.193200000000004</v>
      </c>
      <c r="CA31" s="14">
        <f t="shared" si="39"/>
        <v>23.159375086981562</v>
      </c>
      <c r="CB31" s="22">
        <f t="shared" si="10"/>
        <v>186.97240160982622</v>
      </c>
      <c r="CC31" s="62">
        <f t="shared" si="11"/>
        <v>421.70387103181031</v>
      </c>
      <c r="CD31" s="62">
        <f ca="1">AVERAGE(OFFSET($CC$3,0,0,'Données projet'!$E$12+1,1))-AVERAGE(OFFSET($H$3,0,0,'Données projet'!$E$12+1,1))</f>
        <v>182.44246264133781</v>
      </c>
      <c r="CE31" s="62">
        <f t="shared" si="40"/>
        <v>262.5818213397049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4.4831532472323428</v>
      </c>
      <c r="CL31" s="23">
        <f>EXP(-LN(2)/25)*CL30+(1-EXP(-LN(2)/25))/(LN(2)/25)*Calculateur!CG31*Calculateur!CI31*VLOOKUP('Données projet'!$B$12,Paramètres!$A$1:$I$89,3,0)*0.475*44/12</f>
        <v>19.131288209125781</v>
      </c>
      <c r="CM31" s="23">
        <f>EXP(-LN(2)/2)*CM30+(1-EXP(-LN(2)/2))/(LN(2)/2)*CG31*CJ31*VLOOKUP('Données projet'!$B$12,Paramètres!$A$1:$I$89,3,0)*0.475*44/12</f>
        <v>6.0370979926704189E-3</v>
      </c>
      <c r="CN31" s="24">
        <f t="shared" si="12"/>
        <v>23.620478554350793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231.59999999999991</v>
      </c>
      <c r="CU31" s="18">
        <f>CT31*VLOOKUP('Données projet'!$B$13,Paramètres!$A$1:$I$89,3,0)*VLOOKUP('Données projet'!$B$13,Paramètres!$A$1:$I$89,5,0)</f>
        <v>108.38879999999996</v>
      </c>
      <c r="CV31" s="14">
        <f t="shared" si="41"/>
        <v>28.95104790024919</v>
      </c>
      <c r="CW31" s="22">
        <f t="shared" si="13"/>
        <v>239.20023509293392</v>
      </c>
      <c r="CX31" s="62">
        <f t="shared" si="14"/>
        <v>473.93170451491801</v>
      </c>
      <c r="CY31" s="62">
        <f ca="1">AVERAGE(OFFSET($CX$3,0,0,'Données projet'!$E$13+1,1))-AVERAGE(OFFSET($H$3,0,0,'Données projet'!$E$13+1,1))</f>
        <v>426.87921482911719</v>
      </c>
      <c r="CZ31" s="62">
        <f t="shared" si="42"/>
        <v>313.49594674441835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99.234720000000024</v>
      </c>
      <c r="DQ31" s="14">
        <f t="shared" si="43"/>
        <v>26.779598706219044</v>
      </c>
      <c r="DR31" s="22">
        <f t="shared" si="16"/>
        <v>219.47493841333153</v>
      </c>
      <c r="DS31" s="62">
        <f t="shared" si="17"/>
        <v>454.20640783531564</v>
      </c>
      <c r="DT31" s="62">
        <f ca="1">AVERAGE(OFFSET($DS$3,0,0,'Données projet'!$E$14+1,1))-AVERAGE(OFFSET($H$3,0,0,'Données projet'!$E$14+1,1))</f>
        <v>500.25828825677058</v>
      </c>
      <c r="DU31" s="62">
        <f t="shared" si="44"/>
        <v>313.56299786481338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9.3762906964511199</v>
      </c>
      <c r="ED31" s="24">
        <f t="shared" si="18"/>
        <v>9.3762906964511199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9.1999999999999993</v>
      </c>
      <c r="EJ31" s="13">
        <f>IF('Données projet'!$A$192&gt;35,EJ30+EI31-ER30,IF(A31&lt;'Données projet'!$A$192,$EG$205^A31,IF(A31='Données projet'!$A$192,'Données projet'!$B$192,EJ30+EI31-ER30)))</f>
        <v>102.60000000000002</v>
      </c>
      <c r="EK31" s="18">
        <f>EJ31*VLOOKUP('Données projet'!$B$15,Paramètres!$A$1:$I$89,3,0)*VLOOKUP('Données projet'!$B$15,Paramètres!$A$1:$I$89,5,0)</f>
        <v>110.43864000000002</v>
      </c>
      <c r="EL31" s="14">
        <f t="shared" si="45"/>
        <v>29.434307628523538</v>
      </c>
      <c r="EM31" s="22">
        <f t="shared" si="19"/>
        <v>243.61205045301185</v>
      </c>
      <c r="EN31" s="62">
        <f t="shared" si="20"/>
        <v>478.34351987499593</v>
      </c>
      <c r="EO31" s="62">
        <f ca="1">AVERAGE(OFFSET($EN$3,0,0,'Données projet'!$E$15+1,1))-AVERAGE(OFFSET($H$3,0,0,'Données projet'!$E$15+1,1))</f>
        <v>548.17046467409421</v>
      </c>
      <c r="EP31" s="62">
        <f t="shared" si="46"/>
        <v>341.9250949809848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10.434904162179471</v>
      </c>
      <c r="EY31" s="24">
        <f t="shared" si="21"/>
        <v>10.434904162179471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472.83070477639035</v>
      </c>
      <c r="T32" s="62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3.220841003903129</v>
      </c>
      <c r="AB32" s="23">
        <f>EXP(-LN(2)/2)*AB31+(1-EXP(-LN(2)/2))/(LN(2)/2)*V32*Y32*VLOOKUP('Données projet'!$B$9,Paramètres!$A$1:$I$89,3,0)*0.475*44/12</f>
        <v>4.1831454464412818</v>
      </c>
      <c r="AC32" s="24">
        <f t="shared" si="3"/>
        <v>7.4039864503444104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2">
        <f t="shared" si="5"/>
        <v>486.8355649583234</v>
      </c>
      <c r="AN32" s="62">
        <f ca="1">AVERAGE(OFFSET($AM$3,0,0,'Données projet'!$E$10+1,1))-AVERAGE(OFFSET($H$3,0,0,'Données projet'!$E$10+1,1))</f>
        <v>520.80494930257237</v>
      </c>
      <c r="AO32" s="62">
        <f t="shared" si="36"/>
        <v>325.72635759450861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3.6095631940293691</v>
      </c>
      <c r="AW32" s="23">
        <f>EXP(-LN(2)/2)*AW31+(1-EXP(-LN(2)/2))/(LN(2)/2)*AQ32*AT32*VLOOKUP('Données projet'!$B$10,Paramètres!$A$1:$I$89,3,0)*0.475*44/12</f>
        <v>4.6880078279083319</v>
      </c>
      <c r="AX32" s="23">
        <f t="shared" si="6"/>
        <v>8.297571021937701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23.267142857142858</v>
      </c>
      <c r="BD32" s="13">
        <f>IF('Données projet'!$A$88&gt;35,BD31+BC32-BL31,IF(A32&lt;'Données projet'!$A$88,$BA$205^A32,IF(A32='Données projet'!$A$88,'Données projet'!$B$88,BD31+BC32-BL31)))</f>
        <v>237.51714285714286</v>
      </c>
      <c r="BE32" s="14">
        <f>BD32*VLOOKUP('Données projet'!$B$11,Paramètres!$A$1:$I$89,3,0)*VLOOKUP('Données projet'!$B$11,Paramètres!$A$1:$I$89,5,0)</f>
        <v>132.77208285714286</v>
      </c>
      <c r="BF32" s="14">
        <f t="shared" si="37"/>
        <v>34.636117583630444</v>
      </c>
      <c r="BG32" s="22">
        <f t="shared" si="7"/>
        <v>291.5692824343468</v>
      </c>
      <c r="BH32" s="62">
        <f t="shared" si="8"/>
        <v>528.49717975712269</v>
      </c>
      <c r="BI32" s="62">
        <f ca="1">AVERAGE(OFFSET($BH$3,0,0,'Données projet'!$E$11+1,1))-AVERAGE(OFFSET($H$3,0,0,'Données projet'!$E$11+1,1))</f>
        <v>321.60602866722138</v>
      </c>
      <c r="BJ32" s="62">
        <f t="shared" si="38"/>
        <v>375.18886653687389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13.061653575355326</v>
      </c>
      <c r="BQ32" s="23">
        <f>EXP(-LN(2)/25)*BQ31+(1-EXP(-LN(2)/25))/(LN(2)/25)*Calculateur!BL32*Calculateur!BN32*VLOOKUP('Données projet'!$B$11,Paramètres!$A$1:$I$89,3,0)*0.475*44/12</f>
        <v>16.421127290408222</v>
      </c>
      <c r="BR32" s="23">
        <f>EXP(-LN(2)/2)*BR31+(1-EXP(-LN(2)/2))/(LN(2)/2)*BL32*BO32*VLOOKUP('Données projet'!$B$11,Paramètres!$A$1:$I$89,3,0)*0.475*44/12</f>
        <v>10.354771442582324</v>
      </c>
      <c r="BS32" s="24">
        <f t="shared" si="9"/>
        <v>39.83755230834587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8.4</v>
      </c>
      <c r="BY32" s="13">
        <f>IF('Données projet'!$A$114&gt;35,BY31+BX32-CG31,IF(A32&lt;'Données projet'!$A$114,$BV$205^A32,IF(A32='Données projet'!$A$114,'Données projet'!$B$114,BY31+BX32-CG31)))</f>
        <v>162.6</v>
      </c>
      <c r="BZ32" s="14">
        <f>BY32*VLOOKUP('Données projet'!$B$12,Paramètres!$A$1:$I$89,3,0)*VLOOKUP('Données projet'!$B$12,Paramètres!$A$1:$I$89,5,0)</f>
        <v>88.779600000000002</v>
      </c>
      <c r="CA32" s="14">
        <f t="shared" si="39"/>
        <v>24.270660436720163</v>
      </c>
      <c r="CB32" s="22">
        <f t="shared" si="10"/>
        <v>196.89587026062097</v>
      </c>
      <c r="CC32" s="62">
        <f t="shared" si="11"/>
        <v>433.82376758339683</v>
      </c>
      <c r="CD32" s="62">
        <f ca="1">AVERAGE(OFFSET($CC$3,0,0,'Données projet'!$E$12+1,1))-AVERAGE(OFFSET($H$3,0,0,'Données projet'!$E$12+1,1))</f>
        <v>182.44246264133781</v>
      </c>
      <c r="CE32" s="62">
        <f t="shared" si="40"/>
        <v>262.5818213397049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4.3952413465075928</v>
      </c>
      <c r="CL32" s="23">
        <f>EXP(-LN(2)/25)*CL31+(1-EXP(-LN(2)/25))/(LN(2)/25)*Calculateur!CG32*Calculateur!CI32*VLOOKUP('Données projet'!$B$12,Paramètres!$A$1:$I$89,3,0)*0.475*44/12</f>
        <v>18.608142126976514</v>
      </c>
      <c r="CM32" s="23">
        <f>EXP(-LN(2)/2)*CM31+(1-EXP(-LN(2)/2))/(LN(2)/2)*CG32*CJ32*VLOOKUP('Données projet'!$B$12,Paramètres!$A$1:$I$89,3,0)*0.475*44/12</f>
        <v>4.2688729293049472E-3</v>
      </c>
      <c r="CN32" s="24">
        <f t="shared" si="12"/>
        <v>23.007652346413412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240.7999999999999</v>
      </c>
      <c r="CU32" s="18">
        <f>CT32*VLOOKUP('Données projet'!$B$13,Paramètres!$A$1:$I$89,3,0)*VLOOKUP('Données projet'!$B$13,Paramètres!$A$1:$I$89,5,0)</f>
        <v>112.69439999999994</v>
      </c>
      <c r="CV32" s="14">
        <f t="shared" si="41"/>
        <v>29.964909381330607</v>
      </c>
      <c r="CW32" s="22">
        <f t="shared" si="13"/>
        <v>248.46496383915073</v>
      </c>
      <c r="CX32" s="62">
        <f t="shared" si="14"/>
        <v>485.39286116192659</v>
      </c>
      <c r="CY32" s="62">
        <f ca="1">AVERAGE(OFFSET($CX$3,0,0,'Données projet'!$E$13+1,1))-AVERAGE(OFFSET($H$3,0,0,'Données projet'!$E$13+1,1))</f>
        <v>426.87921482911719</v>
      </c>
      <c r="CZ32" s="62">
        <f t="shared" si="42"/>
        <v>313.49594674441835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108.13296000000003</v>
      </c>
      <c r="DQ32" s="14">
        <f t="shared" si="43"/>
        <v>28.890658079177882</v>
      </c>
      <c r="DR32" s="22">
        <f t="shared" si="16"/>
        <v>238.64946815456821</v>
      </c>
      <c r="DS32" s="62">
        <f t="shared" si="17"/>
        <v>475.57736547734407</v>
      </c>
      <c r="DT32" s="62">
        <f ca="1">AVERAGE(OFFSET($DS$3,0,0,'Données projet'!$E$14+1,1))-AVERAGE(OFFSET($H$3,0,0,'Données projet'!$E$14+1,1))</f>
        <v>500.25828825677058</v>
      </c>
      <c r="DU32" s="62">
        <f t="shared" si="44"/>
        <v>313.56299786481338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6.6300387338369235</v>
      </c>
      <c r="ED32" s="24">
        <f t="shared" si="18"/>
        <v>6.6300387338369235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9.1999999999999993</v>
      </c>
      <c r="EJ32" s="13">
        <f>IF('Données projet'!$A$192&gt;35,EJ31+EI32-ER31,IF(A32&lt;'Données projet'!$A$192,$EG$205^A32,IF(A32='Données projet'!$A$192,'Données projet'!$B$192,EJ31+EI32-ER31)))</f>
        <v>111.80000000000003</v>
      </c>
      <c r="EK32" s="18">
        <f>EJ32*VLOOKUP('Données projet'!$B$15,Paramètres!$A$1:$I$89,3,0)*VLOOKUP('Données projet'!$B$15,Paramètres!$A$1:$I$89,5,0)</f>
        <v>120.34152000000002</v>
      </c>
      <c r="EL32" s="14">
        <f t="shared" si="45"/>
        <v>31.754640046026051</v>
      </c>
      <c r="EM32" s="22">
        <f t="shared" si="19"/>
        <v>264.90081208016204</v>
      </c>
      <c r="EN32" s="62">
        <f t="shared" si="20"/>
        <v>501.82870940293787</v>
      </c>
      <c r="EO32" s="62">
        <f ca="1">AVERAGE(OFFSET($EN$3,0,0,'Données projet'!$E$15+1,1))-AVERAGE(OFFSET($H$3,0,0,'Données projet'!$E$15+1,1))</f>
        <v>548.17046467409421</v>
      </c>
      <c r="EP32" s="62">
        <f t="shared" si="46"/>
        <v>341.9250949809848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7.378591494108834</v>
      </c>
      <c r="EY32" s="24">
        <f t="shared" si="21"/>
        <v>7.378591494108834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472.83070477639035</v>
      </c>
      <c r="T33" s="62">
        <f t="shared" si="34"/>
        <v>297.32483725004136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0.215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9.1304406496690369</v>
      </c>
      <c r="AB33" s="23">
        <f>EXP(-LN(2)/2)*AB32+(1-EXP(-LN(2)/2))/(LN(2)/2)*V33*Y33*VLOOKUP('Données projet'!$B$9,Paramètres!$A$1:$I$89,3,0)*0.475*44/12</f>
        <v>14.909774644557633</v>
      </c>
      <c r="AC33" s="24">
        <f t="shared" si="3"/>
        <v>24.04021529422667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2">
        <f t="shared" si="5"/>
        <v>509.05969092784198</v>
      </c>
      <c r="AN33" s="62">
        <f ca="1">AVERAGE(OFFSET($AM$3,0,0,'Données projet'!$E$10+1,1))-AVERAGE(OFFSET($H$3,0,0,'Données projet'!$E$10+1,1))</f>
        <v>520.80494930257237</v>
      </c>
      <c r="AO33" s="62">
        <f t="shared" si="36"/>
        <v>325.72635759450861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0.215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10.232390383249783</v>
      </c>
      <c r="AW33" s="23">
        <f>EXP(-LN(2)/2)*AW32+(1-EXP(-LN(2)/2))/(LN(2)/2)*AQ33*AT33*VLOOKUP('Données projet'!$B$10,Paramètres!$A$1:$I$89,3,0)*0.475*44/12</f>
        <v>16.709230205107691</v>
      </c>
      <c r="AX33" s="23">
        <f t="shared" si="6"/>
        <v>26.941620588357473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23.267142857142858</v>
      </c>
      <c r="BD33" s="13">
        <f>IF('Données projet'!$A$88&gt;35,BD32+BC33-BL32,IF(A33&lt;'Données projet'!$A$88,$BA$205^A33,IF(A33='Données projet'!$A$88,'Données projet'!$B$88,BD32+BC33-BL32)))</f>
        <v>260.78428571428572</v>
      </c>
      <c r="BE33" s="14">
        <f>BD33*VLOOKUP('Données projet'!$B$11,Paramètres!$A$1:$I$89,3,0)*VLOOKUP('Données projet'!$B$11,Paramètres!$A$1:$I$89,5,0)</f>
        <v>145.7784157142857</v>
      </c>
      <c r="BF33" s="14">
        <f t="shared" si="37"/>
        <v>37.617627311837914</v>
      </c>
      <c r="BG33" s="22">
        <f t="shared" si="7"/>
        <v>319.4147749371653</v>
      </c>
      <c r="BH33" s="62">
        <f t="shared" si="8"/>
        <v>558.52219987020726</v>
      </c>
      <c r="BI33" s="62">
        <f ca="1">AVERAGE(OFFSET($BH$3,0,0,'Données projet'!$E$11+1,1))-AVERAGE(OFFSET($H$3,0,0,'Données projet'!$E$11+1,1))</f>
        <v>321.60602866722138</v>
      </c>
      <c r="BJ33" s="62">
        <f t="shared" si="38"/>
        <v>375.18886653687389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12.805522515564631</v>
      </c>
      <c r="BQ33" s="23">
        <f>EXP(-LN(2)/25)*BQ32+(1-EXP(-LN(2)/25))/(LN(2)/25)*Calculateur!BL33*Calculateur!BN33*VLOOKUP('Données projet'!$B$11,Paramètres!$A$1:$I$89,3,0)*0.475*44/12</f>
        <v>15.972090701102456</v>
      </c>
      <c r="BR33" s="23">
        <f>EXP(-LN(2)/2)*BR32+(1-EXP(-LN(2)/2))/(LN(2)/2)*BL33*BO33*VLOOKUP('Données projet'!$B$11,Paramètres!$A$1:$I$89,3,0)*0.475*44/12</f>
        <v>7.3219291046867712</v>
      </c>
      <c r="BS33" s="24">
        <f t="shared" si="9"/>
        <v>36.099542321353859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171</v>
      </c>
      <c r="BW33" s="13">
        <f>VLOOKUP(A33,'Données projet'!$A$113:$I$133,9,0)</f>
        <v>8.4</v>
      </c>
      <c r="BX33" s="13">
        <f t="array" ref="BX33">INDEX(BW:BW,MIN(IF(ISNUMBER(BW33:BW229),ROW(BW33:BW229),"")))</f>
        <v>8.4</v>
      </c>
      <c r="BY33" s="13">
        <f>IF('Données projet'!$A$114&gt;35,BY32+BX33-CG32,IF(A33&lt;'Données projet'!$A$114,$BV$205^A33,IF(A33='Données projet'!$A$114,'Données projet'!$B$114,BY32+BX33-CG32)))</f>
        <v>171</v>
      </c>
      <c r="BZ33" s="14">
        <f>BY33*VLOOKUP('Données projet'!$B$12,Paramètres!$A$1:$I$89,3,0)*VLOOKUP('Données projet'!$B$12,Paramètres!$A$1:$I$89,5,0)</f>
        <v>93.366</v>
      </c>
      <c r="CA33" s="14">
        <f t="shared" si="39"/>
        <v>25.375280233490678</v>
      </c>
      <c r="CB33" s="22">
        <f t="shared" si="10"/>
        <v>206.80772973999626</v>
      </c>
      <c r="CC33" s="62">
        <f t="shared" si="11"/>
        <v>445.91515467303827</v>
      </c>
      <c r="CD33" s="62">
        <f ca="1">AVERAGE(OFFSET($CC$3,0,0,'Données projet'!$E$12+1,1))-AVERAGE(OFFSET($H$3,0,0,'Données projet'!$E$12+1,1))</f>
        <v>182.44246264133781</v>
      </c>
      <c r="CE33" s="62">
        <f t="shared" si="40"/>
        <v>262.5818213397049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19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4.3090533445350898</v>
      </c>
      <c r="CL33" s="23">
        <f>EXP(-LN(2)/25)*CL32+(1-EXP(-LN(2)/25))/(LN(2)/25)*Calculateur!CG33*Calculateur!CI33*VLOOKUP('Données projet'!$B$12,Paramètres!$A$1:$I$89,3,0)*0.475*44/12</f>
        <v>18.099301501954677</v>
      </c>
      <c r="CM33" s="23">
        <f>EXP(-LN(2)/2)*CM32+(1-EXP(-LN(2)/2))/(LN(2)/2)*CG33*CJ33*VLOOKUP('Données projet'!$B$12,Paramètres!$A$1:$I$89,3,0)*0.475*44/12</f>
        <v>3.0185489963352095E-3</v>
      </c>
      <c r="CN33" s="24">
        <f t="shared" si="12"/>
        <v>22.411373395486102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250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249.99999999999989</v>
      </c>
      <c r="CU33" s="18">
        <f>CT33*VLOOKUP('Données projet'!$B$13,Paramètres!$A$1:$I$89,3,0)*VLOOKUP('Données projet'!$B$13,Paramètres!$A$1:$I$89,5,0)</f>
        <v>116.99999999999994</v>
      </c>
      <c r="CV33" s="14">
        <f t="shared" si="41"/>
        <v>30.974270896484118</v>
      </c>
      <c r="CW33" s="22">
        <f t="shared" si="13"/>
        <v>257.72185514470976</v>
      </c>
      <c r="CX33" s="62">
        <f t="shared" si="14"/>
        <v>496.82928007775172</v>
      </c>
      <c r="CY33" s="62">
        <f ca="1">AVERAGE(OFFSET($CX$3,0,0,'Données projet'!$E$13+1,1))-AVERAGE(OFFSET($H$3,0,0,'Données projet'!$E$13+1,1))</f>
        <v>426.87921482911719</v>
      </c>
      <c r="CZ33" s="62">
        <f t="shared" si="42"/>
        <v>313.49594674441835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117.03120000000003</v>
      </c>
      <c r="DQ33" s="14">
        <f t="shared" si="43"/>
        <v>30.981569147428555</v>
      </c>
      <c r="DR33" s="22">
        <f t="shared" si="16"/>
        <v>257.78890626510474</v>
      </c>
      <c r="DS33" s="62">
        <f t="shared" si="17"/>
        <v>496.89633119814675</v>
      </c>
      <c r="DT33" s="62">
        <f ca="1">AVERAGE(OFFSET($DS$3,0,0,'Données projet'!$E$14+1,1))-AVERAGE(OFFSET($H$3,0,0,'Données projet'!$E$14+1,1))</f>
        <v>500.25828825677058</v>
      </c>
      <c r="DU33" s="62">
        <f t="shared" si="44"/>
        <v>313.56299786481338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28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8.6000000000000007E-2</v>
      </c>
      <c r="DZ33" s="17">
        <f>IF(ISNA(VLOOKUP(A33,'Données projet'!$A$165:$I$185,7,0)),0%,VLOOKUP(A33,'Données projet'!$A$165:$I$185,7,0))</f>
        <v>0.8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2.5645225528858413</v>
      </c>
      <c r="EC33" s="23">
        <f>EXP(-LN(2)/2)*EC32+(1-EXP(-LN(2)/2))/(LN(2)/2)*DW33*DZ33*VLOOKUP('Données projet'!$B$14,Paramètres!$A$1:$I$89,3,0)*0.475*44/12</f>
        <v>25.129920140687386</v>
      </c>
      <c r="ED33" s="24">
        <f t="shared" si="18"/>
        <v>27.694442693573226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</v>
      </c>
      <c r="EH33" s="13">
        <f>VLOOKUP(A33,'Données projet'!$A$191:$I$211,9,0)</f>
        <v>9.1999999999999993</v>
      </c>
      <c r="EI33" s="13">
        <f t="array" ref="EI33">INDEX(EH:EH,MIN(IF(ISNUMBER(EH33:EH229),ROW(EH33:EH229),"")))</f>
        <v>9.1999999999999993</v>
      </c>
      <c r="EJ33" s="13">
        <f>IF('Données projet'!$A$192&gt;35,EJ32+EI33-ER32,IF(A33&lt;'Données projet'!$A$192,$EG$205^A33,IF(A33='Données projet'!$A$192,'Données projet'!$B$192,EJ32+EI33-ER32)))</f>
        <v>121.00000000000003</v>
      </c>
      <c r="EK33" s="18">
        <f>EJ33*VLOOKUP('Données projet'!$B$15,Paramètres!$A$1:$I$89,3,0)*VLOOKUP('Données projet'!$B$15,Paramètres!$A$1:$I$89,5,0)</f>
        <v>130.24440000000001</v>
      </c>
      <c r="EL33" s="14">
        <f t="shared" si="45"/>
        <v>34.052826821785409</v>
      </c>
      <c r="EM33" s="22">
        <f t="shared" si="19"/>
        <v>286.15100338127621</v>
      </c>
      <c r="EN33" s="62">
        <f t="shared" si="20"/>
        <v>525.25842831431817</v>
      </c>
      <c r="EO33" s="62">
        <f ca="1">AVERAGE(OFFSET($EN$3,0,0,'Données projet'!$E$15+1,1))-AVERAGE(OFFSET($H$3,0,0,'Données projet'!$E$15+1,1))</f>
        <v>548.17046467409421</v>
      </c>
      <c r="EP33" s="62">
        <f t="shared" si="46"/>
        <v>341.9250949809848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28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8.6000000000000007E-2</v>
      </c>
      <c r="EU33" s="17">
        <f>IF(ISNA(VLOOKUP(A33,'Données projet'!$A$191:$I$211,7,0)),0%,VLOOKUP(A33,'Données projet'!$A$191:$I$211,7,0))</f>
        <v>0.8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2.854065421760049</v>
      </c>
      <c r="EX33" s="23">
        <f>EXP(-LN(2)/2)*EX32+(1-EXP(-LN(2)/2))/(LN(2)/2)*ER33*EU33*VLOOKUP('Données projet'!$B$15,Paramètres!$A$1:$I$89,3,0)*0.475*44/12</f>
        <v>27.967169188829505</v>
      </c>
      <c r="EY33" s="24">
        <f t="shared" si="21"/>
        <v>30.821234610589553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448.04856966052495</v>
      </c>
      <c r="S34" s="62">
        <f ca="1">AVERAGE(OFFSET($R$3,0,0,'Données projet'!$E$9+1,1))-AVERAGE(OFFSET($H$3,0,0,'Données projet'!$E$9+1,1))</f>
        <v>472.83070477639035</v>
      </c>
      <c r="T34" s="62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8.8807682699548316</v>
      </c>
      <c r="AB34" s="23">
        <f>EXP(-LN(2)/2)*AB33+(1-EXP(-LN(2)/2))/(LN(2)/2)*V34*Y34*VLOOKUP('Données projet'!$B$9,Paramètres!$A$1:$I$89,3,0)*0.475*44/12</f>
        <v>10.54280275712995</v>
      </c>
      <c r="AC34" s="24">
        <f t="shared" si="3"/>
        <v>19.423571027084783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105.25320000000005</v>
      </c>
      <c r="AK34" s="14">
        <f t="shared" si="35"/>
        <v>28.209746498519422</v>
      </c>
      <c r="AL34" s="22">
        <f t="shared" si="4"/>
        <v>232.44796515158808</v>
      </c>
      <c r="AM34" s="62">
        <f t="shared" si="5"/>
        <v>472.49608836440564</v>
      </c>
      <c r="AN34" s="62">
        <f ca="1">AVERAGE(OFFSET($AM$3,0,0,'Données projet'!$E$10+1,1))-AVERAGE(OFFSET($H$3,0,0,'Données projet'!$E$10+1,1))</f>
        <v>520.80494930257237</v>
      </c>
      <c r="AO34" s="62">
        <f t="shared" si="36"/>
        <v>325.72635759450861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9.9525851301217934</v>
      </c>
      <c r="AW34" s="23">
        <f>EXP(-LN(2)/2)*AW33+(1-EXP(-LN(2)/2))/(LN(2)/2)*AQ34*AT34*VLOOKUP('Données projet'!$B$10,Paramètres!$A$1:$I$89,3,0)*0.475*44/12</f>
        <v>11.815209986438735</v>
      </c>
      <c r="AX34" s="23">
        <f t="shared" si="6"/>
        <v>21.767795116560528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23.267142857142858</v>
      </c>
      <c r="BD34" s="13">
        <f>IF('Données projet'!$A$88&gt;35,BD33+BC34-BL33,IF(A34&lt;'Données projet'!$A$88,$BA$205^A34,IF(A34='Données projet'!$A$88,'Données projet'!$B$88,BD33+BC34-BL33)))</f>
        <v>284.05142857142857</v>
      </c>
      <c r="BE34" s="14">
        <f>BD34*VLOOKUP('Données projet'!$B$11,Paramètres!$A$1:$I$89,3,0)*VLOOKUP('Données projet'!$B$11,Paramètres!$A$1:$I$89,5,0)</f>
        <v>158.78474857142857</v>
      </c>
      <c r="BF34" s="14">
        <f t="shared" si="37"/>
        <v>40.568290544193985</v>
      </c>
      <c r="BG34" s="22">
        <f t="shared" si="7"/>
        <v>347.20654312637589</v>
      </c>
      <c r="BH34" s="62">
        <f t="shared" si="8"/>
        <v>587.25466633919348</v>
      </c>
      <c r="BI34" s="62">
        <f ca="1">AVERAGE(OFFSET($BH$3,0,0,'Données projet'!$E$11+1,1))-AVERAGE(OFFSET($H$3,0,0,'Données projet'!$E$11+1,1))</f>
        <v>321.60602866722138</v>
      </c>
      <c r="BJ34" s="62">
        <f t="shared" si="38"/>
        <v>375.18886653687389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12.554414029631911</v>
      </c>
      <c r="BQ34" s="23">
        <f>EXP(-LN(2)/25)*BQ33+(1-EXP(-LN(2)/25))/(LN(2)/25)*Calculateur!BL34*Calculateur!BN34*VLOOKUP('Données projet'!$B$11,Paramètres!$A$1:$I$89,3,0)*0.475*44/12</f>
        <v>15.535333040945064</v>
      </c>
      <c r="BR34" s="23">
        <f>EXP(-LN(2)/2)*BR33+(1-EXP(-LN(2)/2))/(LN(2)/2)*BL34*BO34*VLOOKUP('Données projet'!$B$11,Paramètres!$A$1:$I$89,3,0)*0.475*44/12</f>
        <v>5.1773857212911629</v>
      </c>
      <c r="BS34" s="24">
        <f t="shared" si="9"/>
        <v>33.267132791868136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6.6</v>
      </c>
      <c r="BY34" s="13">
        <f>IF('Données projet'!$A$114&gt;35,BY33+BX34-CG33,IF(A34&lt;'Données projet'!$A$114,$BV$205^A34,IF(A34='Données projet'!$A$114,'Données projet'!$B$114,BY33+BX34-CG33)))</f>
        <v>158.6</v>
      </c>
      <c r="BZ34" s="14">
        <f>BY34*VLOOKUP('Données projet'!$B$12,Paramètres!$A$1:$I$89,3,0)*VLOOKUP('Données projet'!$B$12,Paramètres!$A$1:$I$89,5,0)</f>
        <v>86.59559999999999</v>
      </c>
      <c r="CA34" s="14">
        <f t="shared" si="39"/>
        <v>23.742332153806089</v>
      </c>
      <c r="CB34" s="22">
        <f t="shared" si="10"/>
        <v>192.17189850121224</v>
      </c>
      <c r="CC34" s="62">
        <f t="shared" si="11"/>
        <v>432.22002171402983</v>
      </c>
      <c r="CD34" s="62">
        <f ca="1">AVERAGE(OFFSET($CC$3,0,0,'Données projet'!$E$12+1,1))-AVERAGE(OFFSET($H$3,0,0,'Données projet'!$E$12+1,1))</f>
        <v>182.44246264133781</v>
      </c>
      <c r="CE34" s="62">
        <f t="shared" si="40"/>
        <v>262.5818213397049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4.2245554367117775</v>
      </c>
      <c r="CL34" s="23">
        <f>EXP(-LN(2)/25)*CL33+(1-EXP(-LN(2)/25))/(LN(2)/25)*Calculateur!CG34*Calculateur!CI34*VLOOKUP('Données projet'!$B$12,Paramètres!$A$1:$I$89,3,0)*0.475*44/12</f>
        <v>17.604375150582829</v>
      </c>
      <c r="CM34" s="23">
        <f>EXP(-LN(2)/2)*CM33+(1-EXP(-LN(2)/2))/(LN(2)/2)*CG34*CJ34*VLOOKUP('Données projet'!$B$12,Paramètres!$A$1:$I$89,3,0)*0.475*44/12</f>
        <v>2.1344364646524736E-3</v>
      </c>
      <c r="CN34" s="24">
        <f t="shared" si="12"/>
        <v>21.831065023759258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</v>
      </c>
      <c r="CT34" s="13">
        <f>IF('Données projet'!$A$140&gt;35,CT33+CS34-DB33,IF(A34&lt;'Données projet'!$A$140,$CQ$205^A34,IF(A34='Données projet'!$A$140,'Données projet'!$B$140,CT33+CS34-DB33)))</f>
        <v>259.99999999999989</v>
      </c>
      <c r="CU34" s="18">
        <f>CT34*VLOOKUP('Données projet'!$B$13,Paramètres!$A$1:$I$89,3,0)*VLOOKUP('Données projet'!$B$13,Paramètres!$A$1:$I$89,5,0)</f>
        <v>121.67999999999994</v>
      </c>
      <c r="CV34" s="14">
        <f t="shared" si="41"/>
        <v>32.066514091456256</v>
      </c>
      <c r="CW34" s="22">
        <f t="shared" si="13"/>
        <v>267.77517870928619</v>
      </c>
      <c r="CX34" s="62">
        <f t="shared" si="14"/>
        <v>507.82330192210372</v>
      </c>
      <c r="CY34" s="62">
        <f ca="1">AVERAGE(OFFSET($CX$3,0,0,'Données projet'!$E$13+1,1))-AVERAGE(OFFSET($H$3,0,0,'Données projet'!$E$13+1,1))</f>
        <v>426.87921482911719</v>
      </c>
      <c r="CZ34" s="62">
        <f t="shared" si="42"/>
        <v>313.49594674441835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103.80000000000004</v>
      </c>
      <c r="DP34" s="18">
        <f>DO34*VLOOKUP('Données projet'!$B$14,Paramètres!$A$1:$I$89,3,0)*VLOOKUP('Données projet'!$B$14,Paramètres!$A$1:$I$89,5,0)</f>
        <v>100.39536000000004</v>
      </c>
      <c r="DQ34" s="14">
        <f t="shared" si="43"/>
        <v>27.056164975430569</v>
      </c>
      <c r="DR34" s="22">
        <f t="shared" si="16"/>
        <v>221.97807266554162</v>
      </c>
      <c r="DS34" s="62">
        <f t="shared" si="17"/>
        <v>462.0261958783592</v>
      </c>
      <c r="DT34" s="62">
        <f ca="1">AVERAGE(OFFSET($DS$3,0,0,'Données projet'!$E$14+1,1))-AVERAGE(OFFSET($H$3,0,0,'Données projet'!$E$14+1,1))</f>
        <v>500.25828825677058</v>
      </c>
      <c r="DU34" s="62">
        <f t="shared" si="44"/>
        <v>313.56299786481338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2.4943955488147984</v>
      </c>
      <c r="EC34" s="23">
        <f>EXP(-LN(2)/2)*EC33+(1-EXP(-LN(2)/2))/(LN(2)/2)*DW34*DZ34*VLOOKUP('Données projet'!$B$14,Paramètres!$A$1:$I$89,3,0)*0.475*44/12</f>
        <v>17.769536942156449</v>
      </c>
      <c r="ED34" s="24">
        <f t="shared" si="18"/>
        <v>20.263932490971246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10.8</v>
      </c>
      <c r="EJ34" s="13">
        <f>IF('Données projet'!$A$192&gt;35,EJ33+EI34-ER33,IF(A34&lt;'Données projet'!$A$192,$EG$205^A34,IF(A34='Données projet'!$A$192,'Données projet'!$B$192,EJ33+EI34-ER33)))</f>
        <v>103.80000000000004</v>
      </c>
      <c r="EK34" s="18">
        <f>EJ34*VLOOKUP('Données projet'!$B$15,Paramètres!$A$1:$I$89,3,0)*VLOOKUP('Données projet'!$B$15,Paramètres!$A$1:$I$89,5,0)</f>
        <v>111.73032000000005</v>
      </c>
      <c r="EL34" s="14">
        <f t="shared" si="45"/>
        <v>29.738290400519091</v>
      </c>
      <c r="EM34" s="22">
        <f t="shared" si="19"/>
        <v>246.39116311423746</v>
      </c>
      <c r="EN34" s="62">
        <f t="shared" si="20"/>
        <v>486.43928632705502</v>
      </c>
      <c r="EO34" s="62">
        <f ca="1">AVERAGE(OFFSET($EN$3,0,0,'Données projet'!$E$15+1,1))-AVERAGE(OFFSET($H$3,0,0,'Données projet'!$E$15+1,1))</f>
        <v>548.17046467409421</v>
      </c>
      <c r="EP34" s="62">
        <f t="shared" si="46"/>
        <v>341.9250949809848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2.7760208527132431</v>
      </c>
      <c r="EX34" s="23">
        <f>EXP(-LN(2)/2)*EX33+(1-EXP(-LN(2)/2))/(LN(2)/2)*ER34*EU34*VLOOKUP('Données projet'!$B$15,Paramètres!$A$1:$I$89,3,0)*0.475*44/12</f>
        <v>19.77577498401282</v>
      </c>
      <c r="EY34" s="24">
        <f t="shared" si="21"/>
        <v>22.551795836726065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470.05274465984064</v>
      </c>
      <c r="S35" s="62">
        <f ca="1">AVERAGE(OFFSET($R$3,0,0,'Données projet'!$E$9+1,1))-AVERAGE(OFFSET($H$3,0,0,'Données projet'!$E$9+1,1))</f>
        <v>472.83070477639035</v>
      </c>
      <c r="T35" s="62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8.6379231945936112</v>
      </c>
      <c r="AB35" s="23">
        <f>EXP(-LN(2)/2)*AB34+(1-EXP(-LN(2)/2))/(LN(2)/2)*V35*Y35*VLOOKUP('Données projet'!$B$9,Paramètres!$A$1:$I$89,3,0)*0.475*44/12</f>
        <v>7.4548873222788181</v>
      </c>
      <c r="AC35" s="24">
        <f t="shared" si="3"/>
        <v>16.092810516872429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116.20440000000004</v>
      </c>
      <c r="AK35" s="14">
        <f t="shared" si="35"/>
        <v>30.788088768016376</v>
      </c>
      <c r="AL35" s="22">
        <f t="shared" si="4"/>
        <v>256.01191793762854</v>
      </c>
      <c r="AM35" s="62">
        <f t="shared" si="5"/>
        <v>496.98442041815383</v>
      </c>
      <c r="AN35" s="62">
        <f ca="1">AVERAGE(OFFSET($AM$3,0,0,'Données projet'!$E$10+1,1))-AVERAGE(OFFSET($H$3,0,0,'Données projet'!$E$10+1,1))</f>
        <v>520.80494930257237</v>
      </c>
      <c r="AO35" s="62">
        <f t="shared" si="36"/>
        <v>325.72635759450861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9.6804311663549072</v>
      </c>
      <c r="AW35" s="23">
        <f>EXP(-LN(2)/2)*AW34+(1-EXP(-LN(2)/2))/(LN(2)/2)*AQ35*AT35*VLOOKUP('Données projet'!$B$10,Paramètres!$A$1:$I$89,3,0)*0.475*44/12</f>
        <v>8.3546151025538453</v>
      </c>
      <c r="AX35" s="23">
        <f t="shared" si="6"/>
        <v>18.035046268908751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23.267142857142858</v>
      </c>
      <c r="BD35" s="13">
        <f>IF('Données projet'!$A$88&gt;35,BD34+BC35-BL34,IF(A35&lt;'Données projet'!$A$88,$BA$205^A35,IF(A35='Données projet'!$A$88,'Données projet'!$B$88,BD34+BC35-BL34)))</f>
        <v>307.31857142857143</v>
      </c>
      <c r="BE35" s="14">
        <f>BD35*VLOOKUP('Données projet'!$B$11,Paramètres!$A$1:$I$89,3,0)*VLOOKUP('Données projet'!$B$11,Paramètres!$A$1:$I$89,5,0)</f>
        <v>171.79108142857143</v>
      </c>
      <c r="BF35" s="14">
        <f t="shared" si="37"/>
        <v>43.490921229423932</v>
      </c>
      <c r="BG35" s="22">
        <f t="shared" si="7"/>
        <v>374.94948796267522</v>
      </c>
      <c r="BH35" s="62">
        <f t="shared" si="8"/>
        <v>615.92199044320057</v>
      </c>
      <c r="BI35" s="62">
        <f ca="1">AVERAGE(OFFSET($BH$3,0,0,'Données projet'!$E$11+1,1))-AVERAGE(OFFSET($H$3,0,0,'Données projet'!$E$11+1,1))</f>
        <v>321.60602866722138</v>
      </c>
      <c r="BJ35" s="62">
        <f t="shared" si="38"/>
        <v>375.18886653687389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12.308229627947277</v>
      </c>
      <c r="BQ35" s="23">
        <f>EXP(-LN(2)/25)*BQ34+(1-EXP(-LN(2)/25))/(LN(2)/25)*Calculateur!BL35*Calculateur!BN35*VLOOKUP('Données projet'!$B$11,Paramètres!$A$1:$I$89,3,0)*0.475*44/12</f>
        <v>15.110518541972763</v>
      </c>
      <c r="BR35" s="23">
        <f>EXP(-LN(2)/2)*BR34+(1-EXP(-LN(2)/2))/(LN(2)/2)*BL35*BO35*VLOOKUP('Données projet'!$B$11,Paramètres!$A$1:$I$89,3,0)*0.475*44/12</f>
        <v>3.660964552343386</v>
      </c>
      <c r="BS35" s="24">
        <f t="shared" si="9"/>
        <v>31.079712722263427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6.6</v>
      </c>
      <c r="BY35" s="13">
        <f>IF('Données projet'!$A$114&gt;35,BY34+BX35-CG34,IF(A35&lt;'Données projet'!$A$114,$BV$205^A35,IF(A35='Données projet'!$A$114,'Données projet'!$B$114,BY34+BX35-CG34)))</f>
        <v>165.2</v>
      </c>
      <c r="BZ35" s="14">
        <f>BY35*VLOOKUP('Données projet'!$B$12,Paramètres!$A$1:$I$89,3,0)*VLOOKUP('Données projet'!$B$12,Paramètres!$A$1:$I$89,5,0)</f>
        <v>90.19919999999999</v>
      </c>
      <c r="CA35" s="14">
        <f t="shared" si="39"/>
        <v>24.613261053665369</v>
      </c>
      <c r="CB35" s="22">
        <f t="shared" si="10"/>
        <v>199.96503633513382</v>
      </c>
      <c r="CC35" s="62">
        <f t="shared" si="11"/>
        <v>440.93753881565914</v>
      </c>
      <c r="CD35" s="62">
        <f ca="1">AVERAGE(OFFSET($CC$3,0,0,'Données projet'!$E$12+1,1))-AVERAGE(OFFSET($H$3,0,0,'Données projet'!$E$12+1,1))</f>
        <v>182.44246264133781</v>
      </c>
      <c r="CE35" s="62">
        <f t="shared" si="40"/>
        <v>262.5818213397049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4.1417144813222455</v>
      </c>
      <c r="CL35" s="23">
        <f>EXP(-LN(2)/25)*CL34+(1-EXP(-LN(2)/25))/(LN(2)/25)*Calculateur!CG35*Calculateur!CI35*VLOOKUP('Données projet'!$B$12,Paramètres!$A$1:$I$89,3,0)*0.475*44/12</f>
        <v>17.122982586316287</v>
      </c>
      <c r="CM35" s="23">
        <f>EXP(-LN(2)/2)*CM34+(1-EXP(-LN(2)/2))/(LN(2)/2)*CG35*CJ35*VLOOKUP('Données projet'!$B$12,Paramètres!$A$1:$I$89,3,0)*0.475*44/12</f>
        <v>1.5092744981676047E-3</v>
      </c>
      <c r="CN35" s="24">
        <f t="shared" si="12"/>
        <v>21.266206342136702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</v>
      </c>
      <c r="CT35" s="13">
        <f>IF('Données projet'!$A$140&gt;35,CT34+CS35-DB34,IF(A35&lt;'Données projet'!$A$140,$CQ$205^A35,IF(A35='Données projet'!$A$140,'Données projet'!$B$140,CT34+CS35-DB34)))</f>
        <v>269.99999999999989</v>
      </c>
      <c r="CU35" s="18">
        <f>CT35*VLOOKUP('Données projet'!$B$13,Paramètres!$A$1:$I$89,3,0)*VLOOKUP('Données projet'!$B$13,Paramètres!$A$1:$I$89,5,0)</f>
        <v>126.35999999999996</v>
      </c>
      <c r="CV35" s="14">
        <f t="shared" si="41"/>
        <v>33.153877056327453</v>
      </c>
      <c r="CW35" s="22">
        <f t="shared" si="13"/>
        <v>277.82000253977026</v>
      </c>
      <c r="CX35" s="62">
        <f t="shared" si="14"/>
        <v>518.79250502029561</v>
      </c>
      <c r="CY35" s="62">
        <f ca="1">AVERAGE(OFFSET($CX$3,0,0,'Données projet'!$E$13+1,1))-AVERAGE(OFFSET($H$3,0,0,'Données projet'!$E$13+1,1))</f>
        <v>426.87921482911719</v>
      </c>
      <c r="CZ35" s="62">
        <f t="shared" si="42"/>
        <v>313.49594674441835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114.60000000000004</v>
      </c>
      <c r="DP35" s="18">
        <f>DO35*VLOOKUP('Données projet'!$B$14,Paramètres!$A$1:$I$89,3,0)*VLOOKUP('Données projet'!$B$14,Paramètres!$A$1:$I$89,5,0)</f>
        <v>110.84112000000003</v>
      </c>
      <c r="DQ35" s="14">
        <f t="shared" si="43"/>
        <v>29.529071061640771</v>
      </c>
      <c r="DR35" s="22">
        <f t="shared" si="16"/>
        <v>244.47808276569106</v>
      </c>
      <c r="DS35" s="62">
        <f t="shared" si="17"/>
        <v>485.45058524621641</v>
      </c>
      <c r="DT35" s="62">
        <f ca="1">AVERAGE(OFFSET($DS$3,0,0,'Données projet'!$E$14+1,1))-AVERAGE(OFFSET($H$3,0,0,'Données projet'!$E$14+1,1))</f>
        <v>500.25828825677058</v>
      </c>
      <c r="DU35" s="62">
        <f t="shared" si="44"/>
        <v>313.56299786481338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2.4261861713578967</v>
      </c>
      <c r="EC35" s="23">
        <f>EXP(-LN(2)/2)*EC34+(1-EXP(-LN(2)/2))/(LN(2)/2)*DW35*DZ35*VLOOKUP('Données projet'!$B$14,Paramètres!$A$1:$I$89,3,0)*0.475*44/12</f>
        <v>12.564960070343695</v>
      </c>
      <c r="ED35" s="24">
        <f t="shared" si="18"/>
        <v>14.991146241701591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10.8</v>
      </c>
      <c r="EJ35" s="13">
        <f>IF('Données projet'!$A$192&gt;35,EJ34+EI35-ER34,IF(A35&lt;'Données projet'!$A$192,$EG$205^A35,IF(A35='Données projet'!$A$192,'Données projet'!$B$192,EJ34+EI35-ER34)))</f>
        <v>114.60000000000004</v>
      </c>
      <c r="EK35" s="18">
        <f>EJ35*VLOOKUP('Données projet'!$B$15,Paramètres!$A$1:$I$89,3,0)*VLOOKUP('Données projet'!$B$15,Paramètres!$A$1:$I$89,5,0)</f>
        <v>123.35544000000004</v>
      </c>
      <c r="EL35" s="14">
        <f t="shared" si="45"/>
        <v>32.456340035111126</v>
      </c>
      <c r="EM35" s="22">
        <f t="shared" si="19"/>
        <v>271.37218356115193</v>
      </c>
      <c r="EN35" s="62">
        <f t="shared" si="20"/>
        <v>512.34468604167728</v>
      </c>
      <c r="EO35" s="62">
        <f ca="1">AVERAGE(OFFSET($EN$3,0,0,'Données projet'!$E$15+1,1))-AVERAGE(OFFSET($H$3,0,0,'Données projet'!$E$15+1,1))</f>
        <v>548.17046467409421</v>
      </c>
      <c r="EP35" s="62">
        <f t="shared" si="46"/>
        <v>341.9250949809848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2.7001104165112073</v>
      </c>
      <c r="EX35" s="23">
        <f>EXP(-LN(2)/2)*EX34+(1-EXP(-LN(2)/2))/(LN(2)/2)*ER35*EU35*VLOOKUP('Données projet'!$B$15,Paramètres!$A$1:$I$89,3,0)*0.475*44/12</f>
        <v>13.983584594414754</v>
      </c>
      <c r="EY35" s="24">
        <f t="shared" si="21"/>
        <v>16.683695010925963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491.99651561325675</v>
      </c>
      <c r="S36" s="62">
        <f ca="1">AVERAGE(OFFSET($R$3,0,0,'Données projet'!$E$9+1,1))-AVERAGE(OFFSET($H$3,0,0,'Données projet'!$E$9+1,1))</f>
        <v>472.83070477639035</v>
      </c>
      <c r="T36" s="62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8.4017187305888097</v>
      </c>
      <c r="AB36" s="23">
        <f>EXP(-LN(2)/2)*AB35+(1-EXP(-LN(2)/2))/(LN(2)/2)*V36*Y36*VLOOKUP('Données projet'!$B$9,Paramètres!$A$1:$I$89,3,0)*0.475*44/12</f>
        <v>5.2714013785649758</v>
      </c>
      <c r="AC36" s="24">
        <f t="shared" si="3"/>
        <v>13.673120109153786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127.15560000000004</v>
      </c>
      <c r="AK36" s="14">
        <f t="shared" si="35"/>
        <v>33.338258149231912</v>
      </c>
      <c r="AL36" s="22">
        <f t="shared" si="4"/>
        <v>279.52680294324563</v>
      </c>
      <c r="AM36" s="62">
        <f t="shared" si="5"/>
        <v>521.40764877778633</v>
      </c>
      <c r="AN36" s="62">
        <f ca="1">AVERAGE(OFFSET($AM$3,0,0,'Données projet'!$E$10+1,1))-AVERAGE(OFFSET($H$3,0,0,'Données projet'!$E$10+1,1))</f>
        <v>520.80494930257237</v>
      </c>
      <c r="AO36" s="62">
        <f t="shared" si="36"/>
        <v>325.72635759450861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9.4157192670391829</v>
      </c>
      <c r="AW36" s="23">
        <f>EXP(-LN(2)/2)*AW35+(1-EXP(-LN(2)/2))/(LN(2)/2)*AQ36*AT36*VLOOKUP('Données projet'!$B$10,Paramètres!$A$1:$I$89,3,0)*0.475*44/12</f>
        <v>5.9076049932193673</v>
      </c>
      <c r="AX36" s="23">
        <f t="shared" si="6"/>
        <v>15.32332426025855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23.267142857142858</v>
      </c>
      <c r="BD36" s="13">
        <f>IF('Données projet'!$A$88&gt;35,BD35+BC36-BL35,IF(A36&lt;'Données projet'!$A$88,$BA$205^A36,IF(A36='Données projet'!$A$88,'Données projet'!$B$88,BD35+BC36-BL35)))</f>
        <v>330.58571428571429</v>
      </c>
      <c r="BE36" s="14">
        <f>BD36*VLOOKUP('Données projet'!$B$11,Paramètres!$A$1:$I$89,3,0)*VLOOKUP('Données projet'!$B$11,Paramètres!$A$1:$I$89,5,0)</f>
        <v>184.7974142857143</v>
      </c>
      <c r="BF36" s="14">
        <f t="shared" si="37"/>
        <v>46.387883037381307</v>
      </c>
      <c r="BG36" s="22">
        <f t="shared" si="7"/>
        <v>402.64772617105814</v>
      </c>
      <c r="BH36" s="62">
        <f t="shared" si="8"/>
        <v>644.5285720055989</v>
      </c>
      <c r="BI36" s="62">
        <f ca="1">AVERAGE(OFFSET($BH$3,0,0,'Données projet'!$E$11+1,1))-AVERAGE(OFFSET($H$3,0,0,'Données projet'!$E$11+1,1))</f>
        <v>321.60602866722138</v>
      </c>
      <c r="BJ36" s="62">
        <f t="shared" si="38"/>
        <v>375.18886653687389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12.066872752222022</v>
      </c>
      <c r="BQ36" s="23">
        <f>EXP(-LN(2)/25)*BQ35+(1-EXP(-LN(2)/25))/(LN(2)/25)*Calculateur!BL36*Calculateur!BN36*VLOOKUP('Données projet'!$B$11,Paramètres!$A$1:$I$89,3,0)*0.475*44/12</f>
        <v>14.697320617814883</v>
      </c>
      <c r="BR36" s="23">
        <f>EXP(-LN(2)/2)*BR35+(1-EXP(-LN(2)/2))/(LN(2)/2)*BL36*BO36*VLOOKUP('Données projet'!$B$11,Paramètres!$A$1:$I$89,3,0)*0.475*44/12</f>
        <v>2.5886928606455819</v>
      </c>
      <c r="BS36" s="24">
        <f t="shared" si="9"/>
        <v>29.35288623068249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6.6</v>
      </c>
      <c r="BY36" s="13">
        <f>IF('Données projet'!$A$114&gt;35,BY35+BX36-CG35,IF(A36&lt;'Données projet'!$A$114,$BV$205^A36,IF(A36='Données projet'!$A$114,'Données projet'!$B$114,BY35+BX36-CG35)))</f>
        <v>171.79999999999998</v>
      </c>
      <c r="BZ36" s="14">
        <f>BY36*VLOOKUP('Données projet'!$B$12,Paramètres!$A$1:$I$89,3,0)*VLOOKUP('Données projet'!$B$12,Paramètres!$A$1:$I$89,5,0)</f>
        <v>93.802799999999991</v>
      </c>
      <c r="CA36" s="14">
        <f t="shared" si="39"/>
        <v>25.480148084944911</v>
      </c>
      <c r="CB36" s="22">
        <f t="shared" si="10"/>
        <v>207.75113458127905</v>
      </c>
      <c r="CC36" s="62">
        <f t="shared" si="11"/>
        <v>449.63198041581978</v>
      </c>
      <c r="CD36" s="62">
        <f ca="1">AVERAGE(OFFSET($CC$3,0,0,'Données projet'!$E$12+1,1))-AVERAGE(OFFSET($H$3,0,0,'Données projet'!$E$12+1,1))</f>
        <v>182.44246264133781</v>
      </c>
      <c r="CE36" s="62">
        <f t="shared" si="40"/>
        <v>262.5818213397049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4.0604979865399091</v>
      </c>
      <c r="CL36" s="23">
        <f>EXP(-LN(2)/25)*CL35+(1-EXP(-LN(2)/25))/(LN(2)/25)*Calculateur!CG36*Calculateur!CI36*VLOOKUP('Données projet'!$B$12,Paramètres!$A$1:$I$89,3,0)*0.475*44/12</f>
        <v>16.654753727034947</v>
      </c>
      <c r="CM36" s="23">
        <f>EXP(-LN(2)/2)*CM35+(1-EXP(-LN(2)/2))/(LN(2)/2)*CG36*CJ36*VLOOKUP('Données projet'!$B$12,Paramètres!$A$1:$I$89,3,0)*0.475*44/12</f>
        <v>1.0672182323262368E-3</v>
      </c>
      <c r="CN36" s="24">
        <f t="shared" si="12"/>
        <v>20.716318931807184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</v>
      </c>
      <c r="CT36" s="13">
        <f>IF('Données projet'!$A$140&gt;35,CT35+CS36-DB35,IF(A36&lt;'Données projet'!$A$140,$CQ$205^A36,IF(A36='Données projet'!$A$140,'Données projet'!$B$140,CT35+CS36-DB35)))</f>
        <v>279.99999999999989</v>
      </c>
      <c r="CU36" s="18">
        <f>CT36*VLOOKUP('Données projet'!$B$13,Paramètres!$A$1:$I$89,3,0)*VLOOKUP('Données projet'!$B$13,Paramètres!$A$1:$I$89,5,0)</f>
        <v>131.03999999999994</v>
      </c>
      <c r="CV36" s="14">
        <f t="shared" si="41"/>
        <v>34.236561238949889</v>
      </c>
      <c r="CW36" s="22">
        <f t="shared" si="13"/>
        <v>287.85667749117096</v>
      </c>
      <c r="CX36" s="62">
        <f t="shared" si="14"/>
        <v>529.73752332571166</v>
      </c>
      <c r="CY36" s="62">
        <f ca="1">AVERAGE(OFFSET($CX$3,0,0,'Données projet'!$E$13+1,1))-AVERAGE(OFFSET($H$3,0,0,'Données projet'!$E$13+1,1))</f>
        <v>426.87921482911719</v>
      </c>
      <c r="CZ36" s="62">
        <f t="shared" si="42"/>
        <v>313.49594674441835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125.40000000000003</v>
      </c>
      <c r="DP36" s="18">
        <f>DO36*VLOOKUP('Données projet'!$B$14,Paramètres!$A$1:$I$89,3,0)*VLOOKUP('Données projet'!$B$14,Paramètres!$A$1:$I$89,5,0)</f>
        <v>121.28688000000004</v>
      </c>
      <c r="DQ36" s="14">
        <f t="shared" si="43"/>
        <v>31.974956333849104</v>
      </c>
      <c r="DR36" s="22">
        <f t="shared" si="16"/>
        <v>266.93103161478729</v>
      </c>
      <c r="DS36" s="62">
        <f t="shared" si="17"/>
        <v>508.81187744932799</v>
      </c>
      <c r="DT36" s="62">
        <f ca="1">AVERAGE(OFFSET($DS$3,0,0,'Données projet'!$E$14+1,1))-AVERAGE(OFFSET($H$3,0,0,'Données projet'!$E$14+1,1))</f>
        <v>500.25828825677058</v>
      </c>
      <c r="DU36" s="62">
        <f t="shared" si="44"/>
        <v>313.56299786481338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2.3598419829145292</v>
      </c>
      <c r="EC36" s="23">
        <f>EXP(-LN(2)/2)*EC35+(1-EXP(-LN(2)/2))/(LN(2)/2)*DW36*DZ36*VLOOKUP('Données projet'!$B$14,Paramètres!$A$1:$I$89,3,0)*0.475*44/12</f>
        <v>8.8847684710782264</v>
      </c>
      <c r="ED36" s="24">
        <f t="shared" si="18"/>
        <v>11.244610453992756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10.8</v>
      </c>
      <c r="EJ36" s="13">
        <f>IF('Données projet'!$A$192&gt;35,EJ35+EI36-ER35,IF(A36&lt;'Données projet'!$A$192,$EG$205^A36,IF(A36='Données projet'!$A$192,'Données projet'!$B$192,EJ35+EI36-ER35)))</f>
        <v>125.40000000000003</v>
      </c>
      <c r="EK36" s="18">
        <f>EJ36*VLOOKUP('Données projet'!$B$15,Paramètres!$A$1:$I$89,3,0)*VLOOKUP('Données projet'!$B$15,Paramètres!$A$1:$I$89,5,0)</f>
        <v>134.98056000000003</v>
      </c>
      <c r="EL36" s="14">
        <f t="shared" si="45"/>
        <v>35.144690234680603</v>
      </c>
      <c r="EM36" s="22">
        <f t="shared" si="19"/>
        <v>296.30147749206873</v>
      </c>
      <c r="EN36" s="62">
        <f t="shared" si="20"/>
        <v>538.18232332660943</v>
      </c>
      <c r="EO36" s="62">
        <f ca="1">AVERAGE(OFFSET($EN$3,0,0,'Données projet'!$E$15+1,1))-AVERAGE(OFFSET($H$3,0,0,'Données projet'!$E$15+1,1))</f>
        <v>548.17046467409421</v>
      </c>
      <c r="EP36" s="62">
        <f t="shared" si="46"/>
        <v>341.9250949809848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2.6262757551790727</v>
      </c>
      <c r="EX36" s="23">
        <f>EXP(-LN(2)/2)*EX35+(1-EXP(-LN(2)/2))/(LN(2)/2)*ER36*EU36*VLOOKUP('Données projet'!$B$15,Paramètres!$A$1:$I$89,3,0)*0.475*44/12</f>
        <v>9.8878874920064117</v>
      </c>
      <c r="EY36" s="24">
        <f t="shared" si="21"/>
        <v>12.514163247185484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513.88441634977562</v>
      </c>
      <c r="S37" s="62">
        <f ca="1">AVERAGE(OFFSET($R$3,0,0,'Données projet'!$E$9+1,1))-AVERAGE(OFFSET($H$3,0,0,'Données projet'!$E$9+1,1))</f>
        <v>472.83070477639035</v>
      </c>
      <c r="T37" s="62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8.171973290073673</v>
      </c>
      <c r="AB37" s="23">
        <f>EXP(-LN(2)/2)*AB36+(1-EXP(-LN(2)/2))/(LN(2)/2)*V37*Y37*VLOOKUP('Données projet'!$B$9,Paramètres!$A$1:$I$89,3,0)*0.475*44/12</f>
        <v>3.7274436611394095</v>
      </c>
      <c r="AC37" s="24">
        <f t="shared" si="3"/>
        <v>11.899416951213082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138.10680000000005</v>
      </c>
      <c r="AK37" s="14">
        <f t="shared" si="35"/>
        <v>35.862956890686135</v>
      </c>
      <c r="AL37" s="22">
        <f t="shared" si="4"/>
        <v>302.99732658461176</v>
      </c>
      <c r="AM37" s="62">
        <f t="shared" si="5"/>
        <v>545.77075804672734</v>
      </c>
      <c r="AN37" s="62">
        <f ca="1">AVERAGE(OFFSET($AM$3,0,0,'Données projet'!$E$10+1,1))-AVERAGE(OFFSET($H$3,0,0,'Données projet'!$E$10+1,1))</f>
        <v>520.80494930257237</v>
      </c>
      <c r="AO37" s="62">
        <f t="shared" si="36"/>
        <v>325.72635759450861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9.1582459285308406</v>
      </c>
      <c r="AW37" s="23">
        <f>EXP(-LN(2)/2)*AW36+(1-EXP(-LN(2)/2))/(LN(2)/2)*AQ37*AT37*VLOOKUP('Données projet'!$B$10,Paramètres!$A$1:$I$89,3,0)*0.475*44/12</f>
        <v>4.1773075512769227</v>
      </c>
      <c r="AX37" s="23">
        <f t="shared" si="6"/>
        <v>13.335553479807764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23.267142857142858</v>
      </c>
      <c r="BD37" s="13">
        <f>IF('Données projet'!$A$88&gt;35,BD36+BC37-BL36,IF(A37&lt;'Données projet'!$A$88,$BA$205^A37,IF(A37='Données projet'!$A$88,'Données projet'!$B$88,BD36+BC37-BL36)))</f>
        <v>353.85285714285715</v>
      </c>
      <c r="BE37" s="14">
        <f>BD37*VLOOKUP('Données projet'!$B$11,Paramètres!$A$1:$I$89,3,0)*VLOOKUP('Données projet'!$B$11,Paramètres!$A$1:$I$89,5,0)</f>
        <v>197.80374714285716</v>
      </c>
      <c r="BF37" s="14">
        <f t="shared" si="37"/>
        <v>49.26118807441209</v>
      </c>
      <c r="BG37" s="22">
        <f t="shared" si="7"/>
        <v>430.30476217007725</v>
      </c>
      <c r="BH37" s="62">
        <f t="shared" si="8"/>
        <v>673.07819363219278</v>
      </c>
      <c r="BI37" s="62">
        <f ca="1">AVERAGE(OFFSET($BH$3,0,0,'Données projet'!$E$11+1,1))-AVERAGE(OFFSET($H$3,0,0,'Données projet'!$E$11+1,1))</f>
        <v>321.60602866722138</v>
      </c>
      <c r="BJ37" s="62">
        <f t="shared" si="38"/>
        <v>375.18886653687389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11.83024873761658</v>
      </c>
      <c r="BQ37" s="23">
        <f>EXP(-LN(2)/25)*BQ36+(1-EXP(-LN(2)/25))/(LN(2)/25)*Calculateur!BL37*Calculateur!BN37*VLOOKUP('Données projet'!$B$11,Paramètres!$A$1:$I$89,3,0)*0.475*44/12</f>
        <v>14.295421612622235</v>
      </c>
      <c r="BR37" s="23">
        <f>EXP(-LN(2)/2)*BR36+(1-EXP(-LN(2)/2))/(LN(2)/2)*BL37*BO37*VLOOKUP('Données projet'!$B$11,Paramètres!$A$1:$I$89,3,0)*0.475*44/12</f>
        <v>1.8304822761716935</v>
      </c>
      <c r="BS37" s="24">
        <f t="shared" si="9"/>
        <v>27.956152626410507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6.6</v>
      </c>
      <c r="BY37" s="13">
        <f>IF('Données projet'!$A$114&gt;35,BY36+BX37-CG36,IF(A37&lt;'Données projet'!$A$114,$BV$205^A37,IF(A37='Données projet'!$A$114,'Données projet'!$B$114,BY36+BX37-CG36)))</f>
        <v>178.39999999999998</v>
      </c>
      <c r="BZ37" s="14">
        <f>BY37*VLOOKUP('Données projet'!$B$12,Paramètres!$A$1:$I$89,3,0)*VLOOKUP('Données projet'!$B$12,Paramètres!$A$1:$I$89,5,0)</f>
        <v>97.406399999999977</v>
      </c>
      <c r="CA37" s="14">
        <f t="shared" si="39"/>
        <v>26.343166296890836</v>
      </c>
      <c r="CB37" s="22">
        <f t="shared" si="10"/>
        <v>215.53049463375149</v>
      </c>
      <c r="CC37" s="62">
        <f t="shared" si="11"/>
        <v>458.30392609586704</v>
      </c>
      <c r="CD37" s="62">
        <f ca="1">AVERAGE(OFFSET($CC$3,0,0,'Données projet'!$E$12+1,1))-AVERAGE(OFFSET($H$3,0,0,'Données projet'!$E$12+1,1))</f>
        <v>182.44246264133781</v>
      </c>
      <c r="CE37" s="62">
        <f t="shared" si="40"/>
        <v>262.5818213397049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3.9808740976830834</v>
      </c>
      <c r="CL37" s="23">
        <f>EXP(-LN(2)/25)*CL36+(1-EXP(-LN(2)/25))/(LN(2)/25)*Calculateur!CG37*Calculateur!CI37*VLOOKUP('Données projet'!$B$12,Paramètres!$A$1:$I$89,3,0)*0.475*44/12</f>
        <v>16.199328610533744</v>
      </c>
      <c r="CM37" s="23">
        <f>EXP(-LN(2)/2)*CM36+(1-EXP(-LN(2)/2))/(LN(2)/2)*CG37*CJ37*VLOOKUP('Données projet'!$B$12,Paramètres!$A$1:$I$89,3,0)*0.475*44/12</f>
        <v>7.5463724908380236E-4</v>
      </c>
      <c r="CN37" s="24">
        <f t="shared" si="12"/>
        <v>20.180957345465913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</v>
      </c>
      <c r="CT37" s="13">
        <f>IF('Données projet'!$A$140&gt;35,CT36+CS37-DB36,IF(A37&lt;'Données projet'!$A$140,$CQ$205^A37,IF(A37='Données projet'!$A$140,'Données projet'!$B$140,CT36+CS37-DB36)))</f>
        <v>289.99999999999989</v>
      </c>
      <c r="CU37" s="18">
        <f>CT37*VLOOKUP('Données projet'!$B$13,Paramètres!$A$1:$I$89,3,0)*VLOOKUP('Données projet'!$B$13,Paramètres!$A$1:$I$89,5,0)</f>
        <v>135.71999999999994</v>
      </c>
      <c r="CV37" s="14">
        <f t="shared" si="41"/>
        <v>35.314752882348131</v>
      </c>
      <c r="CW37" s="22">
        <f t="shared" si="13"/>
        <v>297.8855279367562</v>
      </c>
      <c r="CX37" s="62">
        <f t="shared" si="14"/>
        <v>540.65895939887173</v>
      </c>
      <c r="CY37" s="62">
        <f ca="1">AVERAGE(OFFSET($CX$3,0,0,'Données projet'!$E$13+1,1))-AVERAGE(OFFSET($H$3,0,0,'Données projet'!$E$13+1,1))</f>
        <v>426.87921482911719</v>
      </c>
      <c r="CZ37" s="62">
        <f t="shared" si="42"/>
        <v>313.49594674441835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136.20000000000005</v>
      </c>
      <c r="DP37" s="18">
        <f>DO37*VLOOKUP('Données projet'!$B$14,Paramètres!$A$1:$I$89,3,0)*VLOOKUP('Données projet'!$B$14,Paramètres!$A$1:$I$89,5,0)</f>
        <v>131.73264000000006</v>
      </c>
      <c r="DQ37" s="14">
        <f t="shared" si="43"/>
        <v>34.396412537492502</v>
      </c>
      <c r="DR37" s="22">
        <f t="shared" si="16"/>
        <v>289.3414331694662</v>
      </c>
      <c r="DS37" s="62">
        <f t="shared" si="17"/>
        <v>532.11486463158178</v>
      </c>
      <c r="DT37" s="62">
        <f ca="1">AVERAGE(OFFSET($DS$3,0,0,'Données projet'!$E$14+1,1))-AVERAGE(OFFSET($H$3,0,0,'Données projet'!$E$14+1,1))</f>
        <v>500.25828825677058</v>
      </c>
      <c r="DU37" s="62">
        <f t="shared" si="44"/>
        <v>313.56299786481338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2.295311979793035</v>
      </c>
      <c r="EC37" s="23">
        <f>EXP(-LN(2)/2)*EC36+(1-EXP(-LN(2)/2))/(LN(2)/2)*DW37*DZ37*VLOOKUP('Données projet'!$B$14,Paramètres!$A$1:$I$89,3,0)*0.475*44/12</f>
        <v>6.2824800351718482</v>
      </c>
      <c r="ED37" s="24">
        <f t="shared" si="18"/>
        <v>8.5777920149648832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10.8</v>
      </c>
      <c r="EJ37" s="13">
        <f>IF('Données projet'!$A$192&gt;35,EJ36+EI37-ER36,IF(A37&lt;'Données projet'!$A$192,$EG$205^A37,IF(A37='Données projet'!$A$192,'Données projet'!$B$192,EJ36+EI37-ER36)))</f>
        <v>136.20000000000005</v>
      </c>
      <c r="EK37" s="18">
        <f>EJ37*VLOOKUP('Données projet'!$B$15,Paramètres!$A$1:$I$89,3,0)*VLOOKUP('Données projet'!$B$15,Paramètres!$A$1:$I$89,5,0)</f>
        <v>146.60568000000004</v>
      </c>
      <c r="EL37" s="14">
        <f t="shared" si="45"/>
        <v>37.806189668967654</v>
      </c>
      <c r="EM37" s="22">
        <f t="shared" si="19"/>
        <v>321.18400634011869</v>
      </c>
      <c r="EN37" s="62">
        <f t="shared" si="20"/>
        <v>563.95743780223427</v>
      </c>
      <c r="EO37" s="62">
        <f ca="1">AVERAGE(OFFSET($EN$3,0,0,'Données projet'!$E$15+1,1))-AVERAGE(OFFSET($H$3,0,0,'Données projet'!$E$15+1,1))</f>
        <v>548.17046467409421</v>
      </c>
      <c r="EP37" s="62">
        <f t="shared" si="46"/>
        <v>341.9250949809848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2.5544601065438615</v>
      </c>
      <c r="EX37" s="23">
        <f>EXP(-LN(2)/2)*EX36+(1-EXP(-LN(2)/2))/(LN(2)/2)*ER37*EU37*VLOOKUP('Données projet'!$B$15,Paramètres!$A$1:$I$89,3,0)*0.475*44/12</f>
        <v>6.991792297207378</v>
      </c>
      <c r="EY37" s="24">
        <f t="shared" si="21"/>
        <v>9.5462524037512395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535.72026258017763</v>
      </c>
      <c r="S38" s="62">
        <f ca="1">AVERAGE(OFFSET($R$3,0,0,'Données projet'!$E$9+1,1))-AVERAGE(OFFSET($H$3,0,0,'Données projet'!$E$9+1,1))</f>
        <v>472.83070477639035</v>
      </c>
      <c r="T38" s="62">
        <f t="shared" si="34"/>
        <v>297.32483725004136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7.9485102507112106</v>
      </c>
      <c r="AB38" s="23">
        <f>EXP(-LN(2)/2)*AB37+(1-EXP(-LN(2)/2))/(LN(2)/2)*V38*Y38*VLOOKUP('Données projet'!$B$9,Paramètres!$A$1:$I$89,3,0)*0.475*44/12</f>
        <v>2.6357006892824884</v>
      </c>
      <c r="AC38" s="24">
        <f t="shared" si="3"/>
        <v>10.584210939993699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149.05800000000008</v>
      </c>
      <c r="AK38" s="14">
        <f t="shared" si="35"/>
        <v>38.364434314370335</v>
      </c>
      <c r="AL38" s="22">
        <f t="shared" si="4"/>
        <v>326.42740643086182</v>
      </c>
      <c r="AM38" s="62">
        <f t="shared" si="5"/>
        <v>570.0779391554363</v>
      </c>
      <c r="AN38" s="62">
        <f ca="1">AVERAGE(OFFSET($AM$3,0,0,'Données projet'!$E$10+1,1))-AVERAGE(OFFSET($H$3,0,0,'Données projet'!$E$10+1,1))</f>
        <v>520.80494930257237</v>
      </c>
      <c r="AO38" s="62">
        <f t="shared" si="36"/>
        <v>325.72635759450861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8.9078132120039424</v>
      </c>
      <c r="AW38" s="23">
        <f>EXP(-LN(2)/2)*AW37+(1-EXP(-LN(2)/2))/(LN(2)/2)*AQ38*AT38*VLOOKUP('Données projet'!$B$10,Paramètres!$A$1:$I$89,3,0)*0.475*44/12</f>
        <v>2.9538024966096836</v>
      </c>
      <c r="AX38" s="23">
        <f t="shared" si="6"/>
        <v>11.861615708613627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377.12</v>
      </c>
      <c r="BB38" s="13">
        <f>VLOOKUP(A38,'Données projet'!$A$87:$I$107,9,0)</f>
        <v>23.267142857142858</v>
      </c>
      <c r="BC38" s="13">
        <f t="array" ref="BC38">INDEX(BB:BB,MIN(IF(ISNUMBER(BB38:BB234),ROW(BB38:BB234),"")))</f>
        <v>23.267142857142858</v>
      </c>
      <c r="BD38" s="13">
        <f>IF('Données projet'!$A$88&gt;35,BD37+BC38-BL37,IF(A38&lt;'Données projet'!$A$88,$BA$205^A38,IF(A38='Données projet'!$A$88,'Données projet'!$B$88,BD37+BC38-BL37)))</f>
        <v>377.12</v>
      </c>
      <c r="BE38" s="14">
        <f>BD38*VLOOKUP('Données projet'!$B$11,Paramètres!$A$1:$I$89,3,0)*VLOOKUP('Données projet'!$B$11,Paramètres!$A$1:$I$89,5,0)</f>
        <v>210.81008</v>
      </c>
      <c r="BF38" s="14">
        <f t="shared" si="37"/>
        <v>52.112568873523912</v>
      </c>
      <c r="BG38" s="22">
        <f t="shared" si="7"/>
        <v>457.92361345472085</v>
      </c>
      <c r="BH38" s="62">
        <f t="shared" si="8"/>
        <v>701.57414617929533</v>
      </c>
      <c r="BI38" s="62">
        <f ca="1">AVERAGE(OFFSET($BH$3,0,0,'Données projet'!$E$11+1,1))-AVERAGE(OFFSET($H$3,0,0,'Données projet'!$E$11+1,1))</f>
        <v>321.60602866722138</v>
      </c>
      <c r="BJ38" s="62">
        <f t="shared" si="38"/>
        <v>375.18886653687389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86.68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11.598264775611154</v>
      </c>
      <c r="BQ38" s="23">
        <f>EXP(-LN(2)/25)*BQ37+(1-EXP(-LN(2)/25))/(LN(2)/25)*Calculateur!BL38*Calculateur!BN38*VLOOKUP('Données projet'!$B$11,Paramètres!$A$1:$I$89,3,0)*0.475*44/12</f>
        <v>13.90451255686153</v>
      </c>
      <c r="BR38" s="23">
        <f>EXP(-LN(2)/2)*BR37+(1-EXP(-LN(2)/2))/(LN(2)/2)*BL38*BO38*VLOOKUP('Données projet'!$B$11,Paramètres!$A$1:$I$89,3,0)*0.475*44/12</f>
        <v>1.2943464303227912</v>
      </c>
      <c r="BS38" s="24">
        <f t="shared" si="9"/>
        <v>26.797123762795472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185</v>
      </c>
      <c r="BW38" s="13">
        <f>VLOOKUP(A38,'Données projet'!$A$113:$I$133,9,0)</f>
        <v>6.6</v>
      </c>
      <c r="BX38" s="13">
        <f t="array" ref="BX38">INDEX(BW:BW,MIN(IF(ISNUMBER(BW38:BW234),ROW(BW38:BW234),"")))</f>
        <v>6.6</v>
      </c>
      <c r="BY38" s="13">
        <f>IF('Données projet'!$A$114&gt;35,BY37+BX38-CG37,IF(A38&lt;'Données projet'!$A$114,$BV$205^A38,IF(A38='Données projet'!$A$114,'Données projet'!$B$114,BY37+BX38-CG37)))</f>
        <v>184.99999999999997</v>
      </c>
      <c r="BZ38" s="14">
        <f>BY38*VLOOKUP('Données projet'!$B$12,Paramètres!$A$1:$I$89,3,0)*VLOOKUP('Données projet'!$B$12,Paramètres!$A$1:$I$89,5,0)</f>
        <v>101.00999999999999</v>
      </c>
      <c r="CA38" s="14">
        <f t="shared" si="39"/>
        <v>27.202475209169602</v>
      </c>
      <c r="CB38" s="22">
        <f t="shared" si="10"/>
        <v>223.30339432263699</v>
      </c>
      <c r="CC38" s="62">
        <f t="shared" si="11"/>
        <v>466.95392704721149</v>
      </c>
      <c r="CD38" s="62">
        <f ca="1">AVERAGE(OFFSET($CC$3,0,0,'Données projet'!$E$12+1,1))-AVERAGE(OFFSET($H$3,0,0,'Données projet'!$E$12+1,1))</f>
        <v>182.44246264133781</v>
      </c>
      <c r="CE38" s="62">
        <f t="shared" si="40"/>
        <v>262.5818213397049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15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3.9028115847209635</v>
      </c>
      <c r="CL38" s="23">
        <f>EXP(-LN(2)/25)*CL37+(1-EXP(-LN(2)/25))/(LN(2)/25)*Calculateur!CG38*Calculateur!CI38*VLOOKUP('Données projet'!$B$12,Paramètres!$A$1:$I$89,3,0)*0.475*44/12</f>
        <v>15.756357117793032</v>
      </c>
      <c r="CM38" s="23">
        <f>EXP(-LN(2)/2)*CM37+(1-EXP(-LN(2)/2))/(LN(2)/2)*CG38*CJ38*VLOOKUP('Données projet'!$B$12,Paramètres!$A$1:$I$89,3,0)*0.475*44/12</f>
        <v>5.336091161631184E-4</v>
      </c>
      <c r="CN38" s="24">
        <f t="shared" si="12"/>
        <v>19.659702311630159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</v>
      </c>
      <c r="CT38" s="13">
        <f>IF('Données projet'!$A$140&gt;35,CT37+CS38-DB37,IF(A38&lt;'Données projet'!$A$140,$CQ$205^A38,IF(A38='Données projet'!$A$140,'Données projet'!$B$140,CT37+CS38-DB37)))</f>
        <v>299.99999999999989</v>
      </c>
      <c r="CU38" s="18">
        <f>CT38*VLOOKUP('Données projet'!$B$13,Paramètres!$A$1:$I$89,3,0)*VLOOKUP('Données projet'!$B$13,Paramètres!$A$1:$I$89,5,0)</f>
        <v>140.39999999999995</v>
      </c>
      <c r="CV38" s="14">
        <f t="shared" si="41"/>
        <v>36.388624656711166</v>
      </c>
      <c r="CW38" s="22">
        <f t="shared" si="13"/>
        <v>307.90685461043853</v>
      </c>
      <c r="CX38" s="62">
        <f t="shared" si="14"/>
        <v>551.557387335013</v>
      </c>
      <c r="CY38" s="62">
        <f ca="1">AVERAGE(OFFSET($CX$3,0,0,'Données projet'!$E$13+1,1))-AVERAGE(OFFSET($H$3,0,0,'Données projet'!$E$13+1,1))</f>
        <v>426.87921482911719</v>
      </c>
      <c r="CZ38" s="62">
        <f t="shared" si="42"/>
        <v>313.49594674441835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147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147.00000000000006</v>
      </c>
      <c r="DP38" s="18">
        <f>DO38*VLOOKUP('Données projet'!$B$14,Paramètres!$A$1:$I$89,3,0)*VLOOKUP('Données projet'!$B$14,Paramètres!$A$1:$I$89,5,0)</f>
        <v>142.17840000000004</v>
      </c>
      <c r="DQ38" s="14">
        <f t="shared" si="43"/>
        <v>36.795597013009356</v>
      </c>
      <c r="DR38" s="22">
        <f t="shared" si="16"/>
        <v>311.71304479765803</v>
      </c>
      <c r="DS38" s="62">
        <f t="shared" si="17"/>
        <v>555.3635775222325</v>
      </c>
      <c r="DT38" s="62">
        <f ca="1">AVERAGE(OFFSET($DS$3,0,0,'Données projet'!$E$14+1,1))-AVERAGE(OFFSET($H$3,0,0,'Données projet'!$E$14+1,1))</f>
        <v>500.25828825677058</v>
      </c>
      <c r="DU38" s="62">
        <f t="shared" si="44"/>
        <v>313.56299786481338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28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2.2325465530003834</v>
      </c>
      <c r="EC38" s="23">
        <f>EXP(-LN(2)/2)*EC37+(1-EXP(-LN(2)/2))/(LN(2)/2)*DW38*DZ38*VLOOKUP('Données projet'!$B$14,Paramètres!$A$1:$I$89,3,0)*0.475*44/12</f>
        <v>4.4423842355391141</v>
      </c>
      <c r="ED38" s="24">
        <f t="shared" si="18"/>
        <v>6.6749307885394975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147</v>
      </c>
      <c r="EH38" s="13">
        <f>VLOOKUP(A38,'Données projet'!$A$191:$I$211,9,0)</f>
        <v>10.8</v>
      </c>
      <c r="EI38" s="13">
        <f t="array" ref="EI38">INDEX(EH:EH,MIN(IF(ISNUMBER(EH38:EH234),ROW(EH38:EH234),"")))</f>
        <v>10.8</v>
      </c>
      <c r="EJ38" s="13">
        <f>IF('Données projet'!$A$192&gt;35,EJ37+EI38-ER37,IF(A38&lt;'Données projet'!$A$192,$EG$205^A38,IF(A38='Données projet'!$A$192,'Données projet'!$B$192,EJ37+EI38-ER37)))</f>
        <v>147.00000000000006</v>
      </c>
      <c r="EK38" s="18">
        <f>EJ38*VLOOKUP('Données projet'!$B$15,Paramètres!$A$1:$I$89,3,0)*VLOOKUP('Données projet'!$B$15,Paramètres!$A$1:$I$89,5,0)</f>
        <v>158.23080000000007</v>
      </c>
      <c r="EL38" s="14">
        <f t="shared" si="45"/>
        <v>40.443209539379019</v>
      </c>
      <c r="EM38" s="22">
        <f t="shared" si="19"/>
        <v>346.02389994775189</v>
      </c>
      <c r="EN38" s="62">
        <f t="shared" si="20"/>
        <v>589.67443267232636</v>
      </c>
      <c r="EO38" s="62">
        <f ca="1">AVERAGE(OFFSET($EN$3,0,0,'Données projet'!$E$15+1,1))-AVERAGE(OFFSET($H$3,0,0,'Données projet'!$E$15+1,1))</f>
        <v>548.17046467409421</v>
      </c>
      <c r="EP38" s="62">
        <f t="shared" si="46"/>
        <v>341.9250949809848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2.4846082605972009</v>
      </c>
      <c r="EX38" s="23">
        <f>EXP(-LN(2)/2)*EX37+(1-EXP(-LN(2)/2))/(LN(2)/2)*ER38*EU38*VLOOKUP('Données projet'!$B$15,Paramètres!$A$1:$I$89,3,0)*0.475*44/12</f>
        <v>4.9439437460032059</v>
      </c>
      <c r="EY38" s="24">
        <f t="shared" si="21"/>
        <v>7.4285520066004072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472.83070477639035</v>
      </c>
      <c r="T39" s="62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7.731157819911525</v>
      </c>
      <c r="AB39" s="23">
        <f>EXP(-LN(2)/2)*AB38+(1-EXP(-LN(2)/2))/(LN(2)/2)*V39*Y39*VLOOKUP('Données projet'!$B$9,Paramètres!$A$1:$I$89,3,0)*0.475*44/12</f>
        <v>1.8637218305697052</v>
      </c>
      <c r="AC39" s="24">
        <f t="shared" si="3"/>
        <v>9.5948796504812304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2">
        <f t="shared" si="5"/>
        <v>534.47579297043865</v>
      </c>
      <c r="AN39" s="62">
        <f ca="1">AVERAGE(OFFSET($AM$3,0,0,'Données projet'!$E$10+1,1))-AVERAGE(OFFSET($H$3,0,0,'Données projet'!$E$10+1,1))</f>
        <v>520.80494930257237</v>
      </c>
      <c r="AO39" s="62">
        <f t="shared" si="36"/>
        <v>325.72635759450861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8.6642285912801569</v>
      </c>
      <c r="AW39" s="23">
        <f>EXP(-LN(2)/2)*AW38+(1-EXP(-LN(2)/2))/(LN(2)/2)*AQ39*AT39*VLOOKUP('Données projet'!$B$10,Paramètres!$A$1:$I$89,3,0)*0.475*44/12</f>
        <v>2.0886537756384613</v>
      </c>
      <c r="AX39" s="23">
        <f t="shared" si="6"/>
        <v>10.752882366918618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22.82714285714286</v>
      </c>
      <c r="BD39" s="13">
        <f>IF('Données projet'!$A$88&gt;35,BD38+BC39-BL38,IF(A39&lt;'Données projet'!$A$88,$BA$205^A39,IF(A39='Données projet'!$A$88,'Données projet'!$B$88,BD38+BC39-BL38)))</f>
        <v>313.26714285714286</v>
      </c>
      <c r="BE39" s="14">
        <f>BD39*VLOOKUP('Données projet'!$B$11,Paramètres!$A$1:$I$89,3,0)*VLOOKUP('Données projet'!$B$11,Paramètres!$A$1:$I$89,5,0)</f>
        <v>175.11633285714288</v>
      </c>
      <c r="BF39" s="14">
        <f t="shared" si="37"/>
        <v>44.233926946721667</v>
      </c>
      <c r="BG39" s="22">
        <f t="shared" si="7"/>
        <v>382.03503582506414</v>
      </c>
      <c r="BH39" s="62">
        <f t="shared" si="8"/>
        <v>626.54745406609857</v>
      </c>
      <c r="BI39" s="62">
        <f ca="1">AVERAGE(OFFSET($BH$3,0,0,'Données projet'!$E$11+1,1))-AVERAGE(OFFSET($H$3,0,0,'Données projet'!$E$11+1,1))</f>
        <v>321.60602866722138</v>
      </c>
      <c r="BJ39" s="62">
        <f t="shared" si="38"/>
        <v>375.18886653687389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11.370829877604409</v>
      </c>
      <c r="BQ39" s="23">
        <f>EXP(-LN(2)/25)*BQ38+(1-EXP(-LN(2)/25))/(LN(2)/25)*Calculateur!BL39*Calculateur!BN39*VLOOKUP('Données projet'!$B$11,Paramètres!$A$1:$I$89,3,0)*0.475*44/12</f>
        <v>13.524292929787615</v>
      </c>
      <c r="BR39" s="23">
        <f>EXP(-LN(2)/2)*BR38+(1-EXP(-LN(2)/2))/(LN(2)/2)*BL39*BO39*VLOOKUP('Données projet'!$B$11,Paramètres!$A$1:$I$89,3,0)*0.475*44/12</f>
        <v>0.91524113808584684</v>
      </c>
      <c r="BS39" s="24">
        <f t="shared" si="9"/>
        <v>25.810363945477871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4.8</v>
      </c>
      <c r="BY39" s="13">
        <f>IF('Données projet'!$A$114&gt;35,BY38+BX39-CG38,IF(A39&lt;'Données projet'!$A$114,$BV$205^A39,IF(A39='Données projet'!$A$114,'Données projet'!$B$114,BY38+BX39-CG38)))</f>
        <v>174.79999999999998</v>
      </c>
      <c r="BZ39" s="14">
        <f>BY39*VLOOKUP('Données projet'!$B$12,Paramètres!$A$1:$I$89,3,0)*VLOOKUP('Données projet'!$B$12,Paramètres!$A$1:$I$89,5,0)</f>
        <v>95.440799999999996</v>
      </c>
      <c r="CA39" s="14">
        <f t="shared" si="39"/>
        <v>25.872898812185603</v>
      </c>
      <c r="CB39" s="22">
        <f t="shared" si="10"/>
        <v>211.28802543122325</v>
      </c>
      <c r="CC39" s="62">
        <f t="shared" si="11"/>
        <v>455.80044367225764</v>
      </c>
      <c r="CD39" s="62">
        <f ca="1">AVERAGE(OFFSET($CC$3,0,0,'Données projet'!$E$12+1,1))-AVERAGE(OFFSET($H$3,0,0,'Données projet'!$E$12+1,1))</f>
        <v>182.44246264133781</v>
      </c>
      <c r="CE39" s="62">
        <f t="shared" si="40"/>
        <v>262.5818213397049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3.8262798300245993</v>
      </c>
      <c r="CL39" s="23">
        <f>EXP(-LN(2)/25)*CL38+(1-EXP(-LN(2)/25))/(LN(2)/25)*Calculateur!CG39*Calculateur!CI39*VLOOKUP('Données projet'!$B$12,Paramètres!$A$1:$I$89,3,0)*0.475*44/12</f>
        <v>15.325498703816173</v>
      </c>
      <c r="CM39" s="23">
        <f>EXP(-LN(2)/2)*CM38+(1-EXP(-LN(2)/2))/(LN(2)/2)*CG39*CJ39*VLOOKUP('Données projet'!$B$12,Paramètres!$A$1:$I$89,3,0)*0.475*44/12</f>
        <v>3.7731862454190118E-4</v>
      </c>
      <c r="CN39" s="24">
        <f t="shared" si="12"/>
        <v>19.152155852465313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</v>
      </c>
      <c r="CT39" s="13">
        <f>IF('Données projet'!$A$140&gt;35,CT38+CS39-DB38,IF(A39&lt;'Données projet'!$A$140,$CQ$205^A39,IF(A39='Données projet'!$A$140,'Données projet'!$B$140,CT38+CS39-DB38)))</f>
        <v>309.99999999999989</v>
      </c>
      <c r="CU39" s="18">
        <f>CT39*VLOOKUP('Données projet'!$B$13,Paramètres!$A$1:$I$89,3,0)*VLOOKUP('Données projet'!$B$13,Paramètres!$A$1:$I$89,5,0)</f>
        <v>145.07999999999996</v>
      </c>
      <c r="CV39" s="14">
        <f t="shared" si="41"/>
        <v>37.458337067672986</v>
      </c>
      <c r="CW39" s="22">
        <f t="shared" si="13"/>
        <v>317.92093705953039</v>
      </c>
      <c r="CX39" s="62">
        <f t="shared" si="14"/>
        <v>562.43335530056481</v>
      </c>
      <c r="CY39" s="62">
        <f ca="1">AVERAGE(OFFSET($CX$3,0,0,'Données projet'!$E$13+1,1))-AVERAGE(OFFSET($H$3,0,0,'Données projet'!$E$13+1,1))</f>
        <v>426.87921482911719</v>
      </c>
      <c r="CZ39" s="62">
        <f t="shared" si="42"/>
        <v>313.49594674441835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130.20000000000005</v>
      </c>
      <c r="DP39" s="18">
        <f>DO39*VLOOKUP('Données projet'!$B$14,Paramètres!$A$1:$I$89,3,0)*VLOOKUP('Données projet'!$B$14,Paramètres!$A$1:$I$89,5,0)</f>
        <v>125.92944000000006</v>
      </c>
      <c r="DQ39" s="14">
        <f t="shared" si="43"/>
        <v>33.054038034052077</v>
      </c>
      <c r="DR39" s="22">
        <f t="shared" si="16"/>
        <v>276.89622424264081</v>
      </c>
      <c r="DS39" s="62">
        <f t="shared" si="17"/>
        <v>521.40864248367529</v>
      </c>
      <c r="DT39" s="62">
        <f ca="1">AVERAGE(OFFSET($DS$3,0,0,'Données projet'!$E$14+1,1))-AVERAGE(OFFSET($H$3,0,0,'Données projet'!$E$14+1,1))</f>
        <v>500.25828825677058</v>
      </c>
      <c r="DU39" s="62">
        <f t="shared" si="44"/>
        <v>313.56299786481338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2.1714974501040674</v>
      </c>
      <c r="EC39" s="23">
        <f>EXP(-LN(2)/2)*EC38+(1-EXP(-LN(2)/2))/(LN(2)/2)*DW39*DZ39*VLOOKUP('Données projet'!$B$14,Paramètres!$A$1:$I$89,3,0)*0.475*44/12</f>
        <v>3.141240017585925</v>
      </c>
      <c r="ED39" s="24">
        <f t="shared" si="18"/>
        <v>5.3127374676899919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11.2</v>
      </c>
      <c r="EJ39" s="13">
        <f>IF('Données projet'!$A$192&gt;35,EJ38+EI39-ER38,IF(A39&lt;'Données projet'!$A$192,$EG$205^A39,IF(A39='Données projet'!$A$192,'Données projet'!$B$192,EJ38+EI39-ER38)))</f>
        <v>130.20000000000005</v>
      </c>
      <c r="EK39" s="18">
        <f>EJ39*VLOOKUP('Données projet'!$B$15,Paramètres!$A$1:$I$89,3,0)*VLOOKUP('Données projet'!$B$15,Paramètres!$A$1:$I$89,5,0)</f>
        <v>140.14728000000005</v>
      </c>
      <c r="EL39" s="14">
        <f t="shared" si="45"/>
        <v>36.330743209877284</v>
      </c>
      <c r="EM39" s="22">
        <f t="shared" si="19"/>
        <v>307.36589042386964</v>
      </c>
      <c r="EN39" s="62">
        <f t="shared" si="20"/>
        <v>551.87830866490413</v>
      </c>
      <c r="EO39" s="62">
        <f ca="1">AVERAGE(OFFSET($EN$3,0,0,'Données projet'!$E$15+1,1))-AVERAGE(OFFSET($H$3,0,0,'Données projet'!$E$15+1,1))</f>
        <v>548.17046467409421</v>
      </c>
      <c r="EP39" s="62">
        <f t="shared" si="46"/>
        <v>341.9250949809848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2.4166665170513006</v>
      </c>
      <c r="EX39" s="23">
        <f>EXP(-LN(2)/2)*EX38+(1-EXP(-LN(2)/2))/(LN(2)/2)*ER39*EU39*VLOOKUP('Données projet'!$B$15,Paramètres!$A$1:$I$89,3,0)*0.475*44/12</f>
        <v>3.495896148603689</v>
      </c>
      <c r="EY39" s="24">
        <f t="shared" si="21"/>
        <v>5.9125626656549901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472.83070477639035</v>
      </c>
      <c r="T40" s="62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7.5197489027621245</v>
      </c>
      <c r="AB40" s="23">
        <f>EXP(-LN(2)/2)*AB39+(1-EXP(-LN(2)/2))/(LN(2)/2)*V40*Y40*VLOOKUP('Données projet'!$B$9,Paramètres!$A$1:$I$89,3,0)*0.475*44/12</f>
        <v>1.3178503446412444</v>
      </c>
      <c r="AC40" s="24">
        <f t="shared" si="3"/>
        <v>8.837599247403368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143.37960000000004</v>
      </c>
      <c r="AK40" s="14">
        <f t="shared" si="35"/>
        <v>37.070146308317469</v>
      </c>
      <c r="AL40" s="22">
        <f t="shared" si="4"/>
        <v>314.28330815365302</v>
      </c>
      <c r="AM40" s="62">
        <f t="shared" si="5"/>
        <v>559.64266012432415</v>
      </c>
      <c r="AN40" s="62">
        <f ca="1">AVERAGE(OFFSET($AM$3,0,0,'Données projet'!$E$10+1,1))-AVERAGE(OFFSET($H$3,0,0,'Données projet'!$E$10+1,1))</f>
        <v>520.80494930257237</v>
      </c>
      <c r="AO40" s="62">
        <f t="shared" si="36"/>
        <v>325.72635759450861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8.427304804819622</v>
      </c>
      <c r="AW40" s="23">
        <f>EXP(-LN(2)/2)*AW39+(1-EXP(-LN(2)/2))/(LN(2)/2)*AQ40*AT40*VLOOKUP('Données projet'!$B$10,Paramètres!$A$1:$I$89,3,0)*0.475*44/12</f>
        <v>1.4769012483048418</v>
      </c>
      <c r="AX40" s="23">
        <f t="shared" si="6"/>
        <v>9.9042060531244633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22.82714285714286</v>
      </c>
      <c r="BD40" s="13">
        <f>IF('Données projet'!$A$88&gt;35,BD39+BC40-BL39,IF(A40&lt;'Données projet'!$A$88,$BA$205^A40,IF(A40='Données projet'!$A$88,'Données projet'!$B$88,BD39+BC40-BL39)))</f>
        <v>336.09428571428572</v>
      </c>
      <c r="BE40" s="14">
        <f>BD40*VLOOKUP('Données projet'!$B$11,Paramètres!$A$1:$I$89,3,0)*VLOOKUP('Données projet'!$B$11,Paramètres!$A$1:$I$89,5,0)</f>
        <v>187.87670571428572</v>
      </c>
      <c r="BF40" s="14">
        <f t="shared" si="37"/>
        <v>47.070216037627915</v>
      </c>
      <c r="BG40" s="22">
        <f t="shared" si="7"/>
        <v>409.19922205124954</v>
      </c>
      <c r="BH40" s="62">
        <f t="shared" si="8"/>
        <v>654.55857402192066</v>
      </c>
      <c r="BI40" s="62">
        <f ca="1">AVERAGE(OFFSET($BH$3,0,0,'Données projet'!$E$11+1,1))-AVERAGE(OFFSET($H$3,0,0,'Données projet'!$E$11+1,1))</f>
        <v>321.60602866722138</v>
      </c>
      <c r="BJ40" s="62">
        <f t="shared" si="38"/>
        <v>375.18886653687389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11.147854839225987</v>
      </c>
      <c r="BQ40" s="23">
        <f>EXP(-LN(2)/25)*BQ39+(1-EXP(-LN(2)/25))/(LN(2)/25)*Calculateur!BL40*Calculateur!BN40*VLOOKUP('Données projet'!$B$11,Paramètres!$A$1:$I$89,3,0)*0.475*44/12</f>
        <v>13.154470428410917</v>
      </c>
      <c r="BR40" s="23">
        <f>EXP(-LN(2)/2)*BR39+(1-EXP(-LN(2)/2))/(LN(2)/2)*BL40*BO40*VLOOKUP('Données projet'!$B$11,Paramètres!$A$1:$I$89,3,0)*0.475*44/12</f>
        <v>0.6471732151613957</v>
      </c>
      <c r="BS40" s="24">
        <f t="shared" si="9"/>
        <v>24.949498482798298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4.8</v>
      </c>
      <c r="BY40" s="13">
        <f>IF('Données projet'!$A$114&gt;35,BY39+BX40-CG39,IF(A40&lt;'Données projet'!$A$114,$BV$205^A40,IF(A40='Données projet'!$A$114,'Données projet'!$B$114,BY39+BX40-CG39)))</f>
        <v>179.6</v>
      </c>
      <c r="BZ40" s="14">
        <f>BY40*VLOOKUP('Données projet'!$B$12,Paramètres!$A$1:$I$89,3,0)*VLOOKUP('Données projet'!$B$12,Paramètres!$A$1:$I$89,5,0)</f>
        <v>98.061599999999984</v>
      </c>
      <c r="CA40" s="14">
        <f t="shared" si="39"/>
        <v>26.499675705384416</v>
      </c>
      <c r="CB40" s="22">
        <f t="shared" si="10"/>
        <v>216.94422185354449</v>
      </c>
      <c r="CC40" s="62">
        <f t="shared" si="11"/>
        <v>462.30357382421562</v>
      </c>
      <c r="CD40" s="62">
        <f ca="1">AVERAGE(OFFSET($CC$3,0,0,'Données projet'!$E$12+1,1))-AVERAGE(OFFSET($H$3,0,0,'Données projet'!$E$12+1,1))</f>
        <v>182.44246264133781</v>
      </c>
      <c r="CE40" s="62">
        <f t="shared" si="40"/>
        <v>262.5818213397049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3.7512488163580695</v>
      </c>
      <c r="CL40" s="23">
        <f>EXP(-LN(2)/25)*CL39+(1-EXP(-LN(2)/25))/(LN(2)/25)*Calculateur!CG40*Calculateur!CI40*VLOOKUP('Données projet'!$B$12,Paramètres!$A$1:$I$89,3,0)*0.475*44/12</f>
        <v>14.90642213582737</v>
      </c>
      <c r="CM40" s="23">
        <f>EXP(-LN(2)/2)*CM39+(1-EXP(-LN(2)/2))/(LN(2)/2)*CG40*CJ40*VLOOKUP('Données projet'!$B$12,Paramètres!$A$1:$I$89,3,0)*0.475*44/12</f>
        <v>2.668045580815592E-4</v>
      </c>
      <c r="CN40" s="24">
        <f t="shared" si="12"/>
        <v>18.657937756743522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</v>
      </c>
      <c r="CT40" s="13">
        <f>IF('Données projet'!$A$140&gt;35,CT39+CS40-DB39,IF(A40&lt;'Données projet'!$A$140,$CQ$205^A40,IF(A40='Données projet'!$A$140,'Données projet'!$B$140,CT39+CS40-DB39)))</f>
        <v>319.99999999999989</v>
      </c>
      <c r="CU40" s="18">
        <f>CT40*VLOOKUP('Données projet'!$B$13,Paramètres!$A$1:$I$89,3,0)*VLOOKUP('Données projet'!$B$13,Paramètres!$A$1:$I$89,5,0)</f>
        <v>149.75999999999996</v>
      </c>
      <c r="CV40" s="14">
        <f t="shared" si="41"/>
        <v>38.524039677774766</v>
      </c>
      <c r="CW40" s="22">
        <f t="shared" si="13"/>
        <v>327.9280357721243</v>
      </c>
      <c r="CX40" s="62">
        <f t="shared" si="14"/>
        <v>573.28738774279543</v>
      </c>
      <c r="CY40" s="62">
        <f ca="1">AVERAGE(OFFSET($CX$3,0,0,'Données projet'!$E$13+1,1))-AVERAGE(OFFSET($H$3,0,0,'Données projet'!$E$13+1,1))</f>
        <v>426.87921482911719</v>
      </c>
      <c r="CZ40" s="62">
        <f t="shared" si="42"/>
        <v>313.49594674441835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141.40000000000003</v>
      </c>
      <c r="DP40" s="18">
        <f>DO40*VLOOKUP('Données projet'!$B$14,Paramètres!$A$1:$I$89,3,0)*VLOOKUP('Données projet'!$B$14,Paramètres!$A$1:$I$89,5,0)</f>
        <v>136.76208000000003</v>
      </c>
      <c r="DQ40" s="14">
        <f t="shared" si="43"/>
        <v>35.554236342883392</v>
      </c>
      <c r="DR40" s="22">
        <f t="shared" si="16"/>
        <v>300.11758429718861</v>
      </c>
      <c r="DS40" s="62">
        <f t="shared" si="17"/>
        <v>545.47693626785974</v>
      </c>
      <c r="DT40" s="62">
        <f ca="1">AVERAGE(OFFSET($DS$3,0,0,'Données projet'!$E$14+1,1))-AVERAGE(OFFSET($H$3,0,0,'Données projet'!$E$14+1,1))</f>
        <v>500.25828825677058</v>
      </c>
      <c r="DU40" s="62">
        <f t="shared" si="44"/>
        <v>313.56299786481338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2.1121177381368836</v>
      </c>
      <c r="EC40" s="23">
        <f>EXP(-LN(2)/2)*EC39+(1-EXP(-LN(2)/2))/(LN(2)/2)*DW40*DZ40*VLOOKUP('Données projet'!$B$14,Paramètres!$A$1:$I$89,3,0)*0.475*44/12</f>
        <v>2.2211921177695575</v>
      </c>
      <c r="ED40" s="24">
        <f t="shared" si="18"/>
        <v>4.3333098559064407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11.2</v>
      </c>
      <c r="EJ40" s="13">
        <f>IF('Données projet'!$A$192&gt;35,EJ39+EI40-ER39,IF(A40&lt;'Données projet'!$A$192,$EG$205^A40,IF(A40='Données projet'!$A$192,'Données projet'!$B$192,EJ39+EI40-ER39)))</f>
        <v>141.40000000000003</v>
      </c>
      <c r="EK40" s="18">
        <f>EJ40*VLOOKUP('Données projet'!$B$15,Paramètres!$A$1:$I$89,3,0)*VLOOKUP('Données projet'!$B$15,Paramètres!$A$1:$I$89,5,0)</f>
        <v>152.20296000000002</v>
      </c>
      <c r="EL40" s="14">
        <f t="shared" si="45"/>
        <v>39.078790593326843</v>
      </c>
      <c r="EM40" s="22">
        <f t="shared" si="19"/>
        <v>333.14904895004429</v>
      </c>
      <c r="EN40" s="62">
        <f t="shared" si="20"/>
        <v>578.50840092071542</v>
      </c>
      <c r="EO40" s="62">
        <f ca="1">AVERAGE(OFFSET($EN$3,0,0,'Données projet'!$E$15+1,1))-AVERAGE(OFFSET($H$3,0,0,'Données projet'!$E$15+1,1))</f>
        <v>548.17046467409421</v>
      </c>
      <c r="EP40" s="62">
        <f t="shared" si="46"/>
        <v>341.9250949809848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2.3505826440555642</v>
      </c>
      <c r="EX40" s="23">
        <f>EXP(-LN(2)/2)*EX39+(1-EXP(-LN(2)/2))/(LN(2)/2)*ER40*EU40*VLOOKUP('Données projet'!$B$15,Paramètres!$A$1:$I$89,3,0)*0.475*44/12</f>
        <v>2.4719718730016029</v>
      </c>
      <c r="EY40" s="24">
        <f t="shared" si="21"/>
        <v>4.8225545170571671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472.83070477639035</v>
      </c>
      <c r="T41" s="62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7.3141209735696862</v>
      </c>
      <c r="AB41" s="23">
        <f>EXP(-LN(2)/2)*AB40+(1-EXP(-LN(2)/2))/(LN(2)/2)*V41*Y41*VLOOKUP('Données projet'!$B$9,Paramètres!$A$1:$I$89,3,0)*0.475*44/12</f>
        <v>0.93186091528485271</v>
      </c>
      <c r="AC41" s="24">
        <f t="shared" si="3"/>
        <v>8.2459818888545389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154.73640000000003</v>
      </c>
      <c r="AK41" s="14">
        <f t="shared" si="35"/>
        <v>39.652994320183701</v>
      </c>
      <c r="AL41" s="22">
        <f t="shared" si="4"/>
        <v>338.56152844098665</v>
      </c>
      <c r="AM41" s="62">
        <f t="shared" si="5"/>
        <v>584.7531217345454</v>
      </c>
      <c r="AN41" s="62">
        <f ca="1">AVERAGE(OFFSET($AM$3,0,0,'Données projet'!$E$10+1,1))-AVERAGE(OFFSET($H$3,0,0,'Données projet'!$E$10+1,1))</f>
        <v>520.80494930257237</v>
      </c>
      <c r="AO41" s="62">
        <f t="shared" si="36"/>
        <v>325.72635759450861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8.1968597117591298</v>
      </c>
      <c r="AW41" s="23">
        <f>EXP(-LN(2)/2)*AW40+(1-EXP(-LN(2)/2))/(LN(2)/2)*AQ41*AT41*VLOOKUP('Données projet'!$B$10,Paramètres!$A$1:$I$89,3,0)*0.475*44/12</f>
        <v>1.0443268878192307</v>
      </c>
      <c r="AX41" s="23">
        <f t="shared" si="6"/>
        <v>9.2411865995783611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22.82714285714286</v>
      </c>
      <c r="BD41" s="13">
        <f>IF('Données projet'!$A$88&gt;35,BD40+BC41-BL40,IF(A41&lt;'Données projet'!$A$88,$BA$205^A41,IF(A41='Données projet'!$A$88,'Données projet'!$B$88,BD40+BC41-BL40)))</f>
        <v>358.92142857142858</v>
      </c>
      <c r="BE41" s="14">
        <f>BD41*VLOOKUP('Données projet'!$B$11,Paramètres!$A$1:$I$89,3,0)*VLOOKUP('Données projet'!$B$11,Paramètres!$A$1:$I$89,5,0)</f>
        <v>200.63707857142856</v>
      </c>
      <c r="BF41" s="14">
        <f t="shared" si="37"/>
        <v>49.884152387105956</v>
      </c>
      <c r="BG41" s="22">
        <f t="shared" si="7"/>
        <v>436.32447725278098</v>
      </c>
      <c r="BH41" s="62">
        <f t="shared" si="8"/>
        <v>682.51607054633973</v>
      </c>
      <c r="BI41" s="62">
        <f ca="1">AVERAGE(OFFSET($BH$3,0,0,'Données projet'!$E$11+1,1))-AVERAGE(OFFSET($H$3,0,0,'Données projet'!$E$11+1,1))</f>
        <v>321.60602866722138</v>
      </c>
      <c r="BJ41" s="62">
        <f t="shared" si="38"/>
        <v>375.18886653687389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10.929252205348821</v>
      </c>
      <c r="BQ41" s="23">
        <f>EXP(-LN(2)/25)*BQ40+(1-EXP(-LN(2)/25))/(LN(2)/25)*Calculateur!BL41*Calculateur!BN41*VLOOKUP('Données projet'!$B$11,Paramètres!$A$1:$I$89,3,0)*0.475*44/12</f>
        <v>12.794760742782486</v>
      </c>
      <c r="BR41" s="23">
        <f>EXP(-LN(2)/2)*BR40+(1-EXP(-LN(2)/2))/(LN(2)/2)*BL41*BO41*VLOOKUP('Données projet'!$B$11,Paramètres!$A$1:$I$89,3,0)*0.475*44/12</f>
        <v>0.45762056904292348</v>
      </c>
      <c r="BS41" s="24">
        <f t="shared" si="9"/>
        <v>24.18163351717423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4.8</v>
      </c>
      <c r="BY41" s="13">
        <f>IF('Données projet'!$A$114&gt;35,BY40+BX41-CG40,IF(A41&lt;'Données projet'!$A$114,$BV$205^A41,IF(A41='Données projet'!$A$114,'Données projet'!$B$114,BY40+BX41-CG40)))</f>
        <v>184.4</v>
      </c>
      <c r="BZ41" s="14">
        <f>BY41*VLOOKUP('Données projet'!$B$12,Paramètres!$A$1:$I$89,3,0)*VLOOKUP('Données projet'!$B$12,Paramètres!$A$1:$I$89,5,0)</f>
        <v>100.6824</v>
      </c>
      <c r="CA41" s="14">
        <f t="shared" si="39"/>
        <v>27.124505534928659</v>
      </c>
      <c r="CB41" s="22">
        <f t="shared" si="10"/>
        <v>222.59702714000073</v>
      </c>
      <c r="CC41" s="62">
        <f t="shared" si="11"/>
        <v>468.78862043355946</v>
      </c>
      <c r="CD41" s="62">
        <f ca="1">AVERAGE(OFFSET($CC$3,0,0,'Données projet'!$E$12+1,1))-AVERAGE(OFFSET($H$3,0,0,'Données projet'!$E$12+1,1))</f>
        <v>182.44246264133781</v>
      </c>
      <c r="CE41" s="62">
        <f t="shared" si="40"/>
        <v>262.5818213397049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3.677689115105141</v>
      </c>
      <c r="CL41" s="23">
        <f>EXP(-LN(2)/25)*CL40+(1-EXP(-LN(2)/25))/(LN(2)/25)*Calculateur!CG41*Calculateur!CI41*VLOOKUP('Données projet'!$B$12,Paramètres!$A$1:$I$89,3,0)*0.475*44/12</f>
        <v>14.498805238628499</v>
      </c>
      <c r="CM41" s="23">
        <f>EXP(-LN(2)/2)*CM40+(1-EXP(-LN(2)/2))/(LN(2)/2)*CG41*CJ41*VLOOKUP('Données projet'!$B$12,Paramètres!$A$1:$I$89,3,0)*0.475*44/12</f>
        <v>1.8865931227095059E-4</v>
      </c>
      <c r="CN41" s="24">
        <f t="shared" si="12"/>
        <v>18.176683013045913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</v>
      </c>
      <c r="CT41" s="13">
        <f>IF('Données projet'!$A$140&gt;35,CT40+CS41-DB40,IF(A41&lt;'Données projet'!$A$140,$CQ$205^A41,IF(A41='Données projet'!$A$140,'Données projet'!$B$140,CT40+CS41-DB40)))</f>
        <v>329.99999999999989</v>
      </c>
      <c r="CU41" s="18">
        <f>CT41*VLOOKUP('Données projet'!$B$13,Paramètres!$A$1:$I$89,3,0)*VLOOKUP('Données projet'!$B$13,Paramètres!$A$1:$I$89,5,0)</f>
        <v>154.43999999999994</v>
      </c>
      <c r="CV41" s="14">
        <f t="shared" si="41"/>
        <v>39.585872170955454</v>
      </c>
      <c r="CW41" s="22">
        <f t="shared" si="13"/>
        <v>337.92839403108059</v>
      </c>
      <c r="CX41" s="62">
        <f t="shared" si="14"/>
        <v>584.11998732463928</v>
      </c>
      <c r="CY41" s="62">
        <f ca="1">AVERAGE(OFFSET($CX$3,0,0,'Données projet'!$E$13+1,1))-AVERAGE(OFFSET($H$3,0,0,'Données projet'!$E$13+1,1))</f>
        <v>426.87921482911719</v>
      </c>
      <c r="CZ41" s="62">
        <f t="shared" si="42"/>
        <v>313.49594674441835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152.60000000000002</v>
      </c>
      <c r="DP41" s="18">
        <f>DO41*VLOOKUP('Données projet'!$B$14,Paramètres!$A$1:$I$89,3,0)*VLOOKUP('Données projet'!$B$14,Paramètres!$A$1:$I$89,5,0)</f>
        <v>147.59472000000002</v>
      </c>
      <c r="DQ41" s="14">
        <f t="shared" si="43"/>
        <v>38.031463918082679</v>
      </c>
      <c r="DR41" s="22">
        <f t="shared" si="16"/>
        <v>323.29893699066071</v>
      </c>
      <c r="DS41" s="62">
        <f t="shared" si="17"/>
        <v>569.4905302842194</v>
      </c>
      <c r="DT41" s="62">
        <f ca="1">AVERAGE(OFFSET($DS$3,0,0,'Données projet'!$E$14+1,1))-AVERAGE(OFFSET($H$3,0,0,'Données projet'!$E$14+1,1))</f>
        <v>500.25828825677058</v>
      </c>
      <c r="DU41" s="62">
        <f t="shared" si="44"/>
        <v>313.56299786481338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2.0543617675160859</v>
      </c>
      <c r="EC41" s="23">
        <f>EXP(-LN(2)/2)*EC40+(1-EXP(-LN(2)/2))/(LN(2)/2)*DW41*DZ41*VLOOKUP('Données projet'!$B$14,Paramètres!$A$1:$I$89,3,0)*0.475*44/12</f>
        <v>1.5706200087929627</v>
      </c>
      <c r="ED41" s="24">
        <f t="shared" si="18"/>
        <v>3.6249817763090486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11.2</v>
      </c>
      <c r="EJ41" s="13">
        <f>IF('Données projet'!$A$192&gt;35,EJ40+EI41-ER40,IF(A41&lt;'Données projet'!$A$192,$EG$205^A41,IF(A41='Données projet'!$A$192,'Données projet'!$B$192,EJ40+EI41-ER40)))</f>
        <v>152.60000000000002</v>
      </c>
      <c r="EK41" s="18">
        <f>EJ41*VLOOKUP('Données projet'!$B$15,Paramètres!$A$1:$I$89,3,0)*VLOOKUP('Données projet'!$B$15,Paramètres!$A$1:$I$89,5,0)</f>
        <v>164.25864000000001</v>
      </c>
      <c r="EL41" s="14">
        <f t="shared" si="45"/>
        <v>41.80159011374478</v>
      </c>
      <c r="EM41" s="22">
        <f t="shared" si="19"/>
        <v>358.88823411477216</v>
      </c>
      <c r="EN41" s="62">
        <f t="shared" si="20"/>
        <v>605.07982740833086</v>
      </c>
      <c r="EO41" s="62">
        <f ca="1">AVERAGE(OFFSET($EN$3,0,0,'Données projet'!$E$15+1,1))-AVERAGE(OFFSET($H$3,0,0,'Données projet'!$E$15+1,1))</f>
        <v>548.17046467409421</v>
      </c>
      <c r="EP41" s="62">
        <f t="shared" si="46"/>
        <v>341.9250949809848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2.2863058380420958</v>
      </c>
      <c r="EX41" s="23">
        <f>EXP(-LN(2)/2)*EX40+(1-EXP(-LN(2)/2))/(LN(2)/2)*ER41*EU41*VLOOKUP('Données projet'!$B$15,Paramètres!$A$1:$I$89,3,0)*0.475*44/12</f>
        <v>1.7479480743018445</v>
      </c>
      <c r="EY41" s="24">
        <f t="shared" si="21"/>
        <v>4.0342539123439405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472.83070477639035</v>
      </c>
      <c r="T42" s="62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7.1141159509145178</v>
      </c>
      <c r="AB42" s="23">
        <f>EXP(-LN(2)/2)*AB41+(1-EXP(-LN(2)/2))/(LN(2)/2)*V42*Y42*VLOOKUP('Données projet'!$B$9,Paramètres!$A$1:$I$89,3,0)*0.475*44/12</f>
        <v>0.65892517232062231</v>
      </c>
      <c r="AC42" s="24">
        <f t="shared" si="3"/>
        <v>7.7730411232351404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166.09320000000002</v>
      </c>
      <c r="AK42" s="14">
        <f t="shared" si="35"/>
        <v>42.213849908165905</v>
      </c>
      <c r="AL42" s="22">
        <f t="shared" si="4"/>
        <v>362.80144525672227</v>
      </c>
      <c r="AM42" s="62">
        <f t="shared" si="5"/>
        <v>609.81084234682942</v>
      </c>
      <c r="AN42" s="62">
        <f ca="1">AVERAGE(OFFSET($AM$3,0,0,'Données projet'!$E$10+1,1))-AVERAGE(OFFSET($H$3,0,0,'Données projet'!$E$10+1,1))</f>
        <v>520.80494930257237</v>
      </c>
      <c r="AO42" s="62">
        <f t="shared" si="36"/>
        <v>325.72635759450861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7.9727161518869583</v>
      </c>
      <c r="AW42" s="23">
        <f>EXP(-LN(2)/2)*AW41+(1-EXP(-LN(2)/2))/(LN(2)/2)*AQ42*AT42*VLOOKUP('Données projet'!$B$10,Paramètres!$A$1:$I$89,3,0)*0.475*44/12</f>
        <v>0.73845062415242091</v>
      </c>
      <c r="AX42" s="23">
        <f t="shared" si="6"/>
        <v>8.7111667760393789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22.82714285714286</v>
      </c>
      <c r="BD42" s="13">
        <f>IF('Données projet'!$A$88&gt;35,BD41+BC42-BL41,IF(A42&lt;'Données projet'!$A$88,$BA$205^A42,IF(A42='Données projet'!$A$88,'Données projet'!$B$88,BD41+BC42-BL41)))</f>
        <v>381.74857142857144</v>
      </c>
      <c r="BE42" s="14">
        <f>BD42*VLOOKUP('Données projet'!$B$11,Paramètres!$A$1:$I$89,3,0)*VLOOKUP('Données projet'!$B$11,Paramètres!$A$1:$I$89,5,0)</f>
        <v>213.39745142857146</v>
      </c>
      <c r="BF42" s="14">
        <f t="shared" si="37"/>
        <v>52.67731943158536</v>
      </c>
      <c r="BG42" s="22">
        <f t="shared" si="7"/>
        <v>463.41355924810642</v>
      </c>
      <c r="BH42" s="62">
        <f t="shared" si="8"/>
        <v>710.42295633821357</v>
      </c>
      <c r="BI42" s="62">
        <f ca="1">AVERAGE(OFFSET($BH$3,0,0,'Données projet'!$E$11+1,1))-AVERAGE(OFFSET($H$3,0,0,'Données projet'!$E$11+1,1))</f>
        <v>321.60602866722138</v>
      </c>
      <c r="BJ42" s="62">
        <f t="shared" si="38"/>
        <v>375.18886653687389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10.714936235787544</v>
      </c>
      <c r="BQ42" s="23">
        <f>EXP(-LN(2)/25)*BQ41+(1-EXP(-LN(2)/25))/(LN(2)/25)*Calculateur!BL42*Calculateur!BN42*VLOOKUP('Données projet'!$B$11,Paramètres!$A$1:$I$89,3,0)*0.475*44/12</f>
        <v>12.444887337423875</v>
      </c>
      <c r="BR42" s="23">
        <f>EXP(-LN(2)/2)*BR41+(1-EXP(-LN(2)/2))/(LN(2)/2)*BL42*BO42*VLOOKUP('Données projet'!$B$11,Paramètres!$A$1:$I$89,3,0)*0.475*44/12</f>
        <v>0.32358660758069785</v>
      </c>
      <c r="BS42" s="24">
        <f t="shared" si="9"/>
        <v>23.483410180792117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4.8</v>
      </c>
      <c r="BY42" s="13">
        <f>IF('Données projet'!$A$114&gt;35,BY41+BX42-CG41,IF(A42&lt;'Données projet'!$A$114,$BV$205^A42,IF(A42='Données projet'!$A$114,'Données projet'!$B$114,BY41+BX42-CG41)))</f>
        <v>189.20000000000002</v>
      </c>
      <c r="BZ42" s="14">
        <f>BY42*VLOOKUP('Données projet'!$B$12,Paramètres!$A$1:$I$89,3,0)*VLOOKUP('Données projet'!$B$12,Paramètres!$A$1:$I$89,5,0)</f>
        <v>103.3032</v>
      </c>
      <c r="CA42" s="14">
        <f t="shared" si="39"/>
        <v>27.747444810362108</v>
      </c>
      <c r="CB42" s="22">
        <f t="shared" si="10"/>
        <v>228.24653971138068</v>
      </c>
      <c r="CC42" s="62">
        <f t="shared" si="11"/>
        <v>475.25593680148779</v>
      </c>
      <c r="CD42" s="62">
        <f ca="1">AVERAGE(OFFSET($CC$3,0,0,'Données projet'!$E$12+1,1))-AVERAGE(OFFSET($H$3,0,0,'Données projet'!$E$12+1,1))</f>
        <v>182.44246264133781</v>
      </c>
      <c r="CE42" s="62">
        <f t="shared" si="40"/>
        <v>262.5818213397049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3.6055718747267949</v>
      </c>
      <c r="CL42" s="23">
        <f>EXP(-LN(2)/25)*CL41+(1-EXP(-LN(2)/25))/(LN(2)/25)*Calculateur!CG42*Calculateur!CI42*VLOOKUP('Données projet'!$B$12,Paramètres!$A$1:$I$89,3,0)*0.475*44/12</f>
        <v>14.102334646919173</v>
      </c>
      <c r="CM42" s="23">
        <f>EXP(-LN(2)/2)*CM41+(1-EXP(-LN(2)/2))/(LN(2)/2)*CG42*CJ42*VLOOKUP('Données projet'!$B$12,Paramètres!$A$1:$I$89,3,0)*0.475*44/12</f>
        <v>1.334022790407796E-4</v>
      </c>
      <c r="CN42" s="24">
        <f t="shared" si="12"/>
        <v>17.708039923925007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</v>
      </c>
      <c r="CT42" s="13">
        <f>IF('Données projet'!$A$140&gt;35,CT41+CS42-DB41,IF(A42&lt;'Données projet'!$A$140,$CQ$205^A42,IF(A42='Données projet'!$A$140,'Données projet'!$B$140,CT41+CS42-DB41)))</f>
        <v>339.99999999999989</v>
      </c>
      <c r="CU42" s="18">
        <f>CT42*VLOOKUP('Données projet'!$B$13,Paramètres!$A$1:$I$89,3,0)*VLOOKUP('Données projet'!$B$13,Paramètres!$A$1:$I$89,5,0)</f>
        <v>159.11999999999995</v>
      </c>
      <c r="CV42" s="14">
        <f t="shared" si="41"/>
        <v>40.643965284387697</v>
      </c>
      <c r="CW42" s="22">
        <f t="shared" si="13"/>
        <v>347.92223953697516</v>
      </c>
      <c r="CX42" s="62">
        <f t="shared" si="14"/>
        <v>594.9316366270823</v>
      </c>
      <c r="CY42" s="62">
        <f ca="1">AVERAGE(OFFSET($CX$3,0,0,'Données projet'!$E$13+1,1))-AVERAGE(OFFSET($H$3,0,0,'Données projet'!$E$13+1,1))</f>
        <v>426.87921482911719</v>
      </c>
      <c r="CZ42" s="62">
        <f t="shared" si="42"/>
        <v>313.49594674441835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163.80000000000001</v>
      </c>
      <c r="DP42" s="18">
        <f>DO42*VLOOKUP('Données projet'!$B$14,Paramètres!$A$1:$I$89,3,0)*VLOOKUP('Données projet'!$B$14,Paramètres!$A$1:$I$89,5,0)</f>
        <v>158.42736000000002</v>
      </c>
      <c r="DQ42" s="14">
        <f t="shared" si="43"/>
        <v>40.487598405868248</v>
      </c>
      <c r="DR42" s="22">
        <f t="shared" si="16"/>
        <v>346.4435525568872</v>
      </c>
      <c r="DS42" s="62">
        <f t="shared" si="17"/>
        <v>593.45294964699428</v>
      </c>
      <c r="DT42" s="62">
        <f ca="1">AVERAGE(OFFSET($DS$3,0,0,'Données projet'!$E$14+1,1))-AVERAGE(OFFSET($H$3,0,0,'Données projet'!$E$14+1,1))</f>
        <v>500.25828825677058</v>
      </c>
      <c r="DU42" s="62">
        <f t="shared" si="44"/>
        <v>313.56299786481338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1.9981851369491685</v>
      </c>
      <c r="EC42" s="23">
        <f>EXP(-LN(2)/2)*EC41+(1-EXP(-LN(2)/2))/(LN(2)/2)*DW42*DZ42*VLOOKUP('Données projet'!$B$14,Paramètres!$A$1:$I$89,3,0)*0.475*44/12</f>
        <v>1.110596058884779</v>
      </c>
      <c r="ED42" s="24">
        <f t="shared" si="18"/>
        <v>3.1087811958339477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11.2</v>
      </c>
      <c r="EJ42" s="13">
        <f>IF('Données projet'!$A$192&gt;35,EJ41+EI42-ER41,IF(A42&lt;'Données projet'!$A$192,$EG$205^A42,IF(A42='Données projet'!$A$192,'Données projet'!$B$192,EJ41+EI42-ER41)))</f>
        <v>163.80000000000001</v>
      </c>
      <c r="EK42" s="18">
        <f>EJ42*VLOOKUP('Données projet'!$B$15,Paramètres!$A$1:$I$89,3,0)*VLOOKUP('Données projet'!$B$15,Paramètres!$A$1:$I$89,5,0)</f>
        <v>176.31432000000001</v>
      </c>
      <c r="EL42" s="14">
        <f t="shared" si="45"/>
        <v>44.501205551735517</v>
      </c>
      <c r="EM42" s="22">
        <f t="shared" si="19"/>
        <v>384.58704033593932</v>
      </c>
      <c r="EN42" s="62">
        <f t="shared" si="20"/>
        <v>631.59643742604646</v>
      </c>
      <c r="EO42" s="62">
        <f ca="1">AVERAGE(OFFSET($EN$3,0,0,'Données projet'!$E$15+1,1))-AVERAGE(OFFSET($H$3,0,0,'Données projet'!$E$15+1,1))</f>
        <v>548.17046467409421</v>
      </c>
      <c r="EP42" s="62">
        <f t="shared" si="46"/>
        <v>341.9250949809848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2.223786684669236</v>
      </c>
      <c r="EX42" s="23">
        <f>EXP(-LN(2)/2)*EX41+(1-EXP(-LN(2)/2))/(LN(2)/2)*ER42*EU42*VLOOKUP('Données projet'!$B$15,Paramètres!$A$1:$I$89,3,0)*0.475*44/12</f>
        <v>1.2359859365008015</v>
      </c>
      <c r="EY42" s="24">
        <f t="shared" si="21"/>
        <v>3.4597726211700373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594.07005548449115</v>
      </c>
      <c r="S43" s="62">
        <f ca="1">AVERAGE(OFFSET($R$3,0,0,'Données projet'!$E$9+1,1))-AVERAGE(OFFSET($H$3,0,0,'Données projet'!$E$9+1,1))</f>
        <v>472.83070477639035</v>
      </c>
      <c r="T43" s="62">
        <f t="shared" si="34"/>
        <v>297.32483725004136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6.9195800761216617</v>
      </c>
      <c r="AB43" s="23">
        <f>EXP(-LN(2)/2)*AB42+(1-EXP(-LN(2)/2))/(LN(2)/2)*V43*Y43*VLOOKUP('Données projet'!$B$9,Paramètres!$A$1:$I$89,3,0)*0.475*44/12</f>
        <v>0.46593045764242641</v>
      </c>
      <c r="AC43" s="24">
        <f t="shared" si="3"/>
        <v>7.3855105337640881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177.45000000000002</v>
      </c>
      <c r="AK43" s="14">
        <f t="shared" si="35"/>
        <v>44.754387900936791</v>
      </c>
      <c r="AL43" s="22">
        <f t="shared" si="4"/>
        <v>387.0059755941316</v>
      </c>
      <c r="AM43" s="62">
        <f t="shared" si="5"/>
        <v>634.81898941325244</v>
      </c>
      <c r="AN43" s="62">
        <f ca="1">AVERAGE(OFFSET($AM$3,0,0,'Données projet'!$E$10+1,1))-AVERAGE(OFFSET($H$3,0,0,'Données projet'!$E$10+1,1))</f>
        <v>520.80494930257237</v>
      </c>
      <c r="AO43" s="62">
        <f t="shared" si="36"/>
        <v>325.72635759450861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7.7547018094466891</v>
      </c>
      <c r="AW43" s="23">
        <f>EXP(-LN(2)/2)*AW42+(1-EXP(-LN(2)/2))/(LN(2)/2)*AQ43*AT43*VLOOKUP('Données projet'!$B$10,Paramètres!$A$1:$I$89,3,0)*0.475*44/12</f>
        <v>0.52216344390961533</v>
      </c>
      <c r="AX43" s="23">
        <f t="shared" si="6"/>
        <v>8.2768652533563039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22.82714285714286</v>
      </c>
      <c r="BD43" s="13">
        <f>IF('Données projet'!$A$88&gt;35,BD42+BC43-BL42,IF(A43&lt;'Données projet'!$A$88,$BA$205^A43,IF(A43='Données projet'!$A$88,'Données projet'!$B$88,BD42+BC43-BL42)))</f>
        <v>404.5757142857143</v>
      </c>
      <c r="BE43" s="14">
        <f>BD43*VLOOKUP('Données projet'!$B$11,Paramètres!$A$1:$I$89,3,0)*VLOOKUP('Données projet'!$B$11,Paramètres!$A$1:$I$89,5,0)</f>
        <v>226.1578242857143</v>
      </c>
      <c r="BF43" s="14">
        <f t="shared" si="37"/>
        <v>55.451100541643569</v>
      </c>
      <c r="BG43" s="22">
        <f t="shared" si="7"/>
        <v>490.46887740764834</v>
      </c>
      <c r="BH43" s="62">
        <f t="shared" si="8"/>
        <v>738.28189122676918</v>
      </c>
      <c r="BI43" s="62">
        <f ca="1">AVERAGE(OFFSET($BH$3,0,0,'Données projet'!$E$11+1,1))-AVERAGE(OFFSET($H$3,0,0,'Données projet'!$E$11+1,1))</f>
        <v>321.60602866722138</v>
      </c>
      <c r="BJ43" s="62">
        <f t="shared" si="38"/>
        <v>375.18886653687389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10.50482287166953</v>
      </c>
      <c r="BQ43" s="23">
        <f>EXP(-LN(2)/25)*BQ42+(1-EXP(-LN(2)/25))/(LN(2)/25)*Calculateur!BL43*Calculateur!BN43*VLOOKUP('Données projet'!$B$11,Paramètres!$A$1:$I$89,3,0)*0.475*44/12</f>
        <v>12.104581238733838</v>
      </c>
      <c r="BR43" s="23">
        <f>EXP(-LN(2)/2)*BR42+(1-EXP(-LN(2)/2))/(LN(2)/2)*BL43*BO43*VLOOKUP('Données projet'!$B$11,Paramètres!$A$1:$I$89,3,0)*0.475*44/12</f>
        <v>0.22881028452146174</v>
      </c>
      <c r="BS43" s="24">
        <f t="shared" si="9"/>
        <v>22.83821439492483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194</v>
      </c>
      <c r="BW43" s="13">
        <f>VLOOKUP(A43,'Données projet'!$A$113:$I$133,9,0)</f>
        <v>4.8</v>
      </c>
      <c r="BX43" s="13">
        <f t="array" ref="BX43">INDEX(BW:BW,MIN(IF(ISNUMBER(BW43:BW239),ROW(BW43:BW239),"")))</f>
        <v>4.8</v>
      </c>
      <c r="BY43" s="13">
        <f>IF('Données projet'!$A$114&gt;35,BY42+BX43-CG42,IF(A43&lt;'Données projet'!$A$114,$BV$205^A43,IF(A43='Données projet'!$A$114,'Données projet'!$B$114,BY42+BX43-CG42)))</f>
        <v>194.00000000000003</v>
      </c>
      <c r="BZ43" s="14">
        <f>BY43*VLOOKUP('Données projet'!$B$12,Paramètres!$A$1:$I$89,3,0)*VLOOKUP('Données projet'!$B$12,Paramètres!$A$1:$I$89,5,0)</f>
        <v>105.92400000000001</v>
      </c>
      <c r="CA43" s="14">
        <f t="shared" si="39"/>
        <v>28.368547010555485</v>
      </c>
      <c r="CB43" s="22">
        <f t="shared" si="10"/>
        <v>233.89285271005079</v>
      </c>
      <c r="CC43" s="62">
        <f t="shared" si="11"/>
        <v>481.7058665291716</v>
      </c>
      <c r="CD43" s="62">
        <f ca="1">AVERAGE(OFFSET($CC$3,0,0,'Données projet'!$E$12+1,1))-AVERAGE(OFFSET($H$3,0,0,'Données projet'!$E$12+1,1))</f>
        <v>182.44246264133781</v>
      </c>
      <c r="CE43" s="62">
        <f t="shared" si="40"/>
        <v>262.5818213397049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11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3.5348688094450949</v>
      </c>
      <c r="CL43" s="23">
        <f>EXP(-LN(2)/25)*CL42+(1-EXP(-LN(2)/25))/(LN(2)/25)*Calculateur!CG43*Calculateur!CI43*VLOOKUP('Données projet'!$B$12,Paramètres!$A$1:$I$89,3,0)*0.475*44/12</f>
        <v>13.716705564389621</v>
      </c>
      <c r="CM43" s="23">
        <f>EXP(-LN(2)/2)*CM42+(1-EXP(-LN(2)/2))/(LN(2)/2)*CG43*CJ43*VLOOKUP('Données projet'!$B$12,Paramètres!$A$1:$I$89,3,0)*0.475*44/12</f>
        <v>9.4329656135475295E-5</v>
      </c>
      <c r="CN43" s="24">
        <f t="shared" si="12"/>
        <v>17.25166870349085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350</v>
      </c>
      <c r="CR43" s="13">
        <f>VLOOKUP(A43,'Données projet'!$A$139:$I$159,9,0)</f>
        <v>10</v>
      </c>
      <c r="CS43" s="13">
        <f t="array" ref="CS43">INDEX(CR:CR,MIN(IF(ISNUMBER(CR43:CR239),ROW(CR43:CR239),"")))</f>
        <v>10</v>
      </c>
      <c r="CT43" s="13">
        <f>IF('Données projet'!$A$140&gt;35,CT42+CS43-DB42,IF(A43&lt;'Données projet'!$A$140,$CQ$205^A43,IF(A43='Données projet'!$A$140,'Données projet'!$B$140,CT42+CS43-DB42)))</f>
        <v>349.99999999999989</v>
      </c>
      <c r="CU43" s="18">
        <f>CT43*VLOOKUP('Données projet'!$B$13,Paramètres!$A$1:$I$89,3,0)*VLOOKUP('Données projet'!$B$13,Paramètres!$A$1:$I$89,5,0)</f>
        <v>163.79999999999995</v>
      </c>
      <c r="CV43" s="14">
        <f t="shared" si="41"/>
        <v>41.698441627605291</v>
      </c>
      <c r="CW43" s="22">
        <f t="shared" si="13"/>
        <v>357.90978583474572</v>
      </c>
      <c r="CX43" s="62">
        <f t="shared" si="14"/>
        <v>605.72279965386656</v>
      </c>
      <c r="CY43" s="62">
        <f ca="1">AVERAGE(OFFSET($CX$3,0,0,'Données projet'!$E$13+1,1))-AVERAGE(OFFSET($H$3,0,0,'Données projet'!$E$13+1,1))</f>
        <v>426.87921482911719</v>
      </c>
      <c r="CZ43" s="62">
        <f t="shared" si="42"/>
        <v>313.49594674441835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88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</v>
      </c>
      <c r="DP43" s="18">
        <f>DO43*VLOOKUP('Données projet'!$B$14,Paramètres!$A$1:$I$89,3,0)*VLOOKUP('Données projet'!$B$14,Paramètres!$A$1:$I$89,5,0)</f>
        <v>169.26000000000002</v>
      </c>
      <c r="DQ43" s="14">
        <f t="shared" si="43"/>
        <v>42.924246146122272</v>
      </c>
      <c r="DR43" s="22">
        <f t="shared" si="16"/>
        <v>369.55422870449632</v>
      </c>
      <c r="DS43" s="62">
        <f t="shared" si="17"/>
        <v>617.36724252361716</v>
      </c>
      <c r="DT43" s="62">
        <f ca="1">AVERAGE(OFFSET($DS$3,0,0,'Données projet'!$E$14+1,1))-AVERAGE(OFFSET($H$3,0,0,'Données projet'!$E$14+1,1))</f>
        <v>500.25828825677058</v>
      </c>
      <c r="DU43" s="62">
        <f t="shared" si="44"/>
        <v>313.56299786481338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28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1.9435446592993042</v>
      </c>
      <c r="EC43" s="23">
        <f>EXP(-LN(2)/2)*EC42+(1-EXP(-LN(2)/2))/(LN(2)/2)*DW43*DZ43*VLOOKUP('Données projet'!$B$14,Paramètres!$A$1:$I$89,3,0)*0.475*44/12</f>
        <v>0.78531000439648146</v>
      </c>
      <c r="ED43" s="24">
        <f t="shared" si="18"/>
        <v>2.7288546636957856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175</v>
      </c>
      <c r="EH43" s="13">
        <f>VLOOKUP(A43,'Données projet'!$A$191:$I$211,9,0)</f>
        <v>11.2</v>
      </c>
      <c r="EI43" s="13">
        <f t="array" ref="EI43">INDEX(EH:EH,MIN(IF(ISNUMBER(EH43:EH239),ROW(EH43:EH239),"")))</f>
        <v>11.2</v>
      </c>
      <c r="EJ43" s="13">
        <f>IF('Données projet'!$A$192&gt;35,EJ42+EI43-ER42,IF(A43&lt;'Données projet'!$A$192,$EG$205^A43,IF(A43='Données projet'!$A$192,'Données projet'!$B$192,EJ42+EI43-ER42)))</f>
        <v>175</v>
      </c>
      <c r="EK43" s="18">
        <f>EJ43*VLOOKUP('Données projet'!$B$15,Paramètres!$A$1:$I$89,3,0)*VLOOKUP('Données projet'!$B$15,Paramètres!$A$1:$I$89,5,0)</f>
        <v>188.36999999999998</v>
      </c>
      <c r="EL43" s="14">
        <f t="shared" si="45"/>
        <v>47.179402486491298</v>
      </c>
      <c r="EM43" s="22">
        <f t="shared" si="19"/>
        <v>410.24854266397227</v>
      </c>
      <c r="EN43" s="62">
        <f t="shared" si="20"/>
        <v>658.06155648309311</v>
      </c>
      <c r="EO43" s="62">
        <f ca="1">AVERAGE(OFFSET($EN$3,0,0,'Données projet'!$E$15+1,1))-AVERAGE(OFFSET($H$3,0,0,'Données projet'!$E$15+1,1))</f>
        <v>548.17046467409421</v>
      </c>
      <c r="EP43" s="62">
        <f t="shared" si="46"/>
        <v>341.9250949809848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28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2.1629771208330966</v>
      </c>
      <c r="EX43" s="23">
        <f>EXP(-LN(2)/2)*EX42+(1-EXP(-LN(2)/2))/(LN(2)/2)*ER43*EU43*VLOOKUP('Données projet'!$B$15,Paramètres!$A$1:$I$89,3,0)*0.475*44/12</f>
        <v>0.87397403715092226</v>
      </c>
      <c r="EY43" s="24">
        <f t="shared" si="21"/>
        <v>3.0369511579840189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562.75916455140862</v>
      </c>
      <c r="S44" s="62">
        <f ca="1">AVERAGE(OFFSET($R$3,0,0,'Données projet'!$E$9+1,1))-AVERAGE(OFFSET($H$3,0,0,'Données projet'!$E$9+1,1))</f>
        <v>472.83070477639035</v>
      </c>
      <c r="T44" s="62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6.7303637950552133</v>
      </c>
      <c r="AB44" s="23">
        <f>EXP(-LN(2)/2)*AB43+(1-EXP(-LN(2)/2))/(LN(2)/2)*V44*Y44*VLOOKUP('Données projet'!$B$9,Paramètres!$A$1:$I$89,3,0)*0.475*44/12</f>
        <v>0.32946258616031121</v>
      </c>
      <c r="AC44" s="24">
        <f t="shared" si="3"/>
        <v>7.0598263812155242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160.61760000000001</v>
      </c>
      <c r="AK44" s="14">
        <f t="shared" si="35"/>
        <v>40.981785561145074</v>
      </c>
      <c r="AL44" s="22">
        <f t="shared" si="4"/>
        <v>351.11892985232771</v>
      </c>
      <c r="AM44" s="62">
        <f t="shared" si="5"/>
        <v>599.72161944683171</v>
      </c>
      <c r="AN44" s="62">
        <f ca="1">AVERAGE(OFFSET($AM$3,0,0,'Données projet'!$E$10+1,1))-AVERAGE(OFFSET($H$3,0,0,'Données projet'!$E$10+1,1))</f>
        <v>520.80494930257237</v>
      </c>
      <c r="AO44" s="62">
        <f t="shared" si="36"/>
        <v>325.72635759450861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7.542649080665325</v>
      </c>
      <c r="AW44" s="23">
        <f>EXP(-LN(2)/2)*AW43+(1-EXP(-LN(2)/2))/(LN(2)/2)*AQ44*AT44*VLOOKUP('Données projet'!$B$10,Paramètres!$A$1:$I$89,3,0)*0.475*44/12</f>
        <v>0.36922531207621045</v>
      </c>
      <c r="AX44" s="23">
        <f t="shared" si="6"/>
        <v>7.9118743927415354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22.82714285714286</v>
      </c>
      <c r="BD44" s="13">
        <f>IF('Données projet'!$A$88&gt;35,BD43+BC44-BL43,IF(A44&lt;'Données projet'!$A$88,$BA$205^A44,IF(A44='Données projet'!$A$88,'Données projet'!$B$88,BD43+BC44-BL43)))</f>
        <v>427.40285714285716</v>
      </c>
      <c r="BE44" s="14">
        <f>BD44*VLOOKUP('Données projet'!$B$11,Paramètres!$A$1:$I$89,3,0)*VLOOKUP('Données projet'!$B$11,Paramètres!$A$1:$I$89,5,0)</f>
        <v>238.91819714285714</v>
      </c>
      <c r="BF44" s="14">
        <f t="shared" si="37"/>
        <v>58.206714164613295</v>
      </c>
      <c r="BG44" s="22">
        <f t="shared" si="7"/>
        <v>517.49255386051107</v>
      </c>
      <c r="BH44" s="62">
        <f t="shared" si="8"/>
        <v>766.09524345501507</v>
      </c>
      <c r="BI44" s="62">
        <f ca="1">AVERAGE(OFFSET($BH$3,0,0,'Données projet'!$E$11+1,1))-AVERAGE(OFFSET($H$3,0,0,'Données projet'!$E$11+1,1))</f>
        <v>321.60602866722138</v>
      </c>
      <c r="BJ44" s="62">
        <f t="shared" si="38"/>
        <v>375.18886653687389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10.298829702465373</v>
      </c>
      <c r="BQ44" s="23">
        <f>EXP(-LN(2)/25)*BQ43+(1-EXP(-LN(2)/25))/(LN(2)/25)*Calculateur!BL44*Calculateur!BN44*VLOOKUP('Données projet'!$B$11,Paramètres!$A$1:$I$89,3,0)*0.475*44/12</f>
        <v>11.773580828208399</v>
      </c>
      <c r="BR44" s="23">
        <f>EXP(-LN(2)/2)*BR43+(1-EXP(-LN(2)/2))/(LN(2)/2)*BL44*BO44*VLOOKUP('Données projet'!$B$11,Paramètres!$A$1:$I$89,3,0)*0.475*44/12</f>
        <v>0.16179330379034892</v>
      </c>
      <c r="BS44" s="24">
        <f t="shared" si="9"/>
        <v>22.234203834464122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101.77440000000001</v>
      </c>
      <c r="CA44" s="14">
        <f t="shared" si="39"/>
        <v>27.384290185982298</v>
      </c>
      <c r="CB44" s="22">
        <f t="shared" si="10"/>
        <v>224.95138540725256</v>
      </c>
      <c r="CC44" s="62">
        <f t="shared" si="11"/>
        <v>473.55407500175653</v>
      </c>
      <c r="CD44" s="62">
        <f ca="1">AVERAGE(OFFSET($CC$3,0,0,'Données projet'!$E$12+1,1))-AVERAGE(OFFSET($H$3,0,0,'Données projet'!$E$12+1,1))</f>
        <v>182.44246264133781</v>
      </c>
      <c r="CE44" s="62">
        <f t="shared" si="40"/>
        <v>262.5818213397049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3.4655521881489575</v>
      </c>
      <c r="CL44" s="23">
        <f>EXP(-LN(2)/25)*CL43+(1-EXP(-LN(2)/25))/(LN(2)/25)*Calculateur!CG44*Calculateur!CI44*VLOOKUP('Données projet'!$B$12,Paramètres!$A$1:$I$89,3,0)*0.475*44/12</f>
        <v>13.341621529401191</v>
      </c>
      <c r="CM44" s="23">
        <f>EXP(-LN(2)/2)*CM43+(1-EXP(-LN(2)/2))/(LN(2)/2)*CG44*CJ44*VLOOKUP('Données projet'!$B$12,Paramètres!$A$1:$I$89,3,0)*0.475*44/12</f>
        <v>6.67011395203898E-5</v>
      </c>
      <c r="CN44" s="24">
        <f t="shared" si="12"/>
        <v>16.80724041868967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11.5</v>
      </c>
      <c r="CT44" s="13">
        <f>IF('Données projet'!$A$140&gt;35,CT43+CS44-DB43,IF(A44&lt;'Données projet'!$A$140,$CQ$205^A44,IF(A44='Données projet'!$A$140,'Données projet'!$B$140,CT43+CS44-DB43)))</f>
        <v>273.49999999999989</v>
      </c>
      <c r="CU44" s="18">
        <f>CT44*VLOOKUP('Données projet'!$B$13,Paramètres!$A$1:$I$89,3,0)*VLOOKUP('Données projet'!$B$13,Paramètres!$A$1:$I$89,5,0)</f>
        <v>127.99799999999995</v>
      </c>
      <c r="CV44" s="14">
        <f t="shared" si="41"/>
        <v>33.533338894635314</v>
      </c>
      <c r="CW44" s="22">
        <f t="shared" si="13"/>
        <v>281.33374857482306</v>
      </c>
      <c r="CX44" s="62">
        <f t="shared" si="14"/>
        <v>529.93643816932706</v>
      </c>
      <c r="CY44" s="62">
        <f ca="1">AVERAGE(OFFSET($CX$3,0,0,'Données projet'!$E$13+1,1))-AVERAGE(OFFSET($H$3,0,0,'Données projet'!$E$13+1,1))</f>
        <v>426.87921482911719</v>
      </c>
      <c r="CZ44" s="62">
        <f t="shared" si="42"/>
        <v>313.49594674441835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158.4</v>
      </c>
      <c r="DP44" s="18">
        <f>DO44*VLOOKUP('Données projet'!$B$14,Paramètres!$A$1:$I$89,3,0)*VLOOKUP('Données projet'!$B$14,Paramètres!$A$1:$I$89,5,0)</f>
        <v>153.20447999999999</v>
      </c>
      <c r="DQ44" s="14">
        <f t="shared" si="43"/>
        <v>39.305916881892401</v>
      </c>
      <c r="DR44" s="22">
        <f t="shared" si="16"/>
        <v>335.28894123596257</v>
      </c>
      <c r="DS44" s="62">
        <f t="shared" si="17"/>
        <v>583.89163083046651</v>
      </c>
      <c r="DT44" s="62">
        <f ca="1">AVERAGE(OFFSET($DS$3,0,0,'Données projet'!$E$14+1,1))-AVERAGE(OFFSET($H$3,0,0,'Données projet'!$E$14+1,1))</f>
        <v>500.25828825677058</v>
      </c>
      <c r="DU44" s="62">
        <f t="shared" si="44"/>
        <v>313.56299786481338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1.8903983283841932</v>
      </c>
      <c r="EC44" s="23">
        <f>EXP(-LN(2)/2)*EC43+(1-EXP(-LN(2)/2))/(LN(2)/2)*DW44*DZ44*VLOOKUP('Données projet'!$B$14,Paramètres!$A$1:$I$89,3,0)*0.475*44/12</f>
        <v>0.55529802944238948</v>
      </c>
      <c r="ED44" s="24">
        <f t="shared" si="18"/>
        <v>2.4456963578265825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158.4</v>
      </c>
      <c r="EK44" s="18">
        <f>EJ44*VLOOKUP('Données projet'!$B$15,Paramètres!$A$1:$I$89,3,0)*VLOOKUP('Données projet'!$B$15,Paramètres!$A$1:$I$89,5,0)</f>
        <v>170.50175999999999</v>
      </c>
      <c r="EL44" s="14">
        <f t="shared" si="45"/>
        <v>43.202381851006642</v>
      </c>
      <c r="EM44" s="22">
        <f t="shared" si="19"/>
        <v>372.20138039050318</v>
      </c>
      <c r="EN44" s="62">
        <f t="shared" si="20"/>
        <v>620.80406998500712</v>
      </c>
      <c r="EO44" s="62">
        <f ca="1">AVERAGE(OFFSET($EN$3,0,0,'Données projet'!$E$15+1,1))-AVERAGE(OFFSET($H$3,0,0,'Données projet'!$E$15+1,1))</f>
        <v>548.17046467409421</v>
      </c>
      <c r="EP44" s="62">
        <f t="shared" si="46"/>
        <v>341.9250949809848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2.1038303977178923</v>
      </c>
      <c r="EX44" s="23">
        <f>EXP(-LN(2)/2)*EX43+(1-EXP(-LN(2)/2))/(LN(2)/2)*ER44*EU44*VLOOKUP('Données projet'!$B$15,Paramètres!$A$1:$I$89,3,0)*0.475*44/12</f>
        <v>0.61799296825040073</v>
      </c>
      <c r="EY44" s="24">
        <f t="shared" si="21"/>
        <v>2.7218233659682931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585.58746857823087</v>
      </c>
      <c r="S45" s="62">
        <f ca="1">AVERAGE(OFFSET($R$3,0,0,'Données projet'!$E$9+1,1))-AVERAGE(OFFSET($H$3,0,0,'Données projet'!$E$9+1,1))</f>
        <v>472.83070477639035</v>
      </c>
      <c r="T45" s="62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6.5463216431449789</v>
      </c>
      <c r="AB45" s="23">
        <f>EXP(-LN(2)/2)*AB44+(1-EXP(-LN(2)/2))/(LN(2)/2)*V45*Y45*VLOOKUP('Données projet'!$B$9,Paramètres!$A$1:$I$89,3,0)*0.475*44/12</f>
        <v>0.23296522882121326</v>
      </c>
      <c r="AC45" s="24">
        <f t="shared" si="3"/>
        <v>6.7792868719661925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172.1772</v>
      </c>
      <c r="AK45" s="14">
        <f t="shared" si="35"/>
        <v>43.577282221917017</v>
      </c>
      <c r="AL45" s="22">
        <f t="shared" si="4"/>
        <v>375.77238986983883</v>
      </c>
      <c r="AM45" s="62">
        <f t="shared" si="5"/>
        <v>625.15105613047353</v>
      </c>
      <c r="AN45" s="62">
        <f ca="1">AVERAGE(OFFSET($AM$3,0,0,'Données projet'!$E$10+1,1))-AVERAGE(OFFSET($H$3,0,0,'Données projet'!$E$10+1,1))</f>
        <v>520.80494930257237</v>
      </c>
      <c r="AO45" s="62">
        <f t="shared" si="36"/>
        <v>325.72635759450861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7.3363949449038559</v>
      </c>
      <c r="AW45" s="23">
        <f>EXP(-LN(2)/2)*AW44+(1-EXP(-LN(2)/2))/(LN(2)/2)*AQ45*AT45*VLOOKUP('Données projet'!$B$10,Paramètres!$A$1:$I$89,3,0)*0.475*44/12</f>
        <v>0.26108172195480767</v>
      </c>
      <c r="AX45" s="23">
        <f t="shared" si="6"/>
        <v>7.5974766668586637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450.23</v>
      </c>
      <c r="BB45" s="13">
        <f>VLOOKUP(A45,'Données projet'!$A$87:$I$107,9,0)</f>
        <v>22.82714285714286</v>
      </c>
      <c r="BC45" s="13">
        <f t="array" ref="BC45">INDEX(BB:BB,MIN(IF(ISNUMBER(BB45:BB241),ROW(BB45:BB241),"")))</f>
        <v>22.82714285714286</v>
      </c>
      <c r="BD45" s="13">
        <f>IF('Données projet'!$A$88&gt;35,BD44+BC45-BL44,IF(A45&lt;'Données projet'!$A$88,$BA$205^A45,IF(A45='Données projet'!$A$88,'Données projet'!$B$88,BD44+BC45-BL44)))</f>
        <v>450.23</v>
      </c>
      <c r="BE45" s="14">
        <f>BD45*VLOOKUP('Données projet'!$B$11,Paramètres!$A$1:$I$89,3,0)*VLOOKUP('Données projet'!$B$11,Paramètres!$A$1:$I$89,5,0)</f>
        <v>251.67857000000004</v>
      </c>
      <c r="BF45" s="14">
        <f t="shared" si="37"/>
        <v>60.945241245024086</v>
      </c>
      <c r="BG45" s="22">
        <f t="shared" si="7"/>
        <v>544.48647125175023</v>
      </c>
      <c r="BH45" s="62">
        <f t="shared" si="8"/>
        <v>793.86513751238499</v>
      </c>
      <c r="BI45" s="62">
        <f ca="1">AVERAGE(OFFSET($BH$3,0,0,'Données projet'!$E$11+1,1))-AVERAGE(OFFSET($H$3,0,0,'Données projet'!$E$11+1,1))</f>
        <v>321.60602866722138</v>
      </c>
      <c r="BJ45" s="62">
        <f t="shared" si="38"/>
        <v>375.18886653687389</v>
      </c>
      <c r="BK45" s="16">
        <f>IF(ISNA(VLOOKUP(A45,'Données projet'!$A$87:$I$107,3,0)),0,VLOOKUP(A45,'Données projet'!$A$87:$I$107,3,0))</f>
        <v>5</v>
      </c>
      <c r="BL45" s="16">
        <f>IF(ISNA(VLOOKUP(A45,'Données projet'!$A$87:$I$107,4,0)),0,VLOOKUP(A45,'Données projet'!$A$87:$I$107,4,0))</f>
        <v>99.98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10.096875933665881</v>
      </c>
      <c r="BQ45" s="23">
        <f>EXP(-LN(2)/25)*BQ44+(1-EXP(-LN(2)/25))/(LN(2)/25)*Calculateur!BL45*Calculateur!BN45*VLOOKUP('Données projet'!$B$11,Paramètres!$A$1:$I$89,3,0)*0.475*44/12</f>
        <v>11.451631641315332</v>
      </c>
      <c r="BR45" s="23">
        <f>EXP(-LN(2)/2)*BR44+(1-EXP(-LN(2)/2))/(LN(2)/2)*BL45*BO45*VLOOKUP('Données projet'!$B$11,Paramètres!$A$1:$I$89,3,0)*0.475*44/12</f>
        <v>0.11440514226073087</v>
      </c>
      <c r="BS45" s="24">
        <f t="shared" si="9"/>
        <v>21.662912717241948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3.4</v>
      </c>
      <c r="BY45" s="13">
        <f>IF('Données projet'!$A$114&gt;35,BY44+BX45-CG44,IF(A45&lt;'Données projet'!$A$114,$BV$205^A45,IF(A45='Données projet'!$A$114,'Données projet'!$B$114,BY44+BX45-CG44)))</f>
        <v>189.80000000000004</v>
      </c>
      <c r="BZ45" s="14">
        <f>BY45*VLOOKUP('Données projet'!$B$12,Paramètres!$A$1:$I$89,3,0)*VLOOKUP('Données projet'!$B$12,Paramètres!$A$1:$I$89,5,0)</f>
        <v>103.63080000000001</v>
      </c>
      <c r="CA45" s="14">
        <f t="shared" si="39"/>
        <v>27.825181985080775</v>
      </c>
      <c r="CB45" s="22">
        <f t="shared" si="10"/>
        <v>228.952501957349</v>
      </c>
      <c r="CC45" s="62">
        <f t="shared" si="11"/>
        <v>478.33116821798376</v>
      </c>
      <c r="CD45" s="62">
        <f ca="1">AVERAGE(OFFSET($CC$3,0,0,'Données projet'!$E$12+1,1))-AVERAGE(OFFSET($H$3,0,0,'Données projet'!$E$12+1,1))</f>
        <v>182.44246264133781</v>
      </c>
      <c r="CE45" s="62">
        <f t="shared" si="40"/>
        <v>262.5818213397049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3.3975948235174731</v>
      </c>
      <c r="CL45" s="23">
        <f>EXP(-LN(2)/25)*CL44+(1-EXP(-LN(2)/25))/(LN(2)/25)*Calculateur!CG45*Calculateur!CI45*VLOOKUP('Données projet'!$B$12,Paramètres!$A$1:$I$89,3,0)*0.475*44/12</f>
        <v>12.976794187074333</v>
      </c>
      <c r="CM45" s="23">
        <f>EXP(-LN(2)/2)*CM44+(1-EXP(-LN(2)/2))/(LN(2)/2)*CG45*CJ45*VLOOKUP('Données projet'!$B$12,Paramètres!$A$1:$I$89,3,0)*0.475*44/12</f>
        <v>4.7164828067737648E-5</v>
      </c>
      <c r="CN45" s="24">
        <f t="shared" si="12"/>
        <v>16.374436175419874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11.5</v>
      </c>
      <c r="CT45" s="13">
        <f>IF('Données projet'!$A$140&gt;35,CT44+CS45-DB44,IF(A45&lt;'Données projet'!$A$140,$CQ$205^A45,IF(A45='Données projet'!$A$140,'Données projet'!$B$140,CT44+CS45-DB44)))</f>
        <v>284.99999999999989</v>
      </c>
      <c r="CU45" s="18">
        <f>CT45*VLOOKUP('Données projet'!$B$13,Paramètres!$A$1:$I$89,3,0)*VLOOKUP('Données projet'!$B$13,Paramètres!$A$1:$I$89,5,0)</f>
        <v>133.37999999999994</v>
      </c>
      <c r="CV45" s="14">
        <f t="shared" si="41"/>
        <v>34.776207535548991</v>
      </c>
      <c r="CW45" s="22">
        <f t="shared" si="13"/>
        <v>292.87206145774769</v>
      </c>
      <c r="CX45" s="62">
        <f t="shared" si="14"/>
        <v>542.25072771838245</v>
      </c>
      <c r="CY45" s="62">
        <f ca="1">AVERAGE(OFFSET($CX$3,0,0,'Données projet'!$E$13+1,1))-AVERAGE(OFFSET($H$3,0,0,'Données projet'!$E$13+1,1))</f>
        <v>426.87921482911719</v>
      </c>
      <c r="CZ45" s="62">
        <f t="shared" si="42"/>
        <v>313.49594674441835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169.8</v>
      </c>
      <c r="DP45" s="18">
        <f>DO45*VLOOKUP('Données projet'!$B$14,Paramètres!$A$1:$I$89,3,0)*VLOOKUP('Données projet'!$B$14,Paramètres!$A$1:$I$89,5,0)</f>
        <v>164.23056000000003</v>
      </c>
      <c r="DQ45" s="14">
        <f t="shared" si="43"/>
        <v>41.795275864636551</v>
      </c>
      <c r="DR45" s="22">
        <f t="shared" si="16"/>
        <v>358.82833079757535</v>
      </c>
      <c r="DS45" s="62">
        <f t="shared" si="17"/>
        <v>608.20699705821005</v>
      </c>
      <c r="DT45" s="62">
        <f ca="1">AVERAGE(OFFSET($DS$3,0,0,'Données projet'!$E$14+1,1))-AVERAGE(OFFSET($H$3,0,0,'Données projet'!$E$14+1,1))</f>
        <v>500.25828825677058</v>
      </c>
      <c r="DU45" s="62">
        <f t="shared" si="44"/>
        <v>313.56299786481338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1.8387052866828</v>
      </c>
      <c r="EC45" s="23">
        <f>EXP(-LN(2)/2)*EC44+(1-EXP(-LN(2)/2))/(LN(2)/2)*DW45*DZ45*VLOOKUP('Données projet'!$B$14,Paramètres!$A$1:$I$89,3,0)*0.475*44/12</f>
        <v>0.39265500219824073</v>
      </c>
      <c r="ED45" s="24">
        <f t="shared" si="18"/>
        <v>2.2313602888810409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169.8</v>
      </c>
      <c r="EK45" s="18">
        <f>EJ45*VLOOKUP('Données projet'!$B$15,Paramètres!$A$1:$I$89,3,0)*VLOOKUP('Données projet'!$B$15,Paramètres!$A$1:$I$89,5,0)</f>
        <v>182.77271999999999</v>
      </c>
      <c r="EL45" s="14">
        <f t="shared" si="45"/>
        <v>45.938515386827795</v>
      </c>
      <c r="EM45" s="22">
        <f t="shared" si="19"/>
        <v>398.33873496539172</v>
      </c>
      <c r="EN45" s="62">
        <f t="shared" si="20"/>
        <v>647.71740122602648</v>
      </c>
      <c r="EO45" s="62">
        <f ca="1">AVERAGE(OFFSET($EN$3,0,0,'Données projet'!$E$15+1,1))-AVERAGE(OFFSET($H$3,0,0,'Données projet'!$E$15+1,1))</f>
        <v>548.17046467409421</v>
      </c>
      <c r="EP45" s="62">
        <f t="shared" si="46"/>
        <v>341.9250949809848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2.0463010448566643</v>
      </c>
      <c r="EX45" s="23">
        <f>EXP(-LN(2)/2)*EX44+(1-EXP(-LN(2)/2))/(LN(2)/2)*ER45*EU45*VLOOKUP('Données projet'!$B$15,Paramètres!$A$1:$I$89,3,0)*0.475*44/12</f>
        <v>0.43698701857546113</v>
      </c>
      <c r="EY45" s="24">
        <f t="shared" si="21"/>
        <v>2.4832880634321253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608.37046704726299</v>
      </c>
      <c r="S46" s="62">
        <f ca="1">AVERAGE(OFFSET($R$3,0,0,'Données projet'!$E$9+1,1))-AVERAGE(OFFSET($H$3,0,0,'Données projet'!$E$9+1,1))</f>
        <v>472.83070477639035</v>
      </c>
      <c r="T46" s="62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6.3673121335570864</v>
      </c>
      <c r="AB46" s="23">
        <f>EXP(-LN(2)/2)*AB45+(1-EXP(-LN(2)/2))/(LN(2)/2)*V46*Y46*VLOOKUP('Données projet'!$B$9,Paramètres!$A$1:$I$89,3,0)*0.475*44/12</f>
        <v>0.16473129308015563</v>
      </c>
      <c r="AC46" s="24">
        <f t="shared" si="3"/>
        <v>6.5320434266372418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183.73680000000002</v>
      </c>
      <c r="AK46" s="14">
        <f t="shared" si="35"/>
        <v>46.152558509293854</v>
      </c>
      <c r="AL46" s="22">
        <f t="shared" si="4"/>
        <v>400.3906327370201</v>
      </c>
      <c r="AM46" s="62">
        <f t="shared" si="5"/>
        <v>650.53181420345209</v>
      </c>
      <c r="AN46" s="62">
        <f ca="1">AVERAGE(OFFSET($AM$3,0,0,'Données projet'!$E$10+1,1))-AVERAGE(OFFSET($H$3,0,0,'Données projet'!$E$10+1,1))</f>
        <v>520.80494930257237</v>
      </c>
      <c r="AO46" s="62">
        <f t="shared" si="36"/>
        <v>325.72635759450861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7.1357808393312174</v>
      </c>
      <c r="AW46" s="23">
        <f>EXP(-LN(2)/2)*AW45+(1-EXP(-LN(2)/2))/(LN(2)/2)*AQ46*AT46*VLOOKUP('Données projet'!$B$10,Paramètres!$A$1:$I$89,3,0)*0.475*44/12</f>
        <v>0.18461265603810523</v>
      </c>
      <c r="AX46" s="23">
        <f t="shared" si="6"/>
        <v>7.3203934953693226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21.939999999999998</v>
      </c>
      <c r="BD46" s="13">
        <f>IF('Données projet'!$A$88&gt;35,BD45+BC46-BL45,IF(A46&lt;'Données projet'!$A$88,$BA$205^A46,IF(A46='Données projet'!$A$88,'Données projet'!$B$88,BD45+BC46-BL45)))</f>
        <v>372.19</v>
      </c>
      <c r="BE46" s="14">
        <f>BD46*VLOOKUP('Données projet'!$B$11,Paramètres!$A$1:$I$89,3,0)*VLOOKUP('Données projet'!$B$11,Paramètres!$A$1:$I$89,5,0)</f>
        <v>208.05420999999998</v>
      </c>
      <c r="BF46" s="14">
        <f t="shared" si="37"/>
        <v>51.510151537098693</v>
      </c>
      <c r="BG46" s="22">
        <f t="shared" si="7"/>
        <v>452.07459634378012</v>
      </c>
      <c r="BH46" s="62">
        <f t="shared" si="8"/>
        <v>702.2157778102121</v>
      </c>
      <c r="BI46" s="62">
        <f ca="1">AVERAGE(OFFSET($BH$3,0,0,'Données projet'!$E$11+1,1))-AVERAGE(OFFSET($H$3,0,0,'Données projet'!$E$11+1,1))</f>
        <v>321.60602866722138</v>
      </c>
      <c r="BJ46" s="62">
        <f t="shared" si="38"/>
        <v>375.18886653687389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9.8988823550929137</v>
      </c>
      <c r="BQ46" s="23">
        <f>EXP(-LN(2)/25)*BQ45+(1-EXP(-LN(2)/25))/(LN(2)/25)*Calculateur!BL46*Calculateur!BN46*VLOOKUP('Données projet'!$B$11,Paramètres!$A$1:$I$89,3,0)*0.475*44/12</f>
        <v>11.138486171868429</v>
      </c>
      <c r="BR46" s="23">
        <f>EXP(-LN(2)/2)*BR45+(1-EXP(-LN(2)/2))/(LN(2)/2)*BL46*BO46*VLOOKUP('Données projet'!$B$11,Paramètres!$A$1:$I$89,3,0)*0.475*44/12</f>
        <v>8.0896651895174462E-2</v>
      </c>
      <c r="BS46" s="24">
        <f t="shared" si="9"/>
        <v>21.118265178856518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3.4</v>
      </c>
      <c r="BY46" s="13">
        <f>IF('Données projet'!$A$114&gt;35,BY45+BX46-CG45,IF(A46&lt;'Données projet'!$A$114,$BV$205^A46,IF(A46='Données projet'!$A$114,'Données projet'!$B$114,BY45+BX46-CG45)))</f>
        <v>193.20000000000005</v>
      </c>
      <c r="BZ46" s="14">
        <f>BY46*VLOOKUP('Données projet'!$B$12,Paramètres!$A$1:$I$89,3,0)*VLOOKUP('Données projet'!$B$12,Paramètres!$A$1:$I$89,5,0)</f>
        <v>105.48720000000003</v>
      </c>
      <c r="CA46" s="14">
        <f t="shared" si="39"/>
        <v>28.265155367923839</v>
      </c>
      <c r="CB46" s="22">
        <f t="shared" si="10"/>
        <v>232.95201893246744</v>
      </c>
      <c r="CC46" s="62">
        <f t="shared" si="11"/>
        <v>483.09320039889951</v>
      </c>
      <c r="CD46" s="62">
        <f ca="1">AVERAGE(OFFSET($CC$3,0,0,'Données projet'!$E$12+1,1))-AVERAGE(OFFSET($H$3,0,0,'Données projet'!$E$12+1,1))</f>
        <v>182.44246264133781</v>
      </c>
      <c r="CE46" s="62">
        <f t="shared" si="40"/>
        <v>262.5818213397049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3.3309700613565125</v>
      </c>
      <c r="CL46" s="23">
        <f>EXP(-LN(2)/25)*CL45+(1-EXP(-LN(2)/25))/(LN(2)/25)*Calculateur!CG46*Calculateur!CI46*VLOOKUP('Données projet'!$B$12,Paramètres!$A$1:$I$89,3,0)*0.475*44/12</f>
        <v>12.621943067608838</v>
      </c>
      <c r="CM46" s="23">
        <f>EXP(-LN(2)/2)*CM45+(1-EXP(-LN(2)/2))/(LN(2)/2)*CG46*CJ46*VLOOKUP('Données projet'!$B$12,Paramètres!$A$1:$I$89,3,0)*0.475*44/12</f>
        <v>3.33505697601949E-5</v>
      </c>
      <c r="CN46" s="24">
        <f t="shared" si="12"/>
        <v>15.952946479535109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11.5</v>
      </c>
      <c r="CT46" s="13">
        <f>IF('Données projet'!$A$140&gt;35,CT45+CS46-DB45,IF(A46&lt;'Données projet'!$A$140,$CQ$205^A46,IF(A46='Données projet'!$A$140,'Données projet'!$B$140,CT45+CS46-DB45)))</f>
        <v>296.49999999999989</v>
      </c>
      <c r="CU46" s="18">
        <f>CT46*VLOOKUP('Données projet'!$B$13,Paramètres!$A$1:$I$89,3,0)*VLOOKUP('Données projet'!$B$13,Paramètres!$A$1:$I$89,5,0)</f>
        <v>138.76199999999994</v>
      </c>
      <c r="CV46" s="14">
        <f t="shared" si="41"/>
        <v>36.01325063671441</v>
      </c>
      <c r="CW46" s="22">
        <f t="shared" si="13"/>
        <v>304.4002281922775</v>
      </c>
      <c r="CX46" s="62">
        <f t="shared" si="14"/>
        <v>554.54140965870954</v>
      </c>
      <c r="CY46" s="62">
        <f ca="1">AVERAGE(OFFSET($CX$3,0,0,'Données projet'!$E$13+1,1))-AVERAGE(OFFSET($H$3,0,0,'Données projet'!$E$13+1,1))</f>
        <v>426.87921482911719</v>
      </c>
      <c r="CZ46" s="62">
        <f t="shared" si="42"/>
        <v>313.49594674441835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181.20000000000002</v>
      </c>
      <c r="DP46" s="18">
        <f>DO46*VLOOKUP('Données projet'!$B$14,Paramètres!$A$1:$I$89,3,0)*VLOOKUP('Données projet'!$B$14,Paramètres!$A$1:$I$89,5,0)</f>
        <v>175.25664000000003</v>
      </c>
      <c r="DQ46" s="14">
        <f t="shared" si="43"/>
        <v>44.265241345972555</v>
      </c>
      <c r="DR46" s="22">
        <f t="shared" si="16"/>
        <v>382.33394334423559</v>
      </c>
      <c r="DS46" s="62">
        <f t="shared" si="17"/>
        <v>632.47512481066769</v>
      </c>
      <c r="DT46" s="62">
        <f ca="1">AVERAGE(OFFSET($DS$3,0,0,'Données projet'!$E$14+1,1))-AVERAGE(OFFSET($H$3,0,0,'Données projet'!$E$14+1,1))</f>
        <v>500.25828825677058</v>
      </c>
      <c r="DU46" s="62">
        <f t="shared" si="44"/>
        <v>313.56299786481338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1.7884257939251502</v>
      </c>
      <c r="EC46" s="23">
        <f>EXP(-LN(2)/2)*EC45+(1-EXP(-LN(2)/2))/(LN(2)/2)*DW46*DZ46*VLOOKUP('Données projet'!$B$14,Paramètres!$A$1:$I$89,3,0)*0.475*44/12</f>
        <v>0.27764901472119474</v>
      </c>
      <c r="ED46" s="24">
        <f t="shared" si="18"/>
        <v>2.066074808646345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181.20000000000002</v>
      </c>
      <c r="EK46" s="18">
        <f>EJ46*VLOOKUP('Données projet'!$B$15,Paramètres!$A$1:$I$89,3,0)*VLOOKUP('Données projet'!$B$15,Paramètres!$A$1:$I$89,5,0)</f>
        <v>195.04368000000002</v>
      </c>
      <c r="EL46" s="14">
        <f t="shared" si="45"/>
        <v>48.65333290919024</v>
      </c>
      <c r="EM46" s="22">
        <f t="shared" si="19"/>
        <v>424.43896415017304</v>
      </c>
      <c r="EN46" s="62">
        <f t="shared" si="20"/>
        <v>674.58014561660502</v>
      </c>
      <c r="EO46" s="62">
        <f ca="1">AVERAGE(OFFSET($EN$3,0,0,'Données projet'!$E$15+1,1))-AVERAGE(OFFSET($H$3,0,0,'Données projet'!$E$15+1,1))</f>
        <v>548.17046467409421</v>
      </c>
      <c r="EP46" s="62">
        <f t="shared" si="46"/>
        <v>341.9250949809848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1.9903448351747637</v>
      </c>
      <c r="EX46" s="23">
        <f>EXP(-LN(2)/2)*EX45+(1-EXP(-LN(2)/2))/(LN(2)/2)*ER46*EU46*VLOOKUP('Données projet'!$B$15,Paramètres!$A$1:$I$89,3,0)*0.475*44/12</f>
        <v>0.30899648412520037</v>
      </c>
      <c r="EY46" s="24">
        <f t="shared" si="21"/>
        <v>2.2993413192999639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631.11062498731712</v>
      </c>
      <c r="S47" s="62">
        <f ca="1">AVERAGE(OFFSET($R$3,0,0,'Données projet'!$E$9+1,1))-AVERAGE(OFFSET($H$3,0,0,'Données projet'!$E$9+1,1))</f>
        <v>472.83070477639035</v>
      </c>
      <c r="T47" s="62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6.1931976484225757</v>
      </c>
      <c r="AB47" s="23">
        <f>EXP(-LN(2)/2)*AB46+(1-EXP(-LN(2)/2))/(LN(2)/2)*V47*Y47*VLOOKUP('Données projet'!$B$9,Paramètres!$A$1:$I$89,3,0)*0.475*44/12</f>
        <v>0.11648261441060664</v>
      </c>
      <c r="AC47" s="24">
        <f t="shared" si="3"/>
        <v>6.3096802628331821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195.29640000000003</v>
      </c>
      <c r="AK47" s="14">
        <f t="shared" si="35"/>
        <v>48.709031383366153</v>
      </c>
      <c r="AL47" s="22">
        <f t="shared" si="4"/>
        <v>424.97612632602949</v>
      </c>
      <c r="AM47" s="62">
        <f t="shared" si="5"/>
        <v>675.86659506416686</v>
      </c>
      <c r="AN47" s="62">
        <f ca="1">AVERAGE(OFFSET($AM$3,0,0,'Données projet'!$E$10+1,1))-AVERAGE(OFFSET($H$3,0,0,'Données projet'!$E$10+1,1))</f>
        <v>520.80494930257237</v>
      </c>
      <c r="AO47" s="62">
        <f t="shared" si="36"/>
        <v>325.72635759450861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6.9406525370252998</v>
      </c>
      <c r="AW47" s="23">
        <f>EXP(-LN(2)/2)*AW46+(1-EXP(-LN(2)/2))/(LN(2)/2)*AQ47*AT47*VLOOKUP('Données projet'!$B$10,Paramètres!$A$1:$I$89,3,0)*0.475*44/12</f>
        <v>0.13054086097740383</v>
      </c>
      <c r="AX47" s="23">
        <f t="shared" si="6"/>
        <v>7.0711933980027037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21.939999999999998</v>
      </c>
      <c r="BD47" s="13">
        <f>IF('Données projet'!$A$88&gt;35,BD46+BC47-BL46,IF(A47&lt;'Données projet'!$A$88,$BA$205^A47,IF(A47='Données projet'!$A$88,'Données projet'!$B$88,BD46+BC47-BL46)))</f>
        <v>394.13</v>
      </c>
      <c r="BE47" s="14">
        <f>BD47*VLOOKUP('Données projet'!$B$11,Paramètres!$A$1:$I$89,3,0)*VLOOKUP('Données projet'!$B$11,Paramètres!$A$1:$I$89,5,0)</f>
        <v>220.31867</v>
      </c>
      <c r="BF47" s="14">
        <f t="shared" si="37"/>
        <v>54.184141234835565</v>
      </c>
      <c r="BG47" s="22">
        <f t="shared" si="7"/>
        <v>478.09239623400526</v>
      </c>
      <c r="BH47" s="62">
        <f t="shared" si="8"/>
        <v>728.98286497214269</v>
      </c>
      <c r="BI47" s="62">
        <f ca="1">AVERAGE(OFFSET($BH$3,0,0,'Données projet'!$E$11+1,1))-AVERAGE(OFFSET($H$3,0,0,'Données projet'!$E$11+1,1))</f>
        <v>321.60602866722138</v>
      </c>
      <c r="BJ47" s="62">
        <f t="shared" si="38"/>
        <v>375.18886653687389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9.7047713098316031</v>
      </c>
      <c r="BQ47" s="23">
        <f>EXP(-LN(2)/25)*BQ46+(1-EXP(-LN(2)/25))/(LN(2)/25)*Calculateur!BL47*Calculateur!BN47*VLOOKUP('Données projet'!$B$11,Paramètres!$A$1:$I$89,3,0)*0.475*44/12</f>
        <v>10.833903681751156</v>
      </c>
      <c r="BR47" s="23">
        <f>EXP(-LN(2)/2)*BR46+(1-EXP(-LN(2)/2))/(LN(2)/2)*BL47*BO47*VLOOKUP('Données projet'!$B$11,Paramètres!$A$1:$I$89,3,0)*0.475*44/12</f>
        <v>5.7202571130365434E-2</v>
      </c>
      <c r="BS47" s="24">
        <f t="shared" si="9"/>
        <v>20.595877562713124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3.4</v>
      </c>
      <c r="BY47" s="13">
        <f>IF('Données projet'!$A$114&gt;35,BY46+BX47-CG46,IF(A47&lt;'Données projet'!$A$114,$BV$205^A47,IF(A47='Données projet'!$A$114,'Données projet'!$B$114,BY46+BX47-CG46)))</f>
        <v>196.60000000000005</v>
      </c>
      <c r="BZ47" s="14">
        <f>BY47*VLOOKUP('Données projet'!$B$12,Paramètres!$A$1:$I$89,3,0)*VLOOKUP('Données projet'!$B$12,Paramètres!$A$1:$I$89,5,0)</f>
        <v>107.34360000000002</v>
      </c>
      <c r="CA47" s="14">
        <f t="shared" si="39"/>
        <v>28.704228361851108</v>
      </c>
      <c r="CB47" s="22">
        <f t="shared" si="10"/>
        <v>236.94996773022407</v>
      </c>
      <c r="CC47" s="62">
        <f t="shared" si="11"/>
        <v>487.84043646836153</v>
      </c>
      <c r="CD47" s="62">
        <f ca="1">AVERAGE(OFFSET($CC$3,0,0,'Données projet'!$E$12+1,1))-AVERAGE(OFFSET($H$3,0,0,'Données projet'!$E$12+1,1))</f>
        <v>182.44246264133781</v>
      </c>
      <c r="CE47" s="62">
        <f t="shared" si="40"/>
        <v>262.5818213397049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3.2656517701444359</v>
      </c>
      <c r="CL47" s="23">
        <f>EXP(-LN(2)/25)*CL46+(1-EXP(-LN(2)/25))/(LN(2)/25)*Calculateur!CG47*Calculateur!CI47*VLOOKUP('Données projet'!$B$12,Paramètres!$A$1:$I$89,3,0)*0.475*44/12</f>
        <v>12.276795370665935</v>
      </c>
      <c r="CM47" s="23">
        <f>EXP(-LN(2)/2)*CM46+(1-EXP(-LN(2)/2))/(LN(2)/2)*CG47*CJ47*VLOOKUP('Données projet'!$B$12,Paramètres!$A$1:$I$89,3,0)*0.475*44/12</f>
        <v>2.3582414033868824E-5</v>
      </c>
      <c r="CN47" s="24">
        <f t="shared" si="12"/>
        <v>15.542470723224405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11.5</v>
      </c>
      <c r="CT47" s="13">
        <f>IF('Données projet'!$A$140&gt;35,CT46+CS47-DB46,IF(A47&lt;'Données projet'!$A$140,$CQ$205^A47,IF(A47='Données projet'!$A$140,'Données projet'!$B$140,CT46+CS47-DB46)))</f>
        <v>307.99999999999989</v>
      </c>
      <c r="CU47" s="18">
        <f>CT47*VLOOKUP('Données projet'!$B$13,Paramètres!$A$1:$I$89,3,0)*VLOOKUP('Données projet'!$B$13,Paramètres!$A$1:$I$89,5,0)</f>
        <v>144.14399999999995</v>
      </c>
      <c r="CV47" s="14">
        <f t="shared" si="41"/>
        <v>37.244720006976216</v>
      </c>
      <c r="CW47" s="22">
        <f t="shared" si="13"/>
        <v>315.91868734548348</v>
      </c>
      <c r="CX47" s="62">
        <f t="shared" si="14"/>
        <v>566.80915608362091</v>
      </c>
      <c r="CY47" s="62">
        <f ca="1">AVERAGE(OFFSET($CX$3,0,0,'Données projet'!$E$13+1,1))-AVERAGE(OFFSET($H$3,0,0,'Données projet'!$E$13+1,1))</f>
        <v>426.87921482911719</v>
      </c>
      <c r="CZ47" s="62">
        <f t="shared" si="42"/>
        <v>313.49594674441835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192.60000000000002</v>
      </c>
      <c r="DP47" s="18">
        <f>DO47*VLOOKUP('Données projet'!$B$14,Paramètres!$A$1:$I$89,3,0)*VLOOKUP('Données projet'!$B$14,Paramètres!$A$1:$I$89,5,0)</f>
        <v>186.28272000000001</v>
      </c>
      <c r="DQ47" s="14">
        <f t="shared" si="43"/>
        <v>46.717172342223918</v>
      </c>
      <c r="DR47" s="22">
        <f t="shared" si="16"/>
        <v>405.80814582937325</v>
      </c>
      <c r="DS47" s="62">
        <f t="shared" si="17"/>
        <v>656.69861456751073</v>
      </c>
      <c r="DT47" s="62">
        <f ca="1">AVERAGE(OFFSET($DS$3,0,0,'Données projet'!$E$14+1,1))-AVERAGE(OFFSET($H$3,0,0,'Données projet'!$E$14+1,1))</f>
        <v>500.25828825677058</v>
      </c>
      <c r="DU47" s="62">
        <f t="shared" si="44"/>
        <v>313.56299786481338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1.739521196541042</v>
      </c>
      <c r="EC47" s="23">
        <f>EXP(-LN(2)/2)*EC46+(1-EXP(-LN(2)/2))/(LN(2)/2)*DW47*DZ47*VLOOKUP('Données projet'!$B$14,Paramètres!$A$1:$I$89,3,0)*0.475*44/12</f>
        <v>0.19632750109912037</v>
      </c>
      <c r="ED47" s="24">
        <f t="shared" si="18"/>
        <v>1.9358486976401623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192.60000000000002</v>
      </c>
      <c r="EK47" s="18">
        <f>EJ47*VLOOKUP('Données projet'!$B$15,Paramètres!$A$1:$I$89,3,0)*VLOOKUP('Données projet'!$B$15,Paramètres!$A$1:$I$89,5,0)</f>
        <v>207.31464000000003</v>
      </c>
      <c r="EL47" s="14">
        <f t="shared" si="45"/>
        <v>51.348328156106163</v>
      </c>
      <c r="EM47" s="22">
        <f t="shared" si="19"/>
        <v>450.50466953855158</v>
      </c>
      <c r="EN47" s="62">
        <f t="shared" si="20"/>
        <v>701.39513827668907</v>
      </c>
      <c r="EO47" s="62">
        <f ca="1">AVERAGE(OFFSET($EN$3,0,0,'Données projet'!$E$15+1,1))-AVERAGE(OFFSET($H$3,0,0,'Données projet'!$E$15+1,1))</f>
        <v>548.17046467409421</v>
      </c>
      <c r="EP47" s="62">
        <f t="shared" si="46"/>
        <v>341.9250949809848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1.9359187509892239</v>
      </c>
      <c r="EX47" s="23">
        <f>EXP(-LN(2)/2)*EX46+(1-EXP(-LN(2)/2))/(LN(2)/2)*ER47*EU47*VLOOKUP('Données projet'!$B$15,Paramètres!$A$1:$I$89,3,0)*0.475*44/12</f>
        <v>0.21849350928773056</v>
      </c>
      <c r="EY47" s="24">
        <f t="shared" si="21"/>
        <v>2.1544122602769544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653.81012428716633</v>
      </c>
      <c r="S48" s="62">
        <f ca="1">AVERAGE(OFFSET($R$3,0,0,'Données projet'!$E$9+1,1))-AVERAGE(OFFSET($H$3,0,0,'Données projet'!$E$9+1,1))</f>
        <v>472.83070477639035</v>
      </c>
      <c r="T48" s="62">
        <f t="shared" si="34"/>
        <v>297.32483725004136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6.0238443330403504</v>
      </c>
      <c r="AB48" s="23">
        <f>EXP(-LN(2)/2)*AB47+(1-EXP(-LN(2)/2))/(LN(2)/2)*V48*Y48*VLOOKUP('Données projet'!$B$9,Paramètres!$A$1:$I$89,3,0)*0.475*44/12</f>
        <v>8.236564654007783E-2</v>
      </c>
      <c r="AC48" s="24">
        <f t="shared" si="3"/>
        <v>6.1062099795804281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206.85600000000005</v>
      </c>
      <c r="AK48" s="14">
        <f t="shared" si="35"/>
        <v>51.247940588293027</v>
      </c>
      <c r="AL48" s="22">
        <f t="shared" si="4"/>
        <v>449.53102985794379</v>
      </c>
      <c r="AM48" s="62">
        <f t="shared" si="5"/>
        <v>701.15778740877795</v>
      </c>
      <c r="AN48" s="62">
        <f ca="1">AVERAGE(OFFSET($AM$3,0,0,'Données projet'!$E$10+1,1))-AVERAGE(OFFSET($H$3,0,0,'Données projet'!$E$10+1,1))</f>
        <v>520.80494930257237</v>
      </c>
      <c r="AO48" s="62">
        <f t="shared" si="36"/>
        <v>325.72635759450861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6.7508600284072893</v>
      </c>
      <c r="AW48" s="23">
        <f>EXP(-LN(2)/2)*AW47+(1-EXP(-LN(2)/2))/(LN(2)/2)*AQ48*AT48*VLOOKUP('Données projet'!$B$10,Paramètres!$A$1:$I$89,3,0)*0.475*44/12</f>
        <v>9.2306328019052614E-2</v>
      </c>
      <c r="AX48" s="23">
        <f t="shared" si="6"/>
        <v>6.8431663564263419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21.939999999999998</v>
      </c>
      <c r="BD48" s="13">
        <f>IF('Données projet'!$A$88&gt;35,BD47+BC48-BL47,IF(A48&lt;'Données projet'!$A$88,$BA$205^A48,IF(A48='Données projet'!$A$88,'Données projet'!$B$88,BD47+BC48-BL47)))</f>
        <v>416.07</v>
      </c>
      <c r="BE48" s="14">
        <f>BD48*VLOOKUP('Données projet'!$B$11,Paramètres!$A$1:$I$89,3,0)*VLOOKUP('Données projet'!$B$11,Paramètres!$A$1:$I$89,5,0)</f>
        <v>232.58313000000001</v>
      </c>
      <c r="BF48" s="14">
        <f t="shared" si="37"/>
        <v>56.840851065639789</v>
      </c>
      <c r="BG48" s="22">
        <f t="shared" si="7"/>
        <v>504.08010035598926</v>
      </c>
      <c r="BH48" s="62">
        <f t="shared" si="8"/>
        <v>755.70685790682342</v>
      </c>
      <c r="BI48" s="62">
        <f ca="1">AVERAGE(OFFSET($BH$3,0,0,'Données projet'!$E$11+1,1))-AVERAGE(OFFSET($H$3,0,0,'Données projet'!$E$11+1,1))</f>
        <v>321.60602866722138</v>
      </c>
      <c r="BJ48" s="62">
        <f t="shared" si="38"/>
        <v>375.18886653687389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9.5144666637718203</v>
      </c>
      <c r="BQ48" s="23">
        <f>EXP(-LN(2)/25)*BQ47+(1-EXP(-LN(2)/25))/(LN(2)/25)*Calculateur!BL48*Calculateur!BN48*VLOOKUP('Données projet'!$B$11,Paramètres!$A$1:$I$89,3,0)*0.475*44/12</f>
        <v>10.537650015843438</v>
      </c>
      <c r="BR48" s="23">
        <f>EXP(-LN(2)/2)*BR47+(1-EXP(-LN(2)/2))/(LN(2)/2)*BL48*BO48*VLOOKUP('Données projet'!$B$11,Paramètres!$A$1:$I$89,3,0)*0.475*44/12</f>
        <v>4.0448325947587231E-2</v>
      </c>
      <c r="BS48" s="24">
        <f t="shared" si="9"/>
        <v>20.092565005562847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200</v>
      </c>
      <c r="BW48" s="13">
        <f>VLOOKUP(A48,'Données projet'!$A$113:$I$133,9,0)</f>
        <v>3.4</v>
      </c>
      <c r="BX48" s="13">
        <f t="array" ref="BX48">INDEX(BW:BW,MIN(IF(ISNUMBER(BW48:BW244),ROW(BW48:BW244),"")))</f>
        <v>3.4</v>
      </c>
      <c r="BY48" s="13">
        <f>IF('Données projet'!$A$114&gt;35,BY47+BX48-CG47,IF(A48&lt;'Données projet'!$A$114,$BV$205^A48,IF(A48='Données projet'!$A$114,'Données projet'!$B$114,BY47+BX48-CG47)))</f>
        <v>200.00000000000006</v>
      </c>
      <c r="BZ48" s="14">
        <f>BY48*VLOOKUP('Données projet'!$B$12,Paramètres!$A$1:$I$89,3,0)*VLOOKUP('Données projet'!$B$12,Paramètres!$A$1:$I$89,5,0)</f>
        <v>109.20000000000002</v>
      </c>
      <c r="CA48" s="14">
        <f t="shared" si="39"/>
        <v>29.142418334948612</v>
      </c>
      <c r="CB48" s="22">
        <f t="shared" si="10"/>
        <v>240.9463786000355</v>
      </c>
      <c r="CC48" s="62">
        <f t="shared" si="11"/>
        <v>492.57313615086963</v>
      </c>
      <c r="CD48" s="62">
        <f ca="1">AVERAGE(OFFSET($CC$3,0,0,'Données projet'!$E$12+1,1))-AVERAGE(OFFSET($H$3,0,0,'Données projet'!$E$12+1,1))</f>
        <v>182.44246264133781</v>
      </c>
      <c r="CE48" s="62">
        <f t="shared" si="40"/>
        <v>262.5818213397049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3.2016143307828044</v>
      </c>
      <c r="CL48" s="23">
        <f>EXP(-LN(2)/25)*CL47+(1-EXP(-LN(2)/25))/(LN(2)/25)*Calculateur!CG48*Calculateur!CI48*VLOOKUP('Données projet'!$B$12,Paramètres!$A$1:$I$89,3,0)*0.475*44/12</f>
        <v>11.941085755646466</v>
      </c>
      <c r="CM48" s="23">
        <f>EXP(-LN(2)/2)*CM47+(1-EXP(-LN(2)/2))/(LN(2)/2)*CG48*CJ48*VLOOKUP('Données projet'!$B$12,Paramètres!$A$1:$I$89,3,0)*0.475*44/12</f>
        <v>1.667528488009745E-5</v>
      </c>
      <c r="CN48" s="24">
        <f t="shared" si="12"/>
        <v>15.142716761714151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11.5</v>
      </c>
      <c r="CT48" s="13">
        <f>IF('Données projet'!$A$140&gt;35,CT47+CS48-DB47,IF(A48&lt;'Données projet'!$A$140,$CQ$205^A48,IF(A48='Données projet'!$A$140,'Données projet'!$B$140,CT47+CS48-DB47)))</f>
        <v>319.49999999999989</v>
      </c>
      <c r="CU48" s="18">
        <f>CT48*VLOOKUP('Données projet'!$B$13,Paramètres!$A$1:$I$89,3,0)*VLOOKUP('Données projet'!$B$13,Paramètres!$A$1:$I$89,5,0)</f>
        <v>149.52599999999995</v>
      </c>
      <c r="CV48" s="14">
        <f t="shared" si="41"/>
        <v>38.470847585964201</v>
      </c>
      <c r="CW48" s="22">
        <f t="shared" si="13"/>
        <v>327.42784287888759</v>
      </c>
      <c r="CX48" s="62">
        <f t="shared" si="14"/>
        <v>579.05460042972175</v>
      </c>
      <c r="CY48" s="62">
        <f ca="1">AVERAGE(OFFSET($CX$3,0,0,'Données projet'!$E$13+1,1))-AVERAGE(OFFSET($H$3,0,0,'Données projet'!$E$13+1,1))</f>
        <v>426.87921482911719</v>
      </c>
      <c r="CZ48" s="62">
        <f t="shared" si="42"/>
        <v>313.49594674441835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204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204.00000000000003</v>
      </c>
      <c r="DP48" s="18">
        <f>DO48*VLOOKUP('Données projet'!$B$14,Paramètres!$A$1:$I$89,3,0)*VLOOKUP('Données projet'!$B$14,Paramètres!$A$1:$I$89,5,0)</f>
        <v>197.30880000000005</v>
      </c>
      <c r="DQ48" s="14">
        <f t="shared" si="43"/>
        <v>49.152257900676076</v>
      </c>
      <c r="DR48" s="22">
        <f t="shared" si="16"/>
        <v>429.25300917701088</v>
      </c>
      <c r="DS48" s="62">
        <f t="shared" si="17"/>
        <v>680.87976672784498</v>
      </c>
      <c r="DT48" s="62">
        <f ca="1">AVERAGE(OFFSET($DS$3,0,0,'Données projet'!$E$14+1,1))-AVERAGE(OFFSET($H$3,0,0,'Données projet'!$E$14+1,1))</f>
        <v>500.25828825677058</v>
      </c>
      <c r="DU48" s="62">
        <f t="shared" si="44"/>
        <v>313.56299786481338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28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1.6919538979441833</v>
      </c>
      <c r="EC48" s="23">
        <f>EXP(-LN(2)/2)*EC47+(1-EXP(-LN(2)/2))/(LN(2)/2)*DW48*DZ48*VLOOKUP('Données projet'!$B$14,Paramètres!$A$1:$I$89,3,0)*0.475*44/12</f>
        <v>0.13882450736059737</v>
      </c>
      <c r="ED48" s="24">
        <f t="shared" si="18"/>
        <v>1.8307784053047806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204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204.00000000000003</v>
      </c>
      <c r="EK48" s="18">
        <f>EJ48*VLOOKUP('Données projet'!$B$15,Paramètres!$A$1:$I$89,3,0)*VLOOKUP('Données projet'!$B$15,Paramètres!$A$1:$I$89,5,0)</f>
        <v>219.58560000000003</v>
      </c>
      <c r="EL48" s="14">
        <f t="shared" si="45"/>
        <v>54.024808047218549</v>
      </c>
      <c r="EM48" s="22">
        <f t="shared" si="19"/>
        <v>476.53812734890562</v>
      </c>
      <c r="EN48" s="62">
        <f t="shared" si="20"/>
        <v>728.16488489973972</v>
      </c>
      <c r="EO48" s="62">
        <f ca="1">AVERAGE(OFFSET($EN$3,0,0,'Données projet'!$E$15+1,1))-AVERAGE(OFFSET($H$3,0,0,'Données projet'!$E$15+1,1))</f>
        <v>548.17046467409421</v>
      </c>
      <c r="EP48" s="62">
        <f t="shared" si="46"/>
        <v>341.9250949809848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1.8829809509378812</v>
      </c>
      <c r="EX48" s="23">
        <f>EXP(-LN(2)/2)*EX47+(1-EXP(-LN(2)/2))/(LN(2)/2)*ER48*EU48*VLOOKUP('Données projet'!$B$15,Paramètres!$A$1:$I$89,3,0)*0.475*44/12</f>
        <v>0.15449824206260018</v>
      </c>
      <c r="EY48" s="24">
        <f t="shared" si="21"/>
        <v>2.0374791930004812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472.83070477639035</v>
      </c>
      <c r="T49" s="62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5.8591219929731562</v>
      </c>
      <c r="AB49" s="23">
        <f>EXP(-LN(2)/2)*AB48+(1-EXP(-LN(2)/2))/(LN(2)/2)*V49*Y49*VLOOKUP('Données projet'!$B$9,Paramètres!$A$1:$I$89,3,0)*0.475*44/12</f>
        <v>5.8241307205303336E-2</v>
      </c>
      <c r="AC49" s="24">
        <f t="shared" si="3"/>
        <v>5.9173633001784598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189.61800000000005</v>
      </c>
      <c r="AK49" s="14">
        <f t="shared" si="35"/>
        <v>47.4554881852685</v>
      </c>
      <c r="AL49" s="22">
        <f t="shared" si="4"/>
        <v>412.90299192267599</v>
      </c>
      <c r="AM49" s="62">
        <f t="shared" si="5"/>
        <v>665.25326532140161</v>
      </c>
      <c r="AN49" s="62">
        <f ca="1">AVERAGE(OFFSET($AM$3,0,0,'Données projet'!$E$10+1,1))-AVERAGE(OFFSET($H$3,0,0,'Données projet'!$E$10+1,1))</f>
        <v>520.80494930257237</v>
      </c>
      <c r="AO49" s="62">
        <f t="shared" si="36"/>
        <v>325.72635759450861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6.5662574059181926</v>
      </c>
      <c r="AW49" s="23">
        <f>EXP(-LN(2)/2)*AW48+(1-EXP(-LN(2)/2))/(LN(2)/2)*AQ49*AT49*VLOOKUP('Données projet'!$B$10,Paramètres!$A$1:$I$89,3,0)*0.475*44/12</f>
        <v>6.5270430488701917E-2</v>
      </c>
      <c r="AX49" s="23">
        <f t="shared" si="6"/>
        <v>6.6315278364068941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21.939999999999998</v>
      </c>
      <c r="BD49" s="13">
        <f>IF('Données projet'!$A$88&gt;35,BD48+BC49-BL48,IF(A49&lt;'Données projet'!$A$88,$BA$205^A49,IF(A49='Données projet'!$A$88,'Données projet'!$B$88,BD48+BC49-BL48)))</f>
        <v>438.01</v>
      </c>
      <c r="BE49" s="14">
        <f>BD49*VLOOKUP('Données projet'!$B$11,Paramètres!$A$1:$I$89,3,0)*VLOOKUP('Données projet'!$B$11,Paramètres!$A$1:$I$89,5,0)</f>
        <v>244.84759000000003</v>
      </c>
      <c r="BF49" s="14">
        <f t="shared" si="37"/>
        <v>59.481296135283444</v>
      </c>
      <c r="BG49" s="22">
        <f t="shared" si="7"/>
        <v>530.03947668561875</v>
      </c>
      <c r="BH49" s="62">
        <f t="shared" si="8"/>
        <v>782.38975008434443</v>
      </c>
      <c r="BI49" s="62">
        <f ca="1">AVERAGE(OFFSET($BH$3,0,0,'Données projet'!$E$11+1,1))-AVERAGE(OFFSET($H$3,0,0,'Données projet'!$E$11+1,1))</f>
        <v>321.60602866722138</v>
      </c>
      <c r="BJ49" s="62">
        <f t="shared" si="38"/>
        <v>375.18886653687389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9.3278937757468956</v>
      </c>
      <c r="BQ49" s="23">
        <f>EXP(-LN(2)/25)*BQ48+(1-EXP(-LN(2)/25))/(LN(2)/25)*Calculateur!BL49*Calculateur!BN49*VLOOKUP('Données projet'!$B$11,Paramètres!$A$1:$I$89,3,0)*0.475*44/12</f>
        <v>10.249497422009268</v>
      </c>
      <c r="BR49" s="23">
        <f>EXP(-LN(2)/2)*BR48+(1-EXP(-LN(2)/2))/(LN(2)/2)*BL49*BO49*VLOOKUP('Données projet'!$B$11,Paramètres!$A$1:$I$89,3,0)*0.475*44/12</f>
        <v>2.8601285565182717E-2</v>
      </c>
      <c r="BS49" s="24">
        <f t="shared" si="9"/>
        <v>19.605992483321348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2.6</v>
      </c>
      <c r="BY49" s="13">
        <f>IF('Données projet'!$A$114&gt;35,BY48+BX49-CG48,IF(A49&lt;'Données projet'!$A$114,$BV$205^A49,IF(A49='Données projet'!$A$114,'Données projet'!$B$114,BY48+BX49-CG48)))</f>
        <v>194.60000000000005</v>
      </c>
      <c r="BZ49" s="14">
        <f>BY49*VLOOKUP('Données projet'!$B$12,Paramètres!$A$1:$I$89,3,0)*VLOOKUP('Données projet'!$B$12,Paramètres!$A$1:$I$89,5,0)</f>
        <v>106.25160000000002</v>
      </c>
      <c r="CA49" s="14">
        <f t="shared" si="39"/>
        <v>28.446058169408015</v>
      </c>
      <c r="CB49" s="22">
        <f t="shared" si="10"/>
        <v>234.59842131171899</v>
      </c>
      <c r="CC49" s="62">
        <f t="shared" si="11"/>
        <v>486.94869471044467</v>
      </c>
      <c r="CD49" s="62">
        <f ca="1">AVERAGE(OFFSET($CC$3,0,0,'Données projet'!$E$12+1,1))-AVERAGE(OFFSET($H$3,0,0,'Données projet'!$E$12+1,1))</f>
        <v>182.44246264133781</v>
      </c>
      <c r="CE49" s="62">
        <f t="shared" si="40"/>
        <v>262.5818213397049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3.1388326265480733</v>
      </c>
      <c r="CL49" s="23">
        <f>EXP(-LN(2)/25)*CL48+(1-EXP(-LN(2)/25))/(LN(2)/25)*Calculateur!CG49*Calculateur!CI49*VLOOKUP('Données projet'!$B$12,Paramètres!$A$1:$I$89,3,0)*0.475*44/12</f>
        <v>11.614556137703905</v>
      </c>
      <c r="CM49" s="23">
        <f>EXP(-LN(2)/2)*CM48+(1-EXP(-LN(2)/2))/(LN(2)/2)*CG49*CJ49*VLOOKUP('Données projet'!$B$12,Paramètres!$A$1:$I$89,3,0)*0.475*44/12</f>
        <v>1.1791207016934412E-5</v>
      </c>
      <c r="CN49" s="24">
        <f t="shared" si="12"/>
        <v>14.753400555458995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11.5</v>
      </c>
      <c r="CT49" s="13">
        <f>IF('Données projet'!$A$140&gt;35,CT48+CS49-DB48,IF(A49&lt;'Données projet'!$A$140,$CQ$205^A49,IF(A49='Données projet'!$A$140,'Données projet'!$B$140,CT48+CS49-DB48)))</f>
        <v>330.99999999999989</v>
      </c>
      <c r="CU49" s="18">
        <f>CT49*VLOOKUP('Données projet'!$B$13,Paramètres!$A$1:$I$89,3,0)*VLOOKUP('Données projet'!$B$13,Paramètres!$A$1:$I$89,5,0)</f>
        <v>154.90799999999996</v>
      </c>
      <c r="CV49" s="14">
        <f t="shared" si="41"/>
        <v>39.691847670151873</v>
      </c>
      <c r="CW49" s="22">
        <f t="shared" si="13"/>
        <v>338.92806802551439</v>
      </c>
      <c r="CX49" s="62">
        <f t="shared" si="14"/>
        <v>591.27834142424001</v>
      </c>
      <c r="CY49" s="62">
        <f ca="1">AVERAGE(OFFSET($CX$3,0,0,'Données projet'!$E$13+1,1))-AVERAGE(OFFSET($H$3,0,0,'Données projet'!$E$13+1,1))</f>
        <v>426.87921482911719</v>
      </c>
      <c r="CZ49" s="62">
        <f t="shared" si="42"/>
        <v>313.49594674441835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187.00000000000003</v>
      </c>
      <c r="DP49" s="18">
        <f>DO49*VLOOKUP('Données projet'!$B$14,Paramètres!$A$1:$I$89,3,0)*VLOOKUP('Données projet'!$B$14,Paramètres!$A$1:$I$89,5,0)</f>
        <v>180.86640000000003</v>
      </c>
      <c r="DQ49" s="14">
        <f t="shared" si="43"/>
        <v>45.514890302102152</v>
      </c>
      <c r="DR49" s="22">
        <f t="shared" si="16"/>
        <v>394.28074727616126</v>
      </c>
      <c r="DS49" s="62">
        <f t="shared" si="17"/>
        <v>646.63102067488694</v>
      </c>
      <c r="DT49" s="62">
        <f ca="1">AVERAGE(OFFSET($DS$3,0,0,'Données projet'!$E$14+1,1))-AVERAGE(OFFSET($H$3,0,0,'Données projet'!$E$14+1,1))</f>
        <v>500.25828825677058</v>
      </c>
      <c r="DU49" s="62">
        <f t="shared" si="44"/>
        <v>313.56299786481338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1.6456873296289112</v>
      </c>
      <c r="EC49" s="23">
        <f>EXP(-LN(2)/2)*EC48+(1-EXP(-LN(2)/2))/(LN(2)/2)*DW49*DZ49*VLOOKUP('Données projet'!$B$14,Paramètres!$A$1:$I$89,3,0)*0.475*44/12</f>
        <v>9.8163750549560183E-2</v>
      </c>
      <c r="ED49" s="24">
        <f t="shared" si="18"/>
        <v>1.7438510801784715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</v>
      </c>
      <c r="EJ49" s="13">
        <f>IF('Données projet'!$A$192&gt;35,EJ48+EI49-ER48,IF(A49&lt;'Données projet'!$A$192,$EG$205^A49,IF(A49='Données projet'!$A$192,'Données projet'!$B$192,EJ48+EI49-ER48)))</f>
        <v>187.00000000000003</v>
      </c>
      <c r="EK49" s="18">
        <f>EJ49*VLOOKUP('Données projet'!$B$15,Paramètres!$A$1:$I$89,3,0)*VLOOKUP('Données projet'!$B$15,Paramètres!$A$1:$I$89,5,0)</f>
        <v>201.2868</v>
      </c>
      <c r="EL49" s="14">
        <f t="shared" si="45"/>
        <v>50.026861773677616</v>
      </c>
      <c r="EM49" s="22">
        <f t="shared" si="19"/>
        <v>437.70462758915511</v>
      </c>
      <c r="EN49" s="62">
        <f t="shared" si="20"/>
        <v>690.05490098788073</v>
      </c>
      <c r="EO49" s="62">
        <f ca="1">AVERAGE(OFFSET($EN$3,0,0,'Données projet'!$E$15+1,1))-AVERAGE(OFFSET($H$3,0,0,'Données projet'!$E$15+1,1))</f>
        <v>548.17046467409421</v>
      </c>
      <c r="EP49" s="62">
        <f t="shared" si="46"/>
        <v>341.9250949809848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1.8314907378128202</v>
      </c>
      <c r="EX49" s="23">
        <f>EXP(-LN(2)/2)*EX48+(1-EXP(-LN(2)/2))/(LN(2)/2)*ER49*EU49*VLOOKUP('Données projet'!$B$15,Paramètres!$A$1:$I$89,3,0)*0.475*44/12</f>
        <v>0.10924675464386528</v>
      </c>
      <c r="EY49" s="24">
        <f t="shared" si="21"/>
        <v>1.9407374924566856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472.83070477639035</v>
      </c>
      <c r="T50" s="62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5.6989039939574706</v>
      </c>
      <c r="AB50" s="23">
        <f>EXP(-LN(2)/2)*AB49+(1-EXP(-LN(2)/2))/(LN(2)/2)*V50*Y50*VLOOKUP('Données projet'!$B$9,Paramètres!$A$1:$I$89,3,0)*0.475*44/12</f>
        <v>4.1182823270038922E-2</v>
      </c>
      <c r="AC50" s="24">
        <f t="shared" si="3"/>
        <v>5.7400868172275095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200.77200000000002</v>
      </c>
      <c r="AK50" s="14">
        <f t="shared" si="35"/>
        <v>49.913791898945412</v>
      </c>
      <c r="AL50" s="22">
        <f t="shared" si="4"/>
        <v>436.61108755732994</v>
      </c>
      <c r="AM50" s="62">
        <f t="shared" si="5"/>
        <v>689.67232542152533</v>
      </c>
      <c r="AN50" s="62">
        <f ca="1">AVERAGE(OFFSET($AM$3,0,0,'Données projet'!$E$10+1,1))-AVERAGE(OFFSET($H$3,0,0,'Données projet'!$E$10+1,1))</f>
        <v>520.80494930257237</v>
      </c>
      <c r="AO50" s="62">
        <f t="shared" si="36"/>
        <v>325.72635759450861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6.3867027518488904</v>
      </c>
      <c r="AW50" s="23">
        <f>EXP(-LN(2)/2)*AW49+(1-EXP(-LN(2)/2))/(LN(2)/2)*AQ50*AT50*VLOOKUP('Données projet'!$B$10,Paramètres!$A$1:$I$89,3,0)*0.475*44/12</f>
        <v>4.6153164009526307E-2</v>
      </c>
      <c r="AX50" s="23">
        <f t="shared" si="6"/>
        <v>6.4328559158584167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21.939999999999998</v>
      </c>
      <c r="BD50" s="13">
        <f>IF('Données projet'!$A$88&gt;35,BD49+BC50-BL49,IF(A50&lt;'Données projet'!$A$88,$BA$205^A50,IF(A50='Données projet'!$A$88,'Données projet'!$B$88,BD49+BC50-BL49)))</f>
        <v>459.95</v>
      </c>
      <c r="BE50" s="14">
        <f>BD50*VLOOKUP('Données projet'!$B$11,Paramètres!$A$1:$I$89,3,0)*VLOOKUP('Données projet'!$B$11,Paramètres!$A$1:$I$89,5,0)</f>
        <v>257.11205000000001</v>
      </c>
      <c r="BF50" s="14">
        <f t="shared" si="37"/>
        <v>62.106384111300585</v>
      </c>
      <c r="BG50" s="22">
        <f t="shared" si="7"/>
        <v>555.97210607718182</v>
      </c>
      <c r="BH50" s="62">
        <f t="shared" si="8"/>
        <v>809.03334394137721</v>
      </c>
      <c r="BI50" s="62">
        <f ca="1">AVERAGE(OFFSET($BH$3,0,0,'Données projet'!$E$11+1,1))-AVERAGE(OFFSET($H$3,0,0,'Données projet'!$E$11+1,1))</f>
        <v>321.60602866722138</v>
      </c>
      <c r="BJ50" s="62">
        <f t="shared" si="38"/>
        <v>375.18886653687389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9.1449794682579153</v>
      </c>
      <c r="BQ50" s="23">
        <f>EXP(-LN(2)/25)*BQ49+(1-EXP(-LN(2)/25))/(LN(2)/25)*Calculateur!BL50*Calculateur!BN50*VLOOKUP('Données projet'!$B$11,Paramètres!$A$1:$I$89,3,0)*0.475*44/12</f>
        <v>9.9692243760067818</v>
      </c>
      <c r="BR50" s="23">
        <f>EXP(-LN(2)/2)*BR49+(1-EXP(-LN(2)/2))/(LN(2)/2)*BL50*BO50*VLOOKUP('Données projet'!$B$11,Paramètres!$A$1:$I$89,3,0)*0.475*44/12</f>
        <v>2.0224162973793616E-2</v>
      </c>
      <c r="BS50" s="24">
        <f t="shared" si="9"/>
        <v>19.13442800723849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2.6</v>
      </c>
      <c r="BY50" s="13">
        <f>IF('Données projet'!$A$114&gt;35,BY49+BX50-CG49,IF(A50&lt;'Données projet'!$A$114,$BV$205^A50,IF(A50='Données projet'!$A$114,'Données projet'!$B$114,BY49+BX50-CG49)))</f>
        <v>197.20000000000005</v>
      </c>
      <c r="BZ50" s="14">
        <f>BY50*VLOOKUP('Données projet'!$B$12,Paramètres!$A$1:$I$89,3,0)*VLOOKUP('Données projet'!$B$12,Paramètres!$A$1:$I$89,5,0)</f>
        <v>107.67120000000001</v>
      </c>
      <c r="CA50" s="14">
        <f t="shared" si="39"/>
        <v>28.781619683258381</v>
      </c>
      <c r="CB50" s="22">
        <f t="shared" si="10"/>
        <v>237.65532761500836</v>
      </c>
      <c r="CC50" s="62">
        <f t="shared" si="11"/>
        <v>490.71656547920372</v>
      </c>
      <c r="CD50" s="62">
        <f ca="1">AVERAGE(OFFSET($CC$3,0,0,'Données projet'!$E$12+1,1))-AVERAGE(OFFSET($H$3,0,0,'Données projet'!$E$12+1,1))</f>
        <v>182.44246264133781</v>
      </c>
      <c r="CE50" s="62">
        <f t="shared" si="40"/>
        <v>262.5818213397049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3.0772820332403268</v>
      </c>
      <c r="CL50" s="23">
        <f>EXP(-LN(2)/25)*CL49+(1-EXP(-LN(2)/25))/(LN(2)/25)*Calculateur!CG50*Calculateur!CI50*VLOOKUP('Données projet'!$B$12,Paramètres!$A$1:$I$89,3,0)*0.475*44/12</f>
        <v>11.29695548933543</v>
      </c>
      <c r="CM50" s="23">
        <f>EXP(-LN(2)/2)*CM49+(1-EXP(-LN(2)/2))/(LN(2)/2)*CG50*CJ50*VLOOKUP('Données projet'!$B$12,Paramètres!$A$1:$I$89,3,0)*0.475*44/12</f>
        <v>8.337642440048725E-6</v>
      </c>
      <c r="CN50" s="24">
        <f t="shared" si="12"/>
        <v>14.374245860218196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11.5</v>
      </c>
      <c r="CT50" s="13">
        <f>IF('Données projet'!$A$140&gt;35,CT49+CS50-DB49,IF(A50&lt;'Données projet'!$A$140,$CQ$205^A50,IF(A50='Données projet'!$A$140,'Données projet'!$B$140,CT49+CS50-DB49)))</f>
        <v>342.49999999999989</v>
      </c>
      <c r="CU50" s="18">
        <f>CT50*VLOOKUP('Données projet'!$B$13,Paramètres!$A$1:$I$89,3,0)*VLOOKUP('Données projet'!$B$13,Paramètres!$A$1:$I$89,5,0)</f>
        <v>160.28999999999994</v>
      </c>
      <c r="CV50" s="14">
        <f t="shared" si="41"/>
        <v>40.907918820862015</v>
      </c>
      <c r="CW50" s="22">
        <f t="shared" si="13"/>
        <v>350.41970861300121</v>
      </c>
      <c r="CX50" s="62">
        <f t="shared" si="14"/>
        <v>603.48094647719654</v>
      </c>
      <c r="CY50" s="62">
        <f ca="1">AVERAGE(OFFSET($CX$3,0,0,'Données projet'!$E$13+1,1))-AVERAGE(OFFSET($H$3,0,0,'Données projet'!$E$13+1,1))</f>
        <v>426.87921482911719</v>
      </c>
      <c r="CZ50" s="62">
        <f t="shared" si="42"/>
        <v>313.49594674441835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198.00000000000003</v>
      </c>
      <c r="DP50" s="18">
        <f>DO50*VLOOKUP('Données projet'!$B$14,Paramètres!$A$1:$I$89,3,0)*VLOOKUP('Données projet'!$B$14,Paramètres!$A$1:$I$89,5,0)</f>
        <v>191.50560000000004</v>
      </c>
      <c r="DQ50" s="14">
        <f t="shared" si="43"/>
        <v>47.872666570685276</v>
      </c>
      <c r="DR50" s="22">
        <f t="shared" si="16"/>
        <v>416.91714761061024</v>
      </c>
      <c r="DS50" s="62">
        <f t="shared" si="17"/>
        <v>669.97838547480569</v>
      </c>
      <c r="DT50" s="62">
        <f ca="1">AVERAGE(OFFSET($DS$3,0,0,'Données projet'!$E$14+1,1))-AVERAGE(OFFSET($H$3,0,0,'Données projet'!$E$14+1,1))</f>
        <v>500.25828825677058</v>
      </c>
      <c r="DU50" s="62">
        <f t="shared" si="44"/>
        <v>313.56299786481338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1.6006859230572732</v>
      </c>
      <c r="EC50" s="23">
        <f>EXP(-LN(2)/2)*EC49+(1-EXP(-LN(2)/2))/(LN(2)/2)*DW50*DZ50*VLOOKUP('Données projet'!$B$14,Paramètres!$A$1:$I$89,3,0)*0.475*44/12</f>
        <v>6.9412253680298686E-2</v>
      </c>
      <c r="ED50" s="24">
        <f t="shared" si="18"/>
        <v>1.670098176737572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</v>
      </c>
      <c r="EJ50" s="13">
        <f>IF('Données projet'!$A$192&gt;35,EJ49+EI50-ER49,IF(A50&lt;'Données projet'!$A$192,$EG$205^A50,IF(A50='Données projet'!$A$192,'Données projet'!$B$192,EJ49+EI50-ER49)))</f>
        <v>198.00000000000003</v>
      </c>
      <c r="EK50" s="18">
        <f>EJ50*VLOOKUP('Données projet'!$B$15,Paramètres!$A$1:$I$89,3,0)*VLOOKUP('Données projet'!$B$15,Paramètres!$A$1:$I$89,5,0)</f>
        <v>213.12720000000002</v>
      </c>
      <c r="EL50" s="14">
        <f t="shared" si="45"/>
        <v>52.618368568459893</v>
      </c>
      <c r="EM50" s="22">
        <f t="shared" si="19"/>
        <v>462.8401985900677</v>
      </c>
      <c r="EN50" s="62">
        <f t="shared" si="20"/>
        <v>715.90143645426315</v>
      </c>
      <c r="EO50" s="62">
        <f ca="1">AVERAGE(OFFSET($EN$3,0,0,'Données projet'!$E$15+1,1))-AVERAGE(OFFSET($H$3,0,0,'Données projet'!$E$15+1,1))</f>
        <v>548.17046467409421</v>
      </c>
      <c r="EP50" s="62">
        <f t="shared" si="46"/>
        <v>341.9250949809848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1.7814085272734166</v>
      </c>
      <c r="EX50" s="23">
        <f>EXP(-LN(2)/2)*EX49+(1-EXP(-LN(2)/2))/(LN(2)/2)*ER50*EU50*VLOOKUP('Données projet'!$B$15,Paramètres!$A$1:$I$89,3,0)*0.475*44/12</f>
        <v>7.7249121031300091E-2</v>
      </c>
      <c r="EY50" s="24">
        <f t="shared" si="21"/>
        <v>1.8586576483047166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472.83070477639035</v>
      </c>
      <c r="T51" s="62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5.5430671645503677</v>
      </c>
      <c r="AB51" s="23">
        <f>EXP(-LN(2)/2)*AB50+(1-EXP(-LN(2)/2))/(LN(2)/2)*V51*Y51*VLOOKUP('Données projet'!$B$9,Paramètres!$A$1:$I$89,3,0)*0.475*44/12</f>
        <v>2.9120653602651671E-2</v>
      </c>
      <c r="AC51" s="24">
        <f t="shared" si="3"/>
        <v>5.5721878181530196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211.92600000000004</v>
      </c>
      <c r="AK51" s="14">
        <f t="shared" si="35"/>
        <v>52.356241262970165</v>
      </c>
      <c r="AL51" s="22">
        <f t="shared" si="4"/>
        <v>460.29157019967312</v>
      </c>
      <c r="AM51" s="62">
        <f t="shared" si="5"/>
        <v>714.05143888534076</v>
      </c>
      <c r="AN51" s="62">
        <f ca="1">AVERAGE(OFFSET($AM$3,0,0,'Données projet'!$E$10+1,1))-AVERAGE(OFFSET($H$3,0,0,'Données projet'!$E$10+1,1))</f>
        <v>520.80494930257237</v>
      </c>
      <c r="AO51" s="62">
        <f t="shared" si="36"/>
        <v>325.72635759450861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6.2120580292374816</v>
      </c>
      <c r="AW51" s="23">
        <f>EXP(-LN(2)/2)*AW50+(1-EXP(-LN(2)/2))/(LN(2)/2)*AQ51*AT51*VLOOKUP('Données projet'!$B$10,Paramètres!$A$1:$I$89,3,0)*0.475*44/12</f>
        <v>3.2635215244350958E-2</v>
      </c>
      <c r="AX51" s="23">
        <f t="shared" si="6"/>
        <v>6.2446932444818328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21.939999999999998</v>
      </c>
      <c r="BD51" s="13">
        <f>IF('Données projet'!$A$88&gt;35,BD50+BC51-BL50,IF(A51&lt;'Données projet'!$A$88,$BA$205^A51,IF(A51='Données projet'!$A$88,'Données projet'!$B$88,BD50+BC51-BL50)))</f>
        <v>481.89</v>
      </c>
      <c r="BE51" s="14">
        <f>BD51*VLOOKUP('Données projet'!$B$11,Paramètres!$A$1:$I$89,3,0)*VLOOKUP('Données projet'!$B$11,Paramètres!$A$1:$I$89,5,0)</f>
        <v>269.37651</v>
      </c>
      <c r="BF51" s="14">
        <f t="shared" si="37"/>
        <v>64.716931175288423</v>
      </c>
      <c r="BG51" s="22">
        <f t="shared" si="7"/>
        <v>581.87941004696063</v>
      </c>
      <c r="BH51" s="62">
        <f t="shared" si="8"/>
        <v>835.63927873262833</v>
      </c>
      <c r="BI51" s="62">
        <f ca="1">AVERAGE(OFFSET($BH$3,0,0,'Données projet'!$E$11+1,1))-AVERAGE(OFFSET($H$3,0,0,'Données projet'!$E$11+1,1))</f>
        <v>321.60602866722138</v>
      </c>
      <c r="BJ51" s="62">
        <f t="shared" si="38"/>
        <v>375.18886653687389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8.9656519987720831</v>
      </c>
      <c r="BQ51" s="23">
        <f>EXP(-LN(2)/25)*BQ50+(1-EXP(-LN(2)/25))/(LN(2)/25)*Calculateur!BL51*Calculateur!BN51*VLOOKUP('Données projet'!$B$11,Paramètres!$A$1:$I$89,3,0)*0.475*44/12</f>
        <v>9.6966154111861513</v>
      </c>
      <c r="BR51" s="23">
        <f>EXP(-LN(2)/2)*BR50+(1-EXP(-LN(2)/2))/(LN(2)/2)*BL51*BO51*VLOOKUP('Données projet'!$B$11,Paramètres!$A$1:$I$89,3,0)*0.475*44/12</f>
        <v>1.4300642782591359E-2</v>
      </c>
      <c r="BS51" s="24">
        <f t="shared" si="9"/>
        <v>18.676568052740823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2.6</v>
      </c>
      <c r="BY51" s="13">
        <f>IF('Données projet'!$A$114&gt;35,BY50+BX51-CG50,IF(A51&lt;'Données projet'!$A$114,$BV$205^A51,IF(A51='Données projet'!$A$114,'Données projet'!$B$114,BY50+BX51-CG50)))</f>
        <v>199.80000000000004</v>
      </c>
      <c r="BZ51" s="14">
        <f>BY51*VLOOKUP('Données projet'!$B$12,Paramètres!$A$1:$I$89,3,0)*VLOOKUP('Données projet'!$B$12,Paramètres!$A$1:$I$89,5,0)</f>
        <v>109.09080000000002</v>
      </c>
      <c r="CA51" s="14">
        <f t="shared" si="39"/>
        <v>29.116666594885835</v>
      </c>
      <c r="CB51" s="22">
        <f t="shared" si="10"/>
        <v>240.71133765275954</v>
      </c>
      <c r="CC51" s="62">
        <f t="shared" si="11"/>
        <v>494.47120633842724</v>
      </c>
      <c r="CD51" s="62">
        <f ca="1">AVERAGE(OFFSET($CC$3,0,0,'Données projet'!$E$12+1,1))-AVERAGE(OFFSET($H$3,0,0,'Données projet'!$E$12+1,1))</f>
        <v>182.44246264133781</v>
      </c>
      <c r="CE51" s="62">
        <f t="shared" si="40"/>
        <v>262.5818213397049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3.0169384095251903</v>
      </c>
      <c r="CL51" s="23">
        <f>EXP(-LN(2)/25)*CL50+(1-EXP(-LN(2)/25))/(LN(2)/25)*Calculateur!CG51*Calculateur!CI51*VLOOKUP('Données projet'!$B$12,Paramètres!$A$1:$I$89,3,0)*0.475*44/12</f>
        <v>10.988039647398482</v>
      </c>
      <c r="CM51" s="23">
        <f>EXP(-LN(2)/2)*CM50+(1-EXP(-LN(2)/2))/(LN(2)/2)*CG51*CJ51*VLOOKUP('Données projet'!$B$12,Paramètres!$A$1:$I$89,3,0)*0.475*44/12</f>
        <v>5.895603508467206E-6</v>
      </c>
      <c r="CN51" s="24">
        <f t="shared" si="12"/>
        <v>14.00498395252718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11.5</v>
      </c>
      <c r="CT51" s="13">
        <f>IF('Données projet'!$A$140&gt;35,CT50+CS51-DB50,IF(A51&lt;'Données projet'!$A$140,$CQ$205^A51,IF(A51='Données projet'!$A$140,'Données projet'!$B$140,CT50+CS51-DB50)))</f>
        <v>353.99999999999989</v>
      </c>
      <c r="CU51" s="18">
        <f>CT51*VLOOKUP('Données projet'!$B$13,Paramètres!$A$1:$I$89,3,0)*VLOOKUP('Données projet'!$B$13,Paramètres!$A$1:$I$89,5,0)</f>
        <v>165.67199999999994</v>
      </c>
      <c r="CV51" s="14">
        <f t="shared" si="41"/>
        <v>42.119245508815517</v>
      </c>
      <c r="CW51" s="22">
        <f t="shared" si="13"/>
        <v>361.90308592785351</v>
      </c>
      <c r="CX51" s="62">
        <f t="shared" si="14"/>
        <v>615.66295461352115</v>
      </c>
      <c r="CY51" s="62">
        <f ca="1">AVERAGE(OFFSET($CX$3,0,0,'Données projet'!$E$13+1,1))-AVERAGE(OFFSET($H$3,0,0,'Données projet'!$E$13+1,1))</f>
        <v>426.87921482911719</v>
      </c>
      <c r="CZ51" s="62">
        <f t="shared" si="42"/>
        <v>313.49594674441835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209.00000000000003</v>
      </c>
      <c r="DP51" s="18">
        <f>DO51*VLOOKUP('Données projet'!$B$14,Paramètres!$A$1:$I$89,3,0)*VLOOKUP('Données projet'!$B$14,Paramètres!$A$1:$I$89,5,0)</f>
        <v>202.14480000000003</v>
      </c>
      <c r="DQ51" s="14">
        <f t="shared" si="43"/>
        <v>50.215236821738628</v>
      </c>
      <c r="DR51" s="22">
        <f t="shared" si="16"/>
        <v>439.52706413119489</v>
      </c>
      <c r="DS51" s="62">
        <f t="shared" si="17"/>
        <v>693.28693281686265</v>
      </c>
      <c r="DT51" s="62">
        <f ca="1">AVERAGE(OFFSET($DS$3,0,0,'Données projet'!$E$14+1,1))-AVERAGE(OFFSET($H$3,0,0,'Données projet'!$E$14+1,1))</f>
        <v>500.25828825677058</v>
      </c>
      <c r="DU51" s="62">
        <f t="shared" si="44"/>
        <v>313.56299786481338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1.5569150823148579</v>
      </c>
      <c r="EC51" s="23">
        <f>EXP(-LN(2)/2)*EC50+(1-EXP(-LN(2)/2))/(LN(2)/2)*DW51*DZ51*VLOOKUP('Données projet'!$B$14,Paramètres!$A$1:$I$89,3,0)*0.475*44/12</f>
        <v>4.9081875274780092E-2</v>
      </c>
      <c r="ED51" s="24">
        <f t="shared" si="18"/>
        <v>1.605996957589638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</v>
      </c>
      <c r="EJ51" s="13">
        <f>IF('Données projet'!$A$192&gt;35,EJ50+EI51-ER50,IF(A51&lt;'Données projet'!$A$192,$EG$205^A51,IF(A51='Données projet'!$A$192,'Données projet'!$B$192,EJ50+EI51-ER50)))</f>
        <v>209.00000000000003</v>
      </c>
      <c r="EK51" s="18">
        <f>EJ51*VLOOKUP('Données projet'!$B$15,Paramètres!$A$1:$I$89,3,0)*VLOOKUP('Données projet'!$B$15,Paramètres!$A$1:$I$89,5,0)</f>
        <v>224.96760000000003</v>
      </c>
      <c r="EL51" s="14">
        <f t="shared" si="45"/>
        <v>55.193161946335238</v>
      </c>
      <c r="EM51" s="22">
        <f t="shared" si="19"/>
        <v>487.94666038986719</v>
      </c>
      <c r="EN51" s="62">
        <f t="shared" si="20"/>
        <v>741.70652907553495</v>
      </c>
      <c r="EO51" s="62">
        <f ca="1">AVERAGE(OFFSET($EN$3,0,0,'Données projet'!$E$15+1,1))-AVERAGE(OFFSET($H$3,0,0,'Données projet'!$E$15+1,1))</f>
        <v>548.17046467409421</v>
      </c>
      <c r="EP51" s="62">
        <f t="shared" si="46"/>
        <v>341.9250949809848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1.7326958174149221</v>
      </c>
      <c r="EX51" s="23">
        <f>EXP(-LN(2)/2)*EX50+(1-EXP(-LN(2)/2))/(LN(2)/2)*ER51*EU51*VLOOKUP('Données projet'!$B$15,Paramètres!$A$1:$I$89,3,0)*0.475*44/12</f>
        <v>5.4623377321932641E-2</v>
      </c>
      <c r="EY51" s="24">
        <f t="shared" si="21"/>
        <v>1.7873191947368547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472.83070477639035</v>
      </c>
      <c r="T52" s="62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5.3914917014385049</v>
      </c>
      <c r="AB52" s="23">
        <f>EXP(-LN(2)/2)*AB51+(1-EXP(-LN(2)/2))/(LN(2)/2)*V52*Y52*VLOOKUP('Données projet'!$B$9,Paramètres!$A$1:$I$89,3,0)*0.475*44/12</f>
        <v>2.0591411635019465E-2</v>
      </c>
      <c r="AC52" s="24">
        <f t="shared" si="3"/>
        <v>5.4120831130735247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2">
        <f t="shared" si="5"/>
        <v>738.39243872858447</v>
      </c>
      <c r="AN52" s="62">
        <f ca="1">AVERAGE(OFFSET($AM$3,0,0,'Données projet'!$E$10+1,1))-AVERAGE(OFFSET($H$3,0,0,'Données projet'!$E$10+1,1))</f>
        <v>520.80494930257237</v>
      </c>
      <c r="AO52" s="62">
        <f t="shared" si="36"/>
        <v>325.72635759450861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6.0421889757500491</v>
      </c>
      <c r="AW52" s="23">
        <f>EXP(-LN(2)/2)*AW51+(1-EXP(-LN(2)/2))/(LN(2)/2)*AQ52*AT52*VLOOKUP('Données projet'!$B$10,Paramètres!$A$1:$I$89,3,0)*0.475*44/12</f>
        <v>2.3076582004763153E-2</v>
      </c>
      <c r="AX52" s="23">
        <f t="shared" si="6"/>
        <v>6.0652655577548122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503.83</v>
      </c>
      <c r="BB52" s="13">
        <f>VLOOKUP(A52,'Données projet'!$A$87:$I$107,9,0)</f>
        <v>21.939999999999998</v>
      </c>
      <c r="BC52" s="13">
        <f t="array" ref="BC52">INDEX(BB:BB,MIN(IF(ISNUMBER(BB52:BB248),ROW(BB52:BB248),"")))</f>
        <v>21.939999999999998</v>
      </c>
      <c r="BD52" s="13">
        <f>IF('Données projet'!$A$88&gt;35,BD51+BC52-BL51,IF(A52&lt;'Données projet'!$A$88,$BA$205^A52,IF(A52='Données projet'!$A$88,'Données projet'!$B$88,BD51+BC52-BL51)))</f>
        <v>503.83</v>
      </c>
      <c r="BE52" s="14">
        <f>BD52*VLOOKUP('Données projet'!$B$11,Paramètres!$A$1:$I$89,3,0)*VLOOKUP('Données projet'!$B$11,Paramètres!$A$1:$I$89,5,0)</f>
        <v>281.64096999999998</v>
      </c>
      <c r="BF52" s="14">
        <f t="shared" si="37"/>
        <v>67.313674987907362</v>
      </c>
      <c r="BG52" s="22">
        <f t="shared" si="7"/>
        <v>607.76267335393857</v>
      </c>
      <c r="BH52" s="62">
        <f t="shared" si="8"/>
        <v>862.20905317823053</v>
      </c>
      <c r="BI52" s="62">
        <f ca="1">AVERAGE(OFFSET($BH$3,0,0,'Données projet'!$E$11+1,1))-AVERAGE(OFFSET($H$3,0,0,'Données projet'!$E$11+1,1))</f>
        <v>321.60602866722138</v>
      </c>
      <c r="BJ52" s="62">
        <f t="shared" si="38"/>
        <v>375.18886653687389</v>
      </c>
      <c r="BK52" s="16">
        <f>IF(ISNA(VLOOKUP(A52,'Données projet'!$A$87:$I$107,3,0)),0,VLOOKUP(A52,'Données projet'!$A$87:$I$107,3,0))</f>
        <v>6</v>
      </c>
      <c r="BL52" s="16">
        <f>IF(ISNA(VLOOKUP(A52,'Données projet'!$A$87:$I$107,4,0)),0,VLOOKUP(A52,'Données projet'!$A$87:$I$107,4,0))</f>
        <v>112.61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8.7898410315839115</v>
      </c>
      <c r="BQ52" s="23">
        <f>EXP(-LN(2)/25)*BQ51+(1-EXP(-LN(2)/25))/(LN(2)/25)*Calculateur!BL52*Calculateur!BN52*VLOOKUP('Données projet'!$B$11,Paramètres!$A$1:$I$89,3,0)*0.475*44/12</f>
        <v>9.4314609528444233</v>
      </c>
      <c r="BR52" s="23">
        <f>EXP(-LN(2)/2)*BR51+(1-EXP(-LN(2)/2))/(LN(2)/2)*BL52*BO52*VLOOKUP('Données projet'!$B$11,Paramètres!$A$1:$I$89,3,0)*0.475*44/12</f>
        <v>1.0112081486896808E-2</v>
      </c>
      <c r="BS52" s="24">
        <f t="shared" si="9"/>
        <v>18.231414065915235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2.6</v>
      </c>
      <c r="BY52" s="13">
        <f>IF('Données projet'!$A$114&gt;35,BY51+BX52-CG51,IF(A52&lt;'Données projet'!$A$114,$BV$205^A52,IF(A52='Données projet'!$A$114,'Données projet'!$B$114,BY51+BX52-CG51)))</f>
        <v>202.40000000000003</v>
      </c>
      <c r="BZ52" s="14">
        <f>BY52*VLOOKUP('Données projet'!$B$12,Paramètres!$A$1:$I$89,3,0)*VLOOKUP('Données projet'!$B$12,Paramètres!$A$1:$I$89,5,0)</f>
        <v>110.51040000000002</v>
      </c>
      <c r="CA52" s="14">
        <f t="shared" si="39"/>
        <v>29.451206375056412</v>
      </c>
      <c r="CB52" s="22">
        <f t="shared" si="10"/>
        <v>243.76646443655656</v>
      </c>
      <c r="CC52" s="62">
        <f t="shared" si="11"/>
        <v>498.21284426084856</v>
      </c>
      <c r="CD52" s="62">
        <f ca="1">AVERAGE(OFFSET($CC$3,0,0,'Données projet'!$E$12+1,1))-AVERAGE(OFFSET($H$3,0,0,'Données projet'!$E$12+1,1))</f>
        <v>182.44246264133781</v>
      </c>
      <c r="CE52" s="62">
        <f t="shared" si="40"/>
        <v>262.5818213397049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2.9577780874651314</v>
      </c>
      <c r="CL52" s="23">
        <f>EXP(-LN(2)/25)*CL51+(1-EXP(-LN(2)/25))/(LN(2)/25)*Calculateur!CG52*Calculateur!CI52*VLOOKUP('Données projet'!$B$12,Paramètres!$A$1:$I$89,3,0)*0.475*44/12</f>
        <v>10.68757112540448</v>
      </c>
      <c r="CM52" s="23">
        <f>EXP(-LN(2)/2)*CM51+(1-EXP(-LN(2)/2))/(LN(2)/2)*CG52*CJ52*VLOOKUP('Données projet'!$B$12,Paramètres!$A$1:$I$89,3,0)*0.475*44/12</f>
        <v>4.1688212200243625E-6</v>
      </c>
      <c r="CN52" s="24">
        <f t="shared" si="12"/>
        <v>13.645353381690832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11.5</v>
      </c>
      <c r="CT52" s="13">
        <f>IF('Données projet'!$A$140&gt;35,CT51+CS52-DB51,IF(A52&lt;'Données projet'!$A$140,$CQ$205^A52,IF(A52='Données projet'!$A$140,'Données projet'!$B$140,CT51+CS52-DB51)))</f>
        <v>365.49999999999989</v>
      </c>
      <c r="CU52" s="18">
        <f>CT52*VLOOKUP('Données projet'!$B$13,Paramètres!$A$1:$I$89,3,0)*VLOOKUP('Données projet'!$B$13,Paramètres!$A$1:$I$89,5,0)</f>
        <v>171.05399999999995</v>
      </c>
      <c r="CV52" s="14">
        <f t="shared" si="41"/>
        <v>43.32599953897904</v>
      </c>
      <c r="CW52" s="22">
        <f t="shared" si="13"/>
        <v>373.37849919705508</v>
      </c>
      <c r="CX52" s="62">
        <f t="shared" si="14"/>
        <v>627.82487902134699</v>
      </c>
      <c r="CY52" s="62">
        <f ca="1">AVERAGE(OFFSET($CX$3,0,0,'Données projet'!$E$13+1,1))-AVERAGE(OFFSET($H$3,0,0,'Données projet'!$E$13+1,1))</f>
        <v>426.87921482911719</v>
      </c>
      <c r="CZ52" s="62">
        <f t="shared" si="42"/>
        <v>313.49594674441835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220.00000000000003</v>
      </c>
      <c r="DP52" s="18">
        <f>DO52*VLOOKUP('Données projet'!$B$14,Paramètres!$A$1:$I$89,3,0)*VLOOKUP('Données projet'!$B$14,Paramètres!$A$1:$I$89,5,0)</f>
        <v>212.78400000000002</v>
      </c>
      <c r="DQ52" s="14">
        <f t="shared" si="43"/>
        <v>52.543492641808065</v>
      </c>
      <c r="DR52" s="22">
        <f t="shared" si="16"/>
        <v>462.11204968448237</v>
      </c>
      <c r="DS52" s="62">
        <f t="shared" si="17"/>
        <v>716.55842950877434</v>
      </c>
      <c r="DT52" s="62">
        <f ca="1">AVERAGE(OFFSET($DS$3,0,0,'Données projet'!$E$14+1,1))-AVERAGE(OFFSET($H$3,0,0,'Données projet'!$E$14+1,1))</f>
        <v>500.25828825677058</v>
      </c>
      <c r="DU52" s="62">
        <f t="shared" si="44"/>
        <v>313.56299786481338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1.5143411575143524</v>
      </c>
      <c r="EC52" s="23">
        <f>EXP(-LN(2)/2)*EC51+(1-EXP(-LN(2)/2))/(LN(2)/2)*DW52*DZ52*VLOOKUP('Données projet'!$B$14,Paramètres!$A$1:$I$89,3,0)*0.475*44/12</f>
        <v>3.4706126840149343E-2</v>
      </c>
      <c r="ED52" s="24">
        <f t="shared" si="18"/>
        <v>1.5490472843545018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</v>
      </c>
      <c r="EJ52" s="13">
        <f>IF('Données projet'!$A$192&gt;35,EJ51+EI52-ER51,IF(A52&lt;'Données projet'!$A$192,$EG$205^A52,IF(A52='Données projet'!$A$192,'Données projet'!$B$192,EJ51+EI52-ER51)))</f>
        <v>220.00000000000003</v>
      </c>
      <c r="EK52" s="18">
        <f>EJ52*VLOOKUP('Données projet'!$B$15,Paramètres!$A$1:$I$89,3,0)*VLOOKUP('Données projet'!$B$15,Paramètres!$A$1:$I$89,5,0)</f>
        <v>236.80800000000002</v>
      </c>
      <c r="EL52" s="14">
        <f t="shared" si="45"/>
        <v>57.752221878398714</v>
      </c>
      <c r="EM52" s="22">
        <f t="shared" si="19"/>
        <v>513.02571977154446</v>
      </c>
      <c r="EN52" s="62">
        <f t="shared" si="20"/>
        <v>767.47209959583643</v>
      </c>
      <c r="EO52" s="62">
        <f ca="1">AVERAGE(OFFSET($EN$3,0,0,'Données projet'!$E$15+1,1))-AVERAGE(OFFSET($H$3,0,0,'Données projet'!$E$15+1,1))</f>
        <v>548.17046467409421</v>
      </c>
      <c r="EP52" s="62">
        <f t="shared" si="46"/>
        <v>341.9250949809848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1.6853151591691982</v>
      </c>
      <c r="EX52" s="23">
        <f>EXP(-LN(2)/2)*EX51+(1-EXP(-LN(2)/2))/(LN(2)/2)*ER52*EU52*VLOOKUP('Données projet'!$B$15,Paramètres!$A$1:$I$89,3,0)*0.475*44/12</f>
        <v>3.8624560515650046E-2</v>
      </c>
      <c r="EY52" s="24">
        <f t="shared" si="21"/>
        <v>1.7239397196848483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472.83070477639035</v>
      </c>
      <c r="T53" s="62">
        <f t="shared" si="34"/>
        <v>297.32483725004136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5.2440610773364424</v>
      </c>
      <c r="AB53" s="23">
        <f>EXP(-LN(2)/2)*AB52+(1-EXP(-LN(2)/2))/(LN(2)/2)*V53*Y53*VLOOKUP('Données projet'!$B$9,Paramètres!$A$1:$I$89,3,0)*0.475*44/12</f>
        <v>1.4560326801325837E-2</v>
      </c>
      <c r="AC53" s="24">
        <f t="shared" si="3"/>
        <v>5.2586214041377684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2">
        <f t="shared" si="5"/>
        <v>762.69698320382963</v>
      </c>
      <c r="AN53" s="62">
        <f ca="1">AVERAGE(OFFSET($AM$3,0,0,'Données projet'!$E$10+1,1))-AVERAGE(OFFSET($H$3,0,0,'Données projet'!$E$10+1,1))</f>
        <v>520.80494930257237</v>
      </c>
      <c r="AO53" s="62">
        <f t="shared" si="36"/>
        <v>325.72635759450861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5.8769650004632554</v>
      </c>
      <c r="AW53" s="23">
        <f>EXP(-LN(2)/2)*AW52+(1-EXP(-LN(2)/2))/(LN(2)/2)*AQ53*AT53*VLOOKUP('Données projet'!$B$10,Paramètres!$A$1:$I$89,3,0)*0.475*44/12</f>
        <v>1.6317607622175479E-2</v>
      </c>
      <c r="AX53" s="23">
        <f t="shared" si="6"/>
        <v>5.893282608085431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20.324285714285718</v>
      </c>
      <c r="BD53" s="13">
        <f>IF('Données projet'!$A$88&gt;35,BD52+BC53-BL52,IF(A53&lt;'Données projet'!$A$88,$BA$205^A53,IF(A53='Données projet'!$A$88,'Données projet'!$B$88,BD52+BC53-BL52)))</f>
        <v>411.54428571428571</v>
      </c>
      <c r="BE53" s="14">
        <f>BD53*VLOOKUP('Données projet'!$B$11,Paramètres!$A$1:$I$89,3,0)*VLOOKUP('Données projet'!$B$11,Paramètres!$A$1:$I$89,5,0)</f>
        <v>230.05325571428571</v>
      </c>
      <c r="BF53" s="14">
        <f t="shared" si="37"/>
        <v>56.294196506523747</v>
      </c>
      <c r="BG53" s="22">
        <f t="shared" si="7"/>
        <v>498.72181261790985</v>
      </c>
      <c r="BH53" s="62">
        <f t="shared" si="8"/>
        <v>753.84279414737989</v>
      </c>
      <c r="BI53" s="62">
        <f ca="1">AVERAGE(OFFSET($BH$3,0,0,'Données projet'!$E$11+1,1))-AVERAGE(OFFSET($H$3,0,0,'Données projet'!$E$11+1,1))</f>
        <v>321.60602866722138</v>
      </c>
      <c r="BJ53" s="62">
        <f t="shared" si="38"/>
        <v>375.18886653687389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8.6174776102281978</v>
      </c>
      <c r="BQ53" s="23">
        <f>EXP(-LN(2)/25)*BQ52+(1-EXP(-LN(2)/25))/(LN(2)/25)*Calculateur!BL53*Calculateur!BN53*VLOOKUP('Données projet'!$B$11,Paramètres!$A$1:$I$89,3,0)*0.475*44/12</f>
        <v>9.1735571571099168</v>
      </c>
      <c r="BR53" s="23">
        <f>EXP(-LN(2)/2)*BR52+(1-EXP(-LN(2)/2))/(LN(2)/2)*BL53*BO53*VLOOKUP('Données projet'!$B$11,Paramètres!$A$1:$I$89,3,0)*0.475*44/12</f>
        <v>7.1503213912956793E-3</v>
      </c>
      <c r="BS53" s="24">
        <f t="shared" si="9"/>
        <v>17.798185088729412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205</v>
      </c>
      <c r="BW53" s="13">
        <f>VLOOKUP(A53,'Données projet'!$A$113:$I$133,9,0)</f>
        <v>2.6</v>
      </c>
      <c r="BX53" s="13">
        <f t="array" ref="BX53">INDEX(BW:BW,MIN(IF(ISNUMBER(BW53:BW249),ROW(BW53:BW249),"")))</f>
        <v>2.6</v>
      </c>
      <c r="BY53" s="13">
        <f>IF('Données projet'!$A$114&gt;35,BY52+BX53-CG52,IF(A53&lt;'Données projet'!$A$114,$BV$205^A53,IF(A53='Données projet'!$A$114,'Données projet'!$B$114,BY52+BX53-CG52)))</f>
        <v>205.00000000000003</v>
      </c>
      <c r="BZ53" s="14">
        <f>BY53*VLOOKUP('Données projet'!$B$12,Paramètres!$A$1:$I$89,3,0)*VLOOKUP('Données projet'!$B$12,Paramètres!$A$1:$I$89,5,0)</f>
        <v>111.93000000000002</v>
      </c>
      <c r="CA53" s="14">
        <f t="shared" si="39"/>
        <v>29.785246291563858</v>
      </c>
      <c r="CB53" s="22">
        <f t="shared" si="10"/>
        <v>246.82072062447375</v>
      </c>
      <c r="CC53" s="62">
        <f t="shared" si="11"/>
        <v>501.94170215394388</v>
      </c>
      <c r="CD53" s="62">
        <f ca="1">AVERAGE(OFFSET($CC$3,0,0,'Données projet'!$E$12+1,1))-AVERAGE(OFFSET($H$3,0,0,'Données projet'!$E$12+1,1))</f>
        <v>182.44246264133781</v>
      </c>
      <c r="CE53" s="62">
        <f t="shared" si="40"/>
        <v>262.5818213397049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205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2.8997778632364368</v>
      </c>
      <c r="CL53" s="23">
        <f>EXP(-LN(2)/25)*CL52+(1-EXP(-LN(2)/25))/(LN(2)/25)*Calculateur!CG53*Calculateur!CI53*VLOOKUP('Données projet'!$B$12,Paramètres!$A$1:$I$89,3,0)*0.475*44/12</f>
        <v>10.395318930945356</v>
      </c>
      <c r="CM53" s="23">
        <f>EXP(-LN(2)/2)*CM52+(1-EXP(-LN(2)/2))/(LN(2)/2)*CG53*CJ53*VLOOKUP('Données projet'!$B$12,Paramètres!$A$1:$I$89,3,0)*0.475*44/12</f>
        <v>2.947801754233603E-6</v>
      </c>
      <c r="CN53" s="24">
        <f t="shared" si="12"/>
        <v>13.295099741983547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377</v>
      </c>
      <c r="CR53" s="13">
        <f>VLOOKUP(A53,'Données projet'!$A$139:$I$159,9,0)</f>
        <v>11.5</v>
      </c>
      <c r="CS53" s="13">
        <f t="array" ref="CS53">INDEX(CR:CR,MIN(IF(ISNUMBER(CR53:CR249),ROW(CR53:CR249),"")))</f>
        <v>11.5</v>
      </c>
      <c r="CT53" s="13">
        <f>IF('Données projet'!$A$140&gt;35,CT52+CS53-DB52,IF(A53&lt;'Données projet'!$A$140,$CQ$205^A53,IF(A53='Données projet'!$A$140,'Données projet'!$B$140,CT52+CS53-DB52)))</f>
        <v>376.99999999999989</v>
      </c>
      <c r="CU53" s="18">
        <f>CT53*VLOOKUP('Données projet'!$B$13,Paramètres!$A$1:$I$89,3,0)*VLOOKUP('Données projet'!$B$13,Paramètres!$A$1:$I$89,5,0)</f>
        <v>176.43599999999992</v>
      </c>
      <c r="CV53" s="14">
        <f t="shared" si="41"/>
        <v>44.52834129105058</v>
      </c>
      <c r="CW53" s="22">
        <f t="shared" si="13"/>
        <v>384.84622774857962</v>
      </c>
      <c r="CX53" s="62">
        <f t="shared" si="14"/>
        <v>639.96720927804972</v>
      </c>
      <c r="CY53" s="62">
        <f ca="1">AVERAGE(OFFSET($CX$3,0,0,'Données projet'!$E$13+1,1))-AVERAGE(OFFSET($H$3,0,0,'Données projet'!$E$13+1,1))</f>
        <v>426.87921482911719</v>
      </c>
      <c r="CZ53" s="62">
        <f t="shared" si="42"/>
        <v>313.49594674441835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231.00000000000003</v>
      </c>
      <c r="DP53" s="18">
        <f>DO53*VLOOKUP('Données projet'!$B$14,Paramètres!$A$1:$I$89,3,0)*VLOOKUP('Données projet'!$B$14,Paramètres!$A$1:$I$89,5,0)</f>
        <v>223.42320000000004</v>
      </c>
      <c r="DQ53" s="14">
        <f t="shared" si="43"/>
        <v>54.858231422257631</v>
      </c>
      <c r="DR53" s="22">
        <f t="shared" si="16"/>
        <v>484.67349306043207</v>
      </c>
      <c r="DS53" s="62">
        <f t="shared" si="17"/>
        <v>739.79447458990217</v>
      </c>
      <c r="DT53" s="62">
        <f ca="1">AVERAGE(OFFSET($DS$3,0,0,'Données projet'!$E$14+1,1))-AVERAGE(OFFSET($H$3,0,0,'Données projet'!$E$14+1,1))</f>
        <v>500.25828825677058</v>
      </c>
      <c r="DU53" s="62">
        <f t="shared" si="44"/>
        <v>313.56299786481338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28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1.472931418926382</v>
      </c>
      <c r="EC53" s="23">
        <f>EXP(-LN(2)/2)*EC52+(1-EXP(-LN(2)/2))/(LN(2)/2)*DW53*DZ53*VLOOKUP('Données projet'!$B$14,Paramètres!$A$1:$I$89,3,0)*0.475*44/12</f>
        <v>2.4540937637390046E-2</v>
      </c>
      <c r="ED53" s="24">
        <f t="shared" si="18"/>
        <v>1.497472356563772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231</v>
      </c>
      <c r="EH53" s="13">
        <f>VLOOKUP(A53,'Données projet'!$A$191:$I$211,9,0)</f>
        <v>11</v>
      </c>
      <c r="EI53" s="13">
        <f t="array" ref="EI53">INDEX(EH:EH,MIN(IF(ISNUMBER(EH53:EH249),ROW(EH53:EH249),"")))</f>
        <v>11</v>
      </c>
      <c r="EJ53" s="13">
        <f>IF('Données projet'!$A$192&gt;35,EJ52+EI53-ER52,IF(A53&lt;'Données projet'!$A$192,$EG$205^A53,IF(A53='Données projet'!$A$192,'Données projet'!$B$192,EJ52+EI53-ER52)))</f>
        <v>231.00000000000003</v>
      </c>
      <c r="EK53" s="18">
        <f>EJ53*VLOOKUP('Données projet'!$B$15,Paramètres!$A$1:$I$89,3,0)*VLOOKUP('Données projet'!$B$15,Paramètres!$A$1:$I$89,5,0)</f>
        <v>248.64840000000004</v>
      </c>
      <c r="EL53" s="14">
        <f t="shared" si="45"/>
        <v>60.296424802828774</v>
      </c>
      <c r="EM53" s="22">
        <f t="shared" si="19"/>
        <v>538.07890319826015</v>
      </c>
      <c r="EN53" s="62">
        <f t="shared" si="20"/>
        <v>793.19988472773025</v>
      </c>
      <c r="EO53" s="62">
        <f ca="1">AVERAGE(OFFSET($EN$3,0,0,'Données projet'!$E$15+1,1))-AVERAGE(OFFSET($H$3,0,0,'Données projet'!$E$15+1,1))</f>
        <v>548.17046467409421</v>
      </c>
      <c r="EP53" s="62">
        <f t="shared" si="46"/>
        <v>341.9250949809848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28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1.639230127514844</v>
      </c>
      <c r="EX53" s="23">
        <f>EXP(-LN(2)/2)*EX52+(1-EXP(-LN(2)/2))/(LN(2)/2)*ER53*EU53*VLOOKUP('Données projet'!$B$15,Paramètres!$A$1:$I$89,3,0)*0.475*44/12</f>
        <v>2.7311688660966321E-2</v>
      </c>
      <c r="EY53" s="24">
        <f t="shared" si="21"/>
        <v>1.6665418161758103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675.67295630565468</v>
      </c>
      <c r="S54" s="62">
        <f ca="1">AVERAGE(OFFSET($R$3,0,0,'Données projet'!$E$9+1,1))-AVERAGE(OFFSET($H$3,0,0,'Données projet'!$E$9+1,1))</f>
        <v>472.83070477639035</v>
      </c>
      <c r="T54" s="62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5.1006619514034908</v>
      </c>
      <c r="AB54" s="23">
        <f>EXP(-LN(2)/2)*AB53+(1-EXP(-LN(2)/2))/(LN(2)/2)*V54*Y54*VLOOKUP('Données projet'!$B$9,Paramètres!$A$1:$I$89,3,0)*0.475*44/12</f>
        <v>1.0295705817509732E-2</v>
      </c>
      <c r="AC54" s="24">
        <f t="shared" si="3"/>
        <v>5.1109576572210003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216.18480000000002</v>
      </c>
      <c r="AK54" s="14">
        <f t="shared" si="35"/>
        <v>53.284828478170375</v>
      </c>
      <c r="AL54" s="22">
        <f t="shared" si="4"/>
        <v>469.3262695994801</v>
      </c>
      <c r="AM54" s="62">
        <f t="shared" si="5"/>
        <v>725.11015000272687</v>
      </c>
      <c r="AN54" s="62">
        <f ca="1">AVERAGE(OFFSET($AM$3,0,0,'Données projet'!$E$10+1,1))-AVERAGE(OFFSET($H$3,0,0,'Données projet'!$E$10+1,1))</f>
        <v>520.80494930257237</v>
      </c>
      <c r="AO54" s="62">
        <f t="shared" si="36"/>
        <v>325.72635759450861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5.7162590834694305</v>
      </c>
      <c r="AW54" s="23">
        <f>EXP(-LN(2)/2)*AW53+(1-EXP(-LN(2)/2))/(LN(2)/2)*AQ54*AT54*VLOOKUP('Données projet'!$B$10,Paramètres!$A$1:$I$89,3,0)*0.475*44/12</f>
        <v>1.1538291002381577E-2</v>
      </c>
      <c r="AX54" s="23">
        <f t="shared" si="6"/>
        <v>5.7277973744718125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20.324285714285718</v>
      </c>
      <c r="BD54" s="13">
        <f>IF('Données projet'!$A$88&gt;35,BD53+BC54-BL53,IF(A54&lt;'Données projet'!$A$88,$BA$205^A54,IF(A54='Données projet'!$A$88,'Données projet'!$B$88,BD53+BC54-BL53)))</f>
        <v>431.86857142857144</v>
      </c>
      <c r="BE54" s="14">
        <f>BD54*VLOOKUP('Données projet'!$B$11,Paramètres!$A$1:$I$89,3,0)*VLOOKUP('Données projet'!$B$11,Paramètres!$A$1:$I$89,5,0)</f>
        <v>241.41453142857142</v>
      </c>
      <c r="BF54" s="14">
        <f t="shared" si="37"/>
        <v>58.743769641045859</v>
      </c>
      <c r="BG54" s="22">
        <f t="shared" si="7"/>
        <v>522.77570769625004</v>
      </c>
      <c r="BH54" s="62">
        <f t="shared" si="8"/>
        <v>778.55958809949686</v>
      </c>
      <c r="BI54" s="62">
        <f ca="1">AVERAGE(OFFSET($BH$3,0,0,'Données projet'!$E$11+1,1))-AVERAGE(OFFSET($H$3,0,0,'Données projet'!$E$11+1,1))</f>
        <v>321.60602866722138</v>
      </c>
      <c r="BJ54" s="62">
        <f t="shared" si="38"/>
        <v>375.18886653687389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8.4484941304339642</v>
      </c>
      <c r="BQ54" s="23">
        <f>EXP(-LN(2)/25)*BQ53+(1-EXP(-LN(2)/25))/(LN(2)/25)*Calculateur!BL54*Calculateur!BN54*VLOOKUP('Données projet'!$B$11,Paramètres!$A$1:$I$89,3,0)*0.475*44/12</f>
        <v>8.9227057542323411</v>
      </c>
      <c r="BR54" s="23">
        <f>EXP(-LN(2)/2)*BR53+(1-EXP(-LN(2)/2))/(LN(2)/2)*BL54*BO54*VLOOKUP('Données projet'!$B$11,Paramètres!$A$1:$I$89,3,0)*0.475*44/12</f>
        <v>5.0560407434484039E-3</v>
      </c>
      <c r="BS54" s="24">
        <f t="shared" si="9"/>
        <v>17.376255925409751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2.8421709430404007E-14</v>
      </c>
      <c r="BZ54" s="14">
        <f>BY54*VLOOKUP('Données projet'!$B$12,Paramètres!$A$1:$I$89,3,0)*VLOOKUP('Données projet'!$B$12,Paramètres!$A$1:$I$89,5,0)</f>
        <v>1.5518253349000589E-14</v>
      </c>
      <c r="CA54" s="14">
        <f t="shared" si="39"/>
        <v>2.8958815659671149E-13</v>
      </c>
      <c r="CB54" s="22">
        <f t="shared" si="10"/>
        <v>5.3139366398878183E-13</v>
      </c>
      <c r="CC54" s="62">
        <f t="shared" si="11"/>
        <v>255.78388040324737</v>
      </c>
      <c r="CD54" s="62">
        <f ca="1">AVERAGE(OFFSET($CC$3,0,0,'Données projet'!$E$12+1,1))-AVERAGE(OFFSET($H$3,0,0,'Données projet'!$E$12+1,1))</f>
        <v>182.44246264133781</v>
      </c>
      <c r="CE54" s="62">
        <f t="shared" si="40"/>
        <v>262.5818213397049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2.8429149880282232</v>
      </c>
      <c r="CL54" s="23">
        <f>EXP(-LN(2)/25)*CL53+(1-EXP(-LN(2)/25))/(LN(2)/25)*Calculateur!CG54*Calculateur!CI54*VLOOKUP('Données projet'!$B$12,Paramètres!$A$1:$I$89,3,0)*0.475*44/12</f>
        <v>10.111058388112591</v>
      </c>
      <c r="CM54" s="23">
        <f>EXP(-LN(2)/2)*CM53+(1-EXP(-LN(2)/2))/(LN(2)/2)*CG54*CJ54*VLOOKUP('Données projet'!$B$12,Paramètres!$A$1:$I$89,3,0)*0.475*44/12</f>
        <v>2.0844106100121812E-6</v>
      </c>
      <c r="CN54" s="24">
        <f t="shared" si="12"/>
        <v>12.953975460551424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13.5</v>
      </c>
      <c r="CT54" s="13">
        <f>IF('Données projet'!$A$140&gt;35,CT53+CS54-DB53,IF(A54&lt;'Données projet'!$A$140,$CQ$205^A54,IF(A54='Données projet'!$A$140,'Données projet'!$B$140,CT53+CS54-DB53)))</f>
        <v>390.49999999999989</v>
      </c>
      <c r="CU54" s="18">
        <f>CT54*VLOOKUP('Données projet'!$B$13,Paramètres!$A$1:$I$89,3,0)*VLOOKUP('Données projet'!$B$13,Paramètres!$A$1:$I$89,5,0)</f>
        <v>182.75399999999996</v>
      </c>
      <c r="CV54" s="14">
        <f t="shared" si="41"/>
        <v>45.934357911110212</v>
      </c>
      <c r="CW54" s="22">
        <f t="shared" si="13"/>
        <v>398.29889002851684</v>
      </c>
      <c r="CX54" s="62">
        <f t="shared" si="14"/>
        <v>654.08277043176372</v>
      </c>
      <c r="CY54" s="62">
        <f ca="1">AVERAGE(OFFSET($CX$3,0,0,'Données projet'!$E$13+1,1))-AVERAGE(OFFSET($H$3,0,0,'Données projet'!$E$13+1,1))</f>
        <v>426.87921482911719</v>
      </c>
      <c r="CZ54" s="62">
        <f t="shared" si="42"/>
        <v>313.49594674441835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213.20000000000002</v>
      </c>
      <c r="DP54" s="18">
        <f>DO54*VLOOKUP('Données projet'!$B$14,Paramètres!$A$1:$I$89,3,0)*VLOOKUP('Données projet'!$B$14,Paramètres!$A$1:$I$89,5,0)</f>
        <v>206.20704000000001</v>
      </c>
      <c r="DQ54" s="14">
        <f t="shared" si="43"/>
        <v>51.105851308113081</v>
      </c>
      <c r="DR54" s="22">
        <f t="shared" si="16"/>
        <v>448.15328569496359</v>
      </c>
      <c r="DS54" s="62">
        <f t="shared" si="17"/>
        <v>703.93716609821035</v>
      </c>
      <c r="DT54" s="62">
        <f ca="1">AVERAGE(OFFSET($DS$3,0,0,'Données projet'!$E$14+1,1))-AVERAGE(OFFSET($H$3,0,0,'Données projet'!$E$14+1,1))</f>
        <v>500.25828825677058</v>
      </c>
      <c r="DU54" s="62">
        <f t="shared" si="44"/>
        <v>313.56299786481338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1.4326540318177432</v>
      </c>
      <c r="EC54" s="23">
        <f>EXP(-LN(2)/2)*EC53+(1-EXP(-LN(2)/2))/(LN(2)/2)*DW54*DZ54*VLOOKUP('Données projet'!$B$14,Paramètres!$A$1:$I$89,3,0)*0.475*44/12</f>
        <v>1.7353063420074671E-2</v>
      </c>
      <c r="ED54" s="24">
        <f t="shared" si="18"/>
        <v>1.4500070952378179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10.199999999999999</v>
      </c>
      <c r="EJ54" s="13">
        <f>IF('Données projet'!$A$192&gt;35,EJ53+EI54-ER53,IF(A54&lt;'Données projet'!$A$192,$EG$205^A54,IF(A54='Données projet'!$A$192,'Données projet'!$B$192,EJ53+EI54-ER53)))</f>
        <v>213.20000000000002</v>
      </c>
      <c r="EK54" s="18">
        <f>EJ54*VLOOKUP('Données projet'!$B$15,Paramètres!$A$1:$I$89,3,0)*VLOOKUP('Données projet'!$B$15,Paramètres!$A$1:$I$89,5,0)</f>
        <v>229.48848000000001</v>
      </c>
      <c r="EL54" s="14">
        <f t="shared" si="45"/>
        <v>56.17206461989467</v>
      </c>
      <c r="EM54" s="22">
        <f t="shared" si="19"/>
        <v>497.52544854631657</v>
      </c>
      <c r="EN54" s="62">
        <f t="shared" si="20"/>
        <v>753.30932894956345</v>
      </c>
      <c r="EO54" s="62">
        <f ca="1">AVERAGE(OFFSET($EN$3,0,0,'Données projet'!$E$15+1,1))-AVERAGE(OFFSET($H$3,0,0,'Données projet'!$E$15+1,1))</f>
        <v>548.17046467409421</v>
      </c>
      <c r="EP54" s="62">
        <f t="shared" si="46"/>
        <v>341.9250949809848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1.5944052934745847</v>
      </c>
      <c r="EX54" s="23">
        <f>EXP(-LN(2)/2)*EX53+(1-EXP(-LN(2)/2))/(LN(2)/2)*ER54*EU54*VLOOKUP('Données projet'!$B$15,Paramètres!$A$1:$I$89,3,0)*0.475*44/12</f>
        <v>1.9312280257825023E-2</v>
      </c>
      <c r="EY54" s="24">
        <f t="shared" si="21"/>
        <v>1.6137175737324096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695.93583659018805</v>
      </c>
      <c r="S55" s="62">
        <f ca="1">AVERAGE(OFFSET($R$3,0,0,'Données projet'!$E$9+1,1))-AVERAGE(OFFSET($H$3,0,0,'Données projet'!$E$9+1,1))</f>
        <v>472.83070477639035</v>
      </c>
      <c r="T55" s="62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4.9611840821102078</v>
      </c>
      <c r="AB55" s="23">
        <f>EXP(-LN(2)/2)*AB54+(1-EXP(-LN(2)/2))/(LN(2)/2)*V55*Y55*VLOOKUP('Données projet'!$B$9,Paramètres!$A$1:$I$89,3,0)*0.475*44/12</f>
        <v>7.2801634006629187E-3</v>
      </c>
      <c r="AC55" s="24">
        <f t="shared" si="3"/>
        <v>4.9684642455108703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226.52760000000001</v>
      </c>
      <c r="AK55" s="14">
        <f t="shared" si="35"/>
        <v>55.531204013656371</v>
      </c>
      <c r="AL55" s="22">
        <f t="shared" si="4"/>
        <v>491.25241699045142</v>
      </c>
      <c r="AM55" s="62">
        <f t="shared" si="5"/>
        <v>747.68769645403472</v>
      </c>
      <c r="AN55" s="62">
        <f ca="1">AVERAGE(OFFSET($AM$3,0,0,'Données projet'!$E$10+1,1))-AVERAGE(OFFSET($H$3,0,0,'Données projet'!$E$10+1,1))</f>
        <v>520.80494930257237</v>
      </c>
      <c r="AO55" s="62">
        <f t="shared" si="36"/>
        <v>325.72635759450861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5.5599476782269583</v>
      </c>
      <c r="AW55" s="23">
        <f>EXP(-LN(2)/2)*AW54+(1-EXP(-LN(2)/2))/(LN(2)/2)*AQ55*AT55*VLOOKUP('Données projet'!$B$10,Paramètres!$A$1:$I$89,3,0)*0.475*44/12</f>
        <v>8.1588038110877396E-3</v>
      </c>
      <c r="AX55" s="23">
        <f t="shared" si="6"/>
        <v>5.5681064820380461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20.324285714285718</v>
      </c>
      <c r="BD55" s="13">
        <f>IF('Données projet'!$A$88&gt;35,BD54+BC55-BL54,IF(A55&lt;'Données projet'!$A$88,$BA$205^A55,IF(A55='Données projet'!$A$88,'Données projet'!$B$88,BD54+BC55-BL54)))</f>
        <v>452.19285714285718</v>
      </c>
      <c r="BE55" s="14">
        <f>BD55*VLOOKUP('Données projet'!$B$11,Paramètres!$A$1:$I$89,3,0)*VLOOKUP('Données projet'!$B$11,Paramètres!$A$1:$I$89,5,0)</f>
        <v>252.77580714285716</v>
      </c>
      <c r="BF55" s="14">
        <f t="shared" si="37"/>
        <v>61.179955647848509</v>
      </c>
      <c r="BG55" s="22">
        <f t="shared" si="7"/>
        <v>546.80628686047896</v>
      </c>
      <c r="BH55" s="62">
        <f t="shared" si="8"/>
        <v>803.24156632406232</v>
      </c>
      <c r="BI55" s="62">
        <f ca="1">AVERAGE(OFFSET($BH$3,0,0,'Données projet'!$E$11+1,1))-AVERAGE(OFFSET($H$3,0,0,'Données projet'!$E$11+1,1))</f>
        <v>321.60602866722138</v>
      </c>
      <c r="BJ55" s="62">
        <f t="shared" si="38"/>
        <v>375.18886653687389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8.2828243136087494</v>
      </c>
      <c r="BQ55" s="23">
        <f>EXP(-LN(2)/25)*BQ54+(1-EXP(-LN(2)/25))/(LN(2)/25)*Calculateur!BL55*Calculateur!BN55*VLOOKUP('Données projet'!$B$11,Paramètres!$A$1:$I$89,3,0)*0.475*44/12</f>
        <v>8.6787138961581558</v>
      </c>
      <c r="BR55" s="23">
        <f>EXP(-LN(2)/2)*BR54+(1-EXP(-LN(2)/2))/(LN(2)/2)*BL55*BO55*VLOOKUP('Données projet'!$B$11,Paramètres!$A$1:$I$89,3,0)*0.475*44/12</f>
        <v>3.5751606956478396E-3</v>
      </c>
      <c r="BS55" s="24">
        <f t="shared" si="9"/>
        <v>16.965113370462554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2.8421709430404007E-14</v>
      </c>
      <c r="BZ55" s="14">
        <f>BY55*VLOOKUP('Données projet'!$B$12,Paramètres!$A$1:$I$89,3,0)*VLOOKUP('Données projet'!$B$12,Paramètres!$A$1:$I$89,5,0)</f>
        <v>1.5518253349000589E-14</v>
      </c>
      <c r="CA55" s="14">
        <f t="shared" si="39"/>
        <v>2.8958815659671149E-13</v>
      </c>
      <c r="CB55" s="22">
        <f t="shared" si="10"/>
        <v>5.3139366398878183E-13</v>
      </c>
      <c r="CC55" s="62">
        <f t="shared" si="11"/>
        <v>256.43527946358387</v>
      </c>
      <c r="CD55" s="62">
        <f ca="1">AVERAGE(OFFSET($CC$3,0,0,'Données projet'!$E$12+1,1))-AVERAGE(OFFSET($H$3,0,0,'Données projet'!$E$12+1,1))</f>
        <v>182.44246264133781</v>
      </c>
      <c r="CE55" s="62">
        <f t="shared" si="40"/>
        <v>262.5818213397049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2.7871671591199134</v>
      </c>
      <c r="CL55" s="23">
        <f>EXP(-LN(2)/25)*CL54+(1-EXP(-LN(2)/25))/(LN(2)/25)*Calculateur!CG55*Calculateur!CI55*VLOOKUP('Données projet'!$B$12,Paramètres!$A$1:$I$89,3,0)*0.475*44/12</f>
        <v>9.8345709647722011</v>
      </c>
      <c r="CM55" s="23">
        <f>EXP(-LN(2)/2)*CM54+(1-EXP(-LN(2)/2))/(LN(2)/2)*CG55*CJ55*VLOOKUP('Données projet'!$B$12,Paramètres!$A$1:$I$89,3,0)*0.475*44/12</f>
        <v>1.4739008771168015E-6</v>
      </c>
      <c r="CN55" s="24">
        <f t="shared" si="12"/>
        <v>12.621739597792992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13.5</v>
      </c>
      <c r="CT55" s="13">
        <f>IF('Données projet'!$A$140&gt;35,CT54+CS55-DB54,IF(A55&lt;'Données projet'!$A$140,$CQ$205^A55,IF(A55='Données projet'!$A$140,'Données projet'!$B$140,CT54+CS55-DB54)))</f>
        <v>403.99999999999989</v>
      </c>
      <c r="CU55" s="18">
        <f>CT55*VLOOKUP('Données projet'!$B$13,Paramètres!$A$1:$I$89,3,0)*VLOOKUP('Données projet'!$B$13,Paramètres!$A$1:$I$89,5,0)</f>
        <v>189.07199999999992</v>
      </c>
      <c r="CV55" s="14">
        <f t="shared" si="41"/>
        <v>47.33472679972779</v>
      </c>
      <c r="CW55" s="22">
        <f t="shared" si="13"/>
        <v>411.74171584285909</v>
      </c>
      <c r="CX55" s="62">
        <f t="shared" si="14"/>
        <v>668.17699530644245</v>
      </c>
      <c r="CY55" s="62">
        <f ca="1">AVERAGE(OFFSET($CX$3,0,0,'Données projet'!$E$13+1,1))-AVERAGE(OFFSET($H$3,0,0,'Données projet'!$E$13+1,1))</f>
        <v>426.87921482911719</v>
      </c>
      <c r="CZ55" s="62">
        <f t="shared" si="42"/>
        <v>313.49594674441835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223.4</v>
      </c>
      <c r="DP55" s="18">
        <f>DO55*VLOOKUP('Données projet'!$B$14,Paramètres!$A$1:$I$89,3,0)*VLOOKUP('Données projet'!$B$14,Paramètres!$A$1:$I$89,5,0)</f>
        <v>216.07248000000001</v>
      </c>
      <c r="DQ55" s="14">
        <f t="shared" si="43"/>
        <v>53.260365780197098</v>
      </c>
      <c r="DR55" s="22">
        <f t="shared" si="16"/>
        <v>469.08803973384329</v>
      </c>
      <c r="DS55" s="62">
        <f t="shared" si="17"/>
        <v>725.52331919742664</v>
      </c>
      <c r="DT55" s="62">
        <f ca="1">AVERAGE(OFFSET($DS$3,0,0,'Données projet'!$E$14+1,1))-AVERAGE(OFFSET($H$3,0,0,'Données projet'!$E$14+1,1))</f>
        <v>500.25828825677058</v>
      </c>
      <c r="DU55" s="62">
        <f t="shared" si="44"/>
        <v>313.56299786481338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1.3934780319776858</v>
      </c>
      <c r="EC55" s="23">
        <f>EXP(-LN(2)/2)*EC54+(1-EXP(-LN(2)/2))/(LN(2)/2)*DW55*DZ55*VLOOKUP('Données projet'!$B$14,Paramètres!$A$1:$I$89,3,0)*0.475*44/12</f>
        <v>1.2270468818695023E-2</v>
      </c>
      <c r="ED55" s="24">
        <f t="shared" si="18"/>
        <v>1.4057485007963808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10.199999999999999</v>
      </c>
      <c r="EJ55" s="13">
        <f>IF('Données projet'!$A$192&gt;35,EJ54+EI55-ER54,IF(A55&lt;'Données projet'!$A$192,$EG$205^A55,IF(A55='Données projet'!$A$192,'Données projet'!$B$192,EJ54+EI55-ER54)))</f>
        <v>223.4</v>
      </c>
      <c r="EK55" s="18">
        <f>EJ55*VLOOKUP('Données projet'!$B$15,Paramètres!$A$1:$I$89,3,0)*VLOOKUP('Données projet'!$B$15,Paramètres!$A$1:$I$89,5,0)</f>
        <v>240.46776</v>
      </c>
      <c r="EL55" s="14">
        <f t="shared" si="45"/>
        <v>58.540159917256176</v>
      </c>
      <c r="EM55" s="22">
        <f t="shared" si="19"/>
        <v>520.77212718922112</v>
      </c>
      <c r="EN55" s="62">
        <f t="shared" si="20"/>
        <v>777.20740665280448</v>
      </c>
      <c r="EO55" s="62">
        <f ca="1">AVERAGE(OFFSET($EN$3,0,0,'Données projet'!$E$15+1,1))-AVERAGE(OFFSET($H$3,0,0,'Données projet'!$E$15+1,1))</f>
        <v>548.17046467409421</v>
      </c>
      <c r="EP55" s="62">
        <f t="shared" si="46"/>
        <v>341.9250949809848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1.5508061968783919</v>
      </c>
      <c r="EX55" s="23">
        <f>EXP(-LN(2)/2)*EX54+(1-EXP(-LN(2)/2))/(LN(2)/2)*ER55*EU55*VLOOKUP('Données projet'!$B$15,Paramètres!$A$1:$I$89,3,0)*0.475*44/12</f>
        <v>1.365584433048316E-2</v>
      </c>
      <c r="EY55" s="24">
        <f t="shared" si="21"/>
        <v>1.564462041208875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716.16865806460385</v>
      </c>
      <c r="S56" s="62">
        <f ca="1">AVERAGE(OFFSET($R$3,0,0,'Données projet'!$E$9+1,1))-AVERAGE(OFFSET($H$3,0,0,'Données projet'!$E$9+1,1))</f>
        <v>472.83070477639035</v>
      </c>
      <c r="T56" s="62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4.8255202424875723</v>
      </c>
      <c r="AB56" s="23">
        <f>EXP(-LN(2)/2)*AB55+(1-EXP(-LN(2)/2))/(LN(2)/2)*V56*Y56*VLOOKUP('Données projet'!$B$9,Paramètres!$A$1:$I$89,3,0)*0.475*44/12</f>
        <v>5.1478529087548661E-3</v>
      </c>
      <c r="AC56" s="24">
        <f t="shared" si="3"/>
        <v>4.8306680953963275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236.87040000000002</v>
      </c>
      <c r="AK56" s="14">
        <f t="shared" si="35"/>
        <v>57.765668276484661</v>
      </c>
      <c r="AL56" s="22">
        <f t="shared" si="4"/>
        <v>513.15781891487757</v>
      </c>
      <c r="AM56" s="62">
        <f t="shared" si="5"/>
        <v>770.23319712141074</v>
      </c>
      <c r="AN56" s="62">
        <f ca="1">AVERAGE(OFFSET($AM$3,0,0,'Données projet'!$E$10+1,1))-AVERAGE(OFFSET($H$3,0,0,'Données projet'!$E$10+1,1))</f>
        <v>520.80494930257237</v>
      </c>
      <c r="AO56" s="62">
        <f t="shared" si="36"/>
        <v>325.72635759450861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5.4079106165809012</v>
      </c>
      <c r="AW56" s="23">
        <f>EXP(-LN(2)/2)*AW55+(1-EXP(-LN(2)/2))/(LN(2)/2)*AQ56*AT56*VLOOKUP('Données projet'!$B$10,Paramètres!$A$1:$I$89,3,0)*0.475*44/12</f>
        <v>5.7691455011907884E-3</v>
      </c>
      <c r="AX56" s="23">
        <f t="shared" si="6"/>
        <v>5.4136797620820918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20.324285714285718</v>
      </c>
      <c r="BD56" s="13">
        <f>IF('Données projet'!$A$88&gt;35,BD55+BC56-BL55,IF(A56&lt;'Données projet'!$A$88,$BA$205^A56,IF(A56='Données projet'!$A$88,'Données projet'!$B$88,BD55+BC56-BL55)))</f>
        <v>472.51714285714291</v>
      </c>
      <c r="BE56" s="14">
        <f>BD56*VLOOKUP('Données projet'!$B$11,Paramètres!$A$1:$I$89,3,0)*VLOOKUP('Données projet'!$B$11,Paramètres!$A$1:$I$89,5,0)</f>
        <v>264.1370828571429</v>
      </c>
      <c r="BF56" s="14">
        <f t="shared" si="37"/>
        <v>63.60342497029243</v>
      </c>
      <c r="BG56" s="22">
        <f t="shared" si="7"/>
        <v>570.81471779944991</v>
      </c>
      <c r="BH56" s="62">
        <f t="shared" si="8"/>
        <v>827.8900960059832</v>
      </c>
      <c r="BI56" s="62">
        <f ca="1">AVERAGE(OFFSET($BH$3,0,0,'Données projet'!$E$11+1,1))-AVERAGE(OFFSET($H$3,0,0,'Données projet'!$E$11+1,1))</f>
        <v>321.60602866722138</v>
      </c>
      <c r="BJ56" s="62">
        <f t="shared" si="38"/>
        <v>375.18886653687389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8.1204031808428674</v>
      </c>
      <c r="BQ56" s="23">
        <f>EXP(-LN(2)/25)*BQ55+(1-EXP(-LN(2)/25))/(LN(2)/25)*Calculateur!BL56*Calculateur!BN56*VLOOKUP('Données projet'!$B$11,Paramètres!$A$1:$I$89,3,0)*0.475*44/12</f>
        <v>8.4413940082739831</v>
      </c>
      <c r="BR56" s="23">
        <f>EXP(-LN(2)/2)*BR55+(1-EXP(-LN(2)/2))/(LN(2)/2)*BL56*BO56*VLOOKUP('Données projet'!$B$11,Paramètres!$A$1:$I$89,3,0)*0.475*44/12</f>
        <v>2.5280203717242019E-3</v>
      </c>
      <c r="BS56" s="24">
        <f t="shared" si="9"/>
        <v>16.564325209488576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2.8421709430404007E-14</v>
      </c>
      <c r="BZ56" s="14">
        <f>BY56*VLOOKUP('Données projet'!$B$12,Paramètres!$A$1:$I$89,3,0)*VLOOKUP('Données projet'!$B$12,Paramètres!$A$1:$I$89,5,0)</f>
        <v>1.5518253349000589E-14</v>
      </c>
      <c r="CA56" s="14">
        <f t="shared" si="39"/>
        <v>2.8958815659671149E-13</v>
      </c>
      <c r="CB56" s="22">
        <f t="shared" si="10"/>
        <v>5.3139366398878183E-13</v>
      </c>
      <c r="CC56" s="62">
        <f t="shared" si="11"/>
        <v>257.07537820653374</v>
      </c>
      <c r="CD56" s="62">
        <f ca="1">AVERAGE(OFFSET($CC$3,0,0,'Données projet'!$E$12+1,1))-AVERAGE(OFFSET($H$3,0,0,'Données projet'!$E$12+1,1))</f>
        <v>182.44246264133781</v>
      </c>
      <c r="CE56" s="62">
        <f t="shared" si="40"/>
        <v>262.5818213397049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2.7325125111336774</v>
      </c>
      <c r="CL56" s="23">
        <f>EXP(-LN(2)/25)*CL55+(1-EXP(-LN(2)/25))/(LN(2)/25)*Calculateur!CG56*Calculateur!CI56*VLOOKUP('Données projet'!$B$12,Paramètres!$A$1:$I$89,3,0)*0.475*44/12</f>
        <v>9.5656441045628959</v>
      </c>
      <c r="CM56" s="23">
        <f>EXP(-LN(2)/2)*CM55+(1-EXP(-LN(2)/2))/(LN(2)/2)*CG56*CJ56*VLOOKUP('Données projet'!$B$12,Paramètres!$A$1:$I$89,3,0)*0.475*44/12</f>
        <v>1.0422053050060906E-6</v>
      </c>
      <c r="CN56" s="24">
        <f t="shared" si="12"/>
        <v>12.298157657901879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13.5</v>
      </c>
      <c r="CT56" s="13">
        <f>IF('Données projet'!$A$140&gt;35,CT55+CS56-DB55,IF(A56&lt;'Données projet'!$A$140,$CQ$205^A56,IF(A56='Données projet'!$A$140,'Données projet'!$B$140,CT55+CS56-DB55)))</f>
        <v>417.49999999999989</v>
      </c>
      <c r="CU56" s="18">
        <f>CT56*VLOOKUP('Données projet'!$B$13,Paramètres!$A$1:$I$89,3,0)*VLOOKUP('Données projet'!$B$13,Paramètres!$A$1:$I$89,5,0)</f>
        <v>195.38999999999996</v>
      </c>
      <c r="CV56" s="14">
        <f t="shared" si="41"/>
        <v>48.729658318340213</v>
      </c>
      <c r="CW56" s="22">
        <f t="shared" si="13"/>
        <v>425.17507157110907</v>
      </c>
      <c r="CX56" s="62">
        <f t="shared" si="14"/>
        <v>682.2504497776423</v>
      </c>
      <c r="CY56" s="62">
        <f ca="1">AVERAGE(OFFSET($CX$3,0,0,'Données projet'!$E$13+1,1))-AVERAGE(OFFSET($H$3,0,0,'Données projet'!$E$13+1,1))</f>
        <v>426.87921482911719</v>
      </c>
      <c r="CZ56" s="62">
        <f t="shared" si="42"/>
        <v>313.49594674441835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233.6</v>
      </c>
      <c r="DP56" s="18">
        <f>DO56*VLOOKUP('Données projet'!$B$14,Paramètres!$A$1:$I$89,3,0)*VLOOKUP('Données projet'!$B$14,Paramètres!$A$1:$I$89,5,0)</f>
        <v>225.93791999999999</v>
      </c>
      <c r="DQ56" s="14">
        <f t="shared" si="43"/>
        <v>55.403456067447962</v>
      </c>
      <c r="DR56" s="22">
        <f t="shared" si="16"/>
        <v>490.00289665080521</v>
      </c>
      <c r="DS56" s="62">
        <f t="shared" si="17"/>
        <v>747.07827485733844</v>
      </c>
      <c r="DT56" s="62">
        <f ca="1">AVERAGE(OFFSET($DS$3,0,0,'Données projet'!$E$14+1,1))-AVERAGE(OFFSET($H$3,0,0,'Données projet'!$E$14+1,1))</f>
        <v>500.25828825677058</v>
      </c>
      <c r="DU56" s="62">
        <f t="shared" si="44"/>
        <v>313.56299786481338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1.3553733019134311</v>
      </c>
      <c r="EC56" s="23">
        <f>EXP(-LN(2)/2)*EC55+(1-EXP(-LN(2)/2))/(LN(2)/2)*DW56*DZ56*VLOOKUP('Données projet'!$B$14,Paramètres!$A$1:$I$89,3,0)*0.475*44/12</f>
        <v>8.6765317100373357E-3</v>
      </c>
      <c r="ED56" s="24">
        <f t="shared" si="18"/>
        <v>1.3640498336234683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10.199999999999999</v>
      </c>
      <c r="EJ56" s="13">
        <f>IF('Données projet'!$A$192&gt;35,EJ55+EI56-ER55,IF(A56&lt;'Données projet'!$A$192,$EG$205^A56,IF(A56='Données projet'!$A$192,'Données projet'!$B$192,EJ55+EI56-ER55)))</f>
        <v>233.6</v>
      </c>
      <c r="EK56" s="18">
        <f>EJ56*VLOOKUP('Données projet'!$B$15,Paramètres!$A$1:$I$89,3,0)*VLOOKUP('Données projet'!$B$15,Paramètres!$A$1:$I$89,5,0)</f>
        <v>251.44704000000002</v>
      </c>
      <c r="EL56" s="14">
        <f t="shared" si="45"/>
        <v>60.895698530162839</v>
      </c>
      <c r="EM56" s="22">
        <f t="shared" si="19"/>
        <v>543.99693627336694</v>
      </c>
      <c r="EN56" s="62">
        <f t="shared" si="20"/>
        <v>801.07231447990011</v>
      </c>
      <c r="EO56" s="62">
        <f ca="1">AVERAGE(OFFSET($EN$3,0,0,'Données projet'!$E$15+1,1))-AVERAGE(OFFSET($H$3,0,0,'Données projet'!$E$15+1,1))</f>
        <v>548.17046467409421</v>
      </c>
      <c r="EP56" s="62">
        <f t="shared" si="46"/>
        <v>341.9250949809848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1.5083993198713987</v>
      </c>
      <c r="EX56" s="23">
        <f>EXP(-LN(2)/2)*EX55+(1-EXP(-LN(2)/2))/(LN(2)/2)*ER56*EU56*VLOOKUP('Données projet'!$B$15,Paramètres!$A$1:$I$89,3,0)*0.475*44/12</f>
        <v>9.6561401289125114E-3</v>
      </c>
      <c r="EY56" s="24">
        <f t="shared" si="21"/>
        <v>1.5180554600003113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736.37252945510068</v>
      </c>
      <c r="S57" s="62">
        <f ca="1">AVERAGE(OFFSET($R$3,0,0,'Données projet'!$E$9+1,1))-AVERAGE(OFFSET($H$3,0,0,'Données projet'!$E$9+1,1))</f>
        <v>472.83070477639035</v>
      </c>
      <c r="T57" s="62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4.6935661376936686</v>
      </c>
      <c r="AB57" s="23">
        <f>EXP(-LN(2)/2)*AB56+(1-EXP(-LN(2)/2))/(LN(2)/2)*V57*Y57*VLOOKUP('Données projet'!$B$9,Paramètres!$A$1:$I$89,3,0)*0.475*44/12</f>
        <v>3.6400817003314594E-3</v>
      </c>
      <c r="AC57" s="24">
        <f t="shared" si="3"/>
        <v>4.6972062193940003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247.2132</v>
      </c>
      <c r="AK57" s="14">
        <f t="shared" si="35"/>
        <v>59.988800807398761</v>
      </c>
      <c r="AL57" s="22">
        <f t="shared" si="4"/>
        <v>535.04348473955281</v>
      </c>
      <c r="AM57" s="62">
        <f t="shared" si="5"/>
        <v>792.74785740689208</v>
      </c>
      <c r="AN57" s="62">
        <f ca="1">AVERAGE(OFFSET($AM$3,0,0,'Données projet'!$E$10+1,1))-AVERAGE(OFFSET($H$3,0,0,'Données projet'!$E$10+1,1))</f>
        <v>520.80494930257237</v>
      </c>
      <c r="AO57" s="62">
        <f t="shared" si="36"/>
        <v>325.72635759450861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5.2600310163808368</v>
      </c>
      <c r="AW57" s="23">
        <f>EXP(-LN(2)/2)*AW56+(1-EXP(-LN(2)/2))/(LN(2)/2)*AQ57*AT57*VLOOKUP('Données projet'!$B$10,Paramètres!$A$1:$I$89,3,0)*0.475*44/12</f>
        <v>4.0794019055438698E-3</v>
      </c>
      <c r="AX57" s="23">
        <f t="shared" si="6"/>
        <v>5.2641104182863803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20.324285714285718</v>
      </c>
      <c r="BD57" s="13">
        <f>IF('Données projet'!$A$88&gt;35,BD56+BC57-BL56,IF(A57&lt;'Données projet'!$A$88,$BA$205^A57,IF(A57='Données projet'!$A$88,'Données projet'!$B$88,BD56+BC57-BL56)))</f>
        <v>492.84142857142865</v>
      </c>
      <c r="BE57" s="14">
        <f>BD57*VLOOKUP('Données projet'!$B$11,Paramètres!$A$1:$I$89,3,0)*VLOOKUP('Données projet'!$B$11,Paramètres!$A$1:$I$89,5,0)</f>
        <v>275.49835857142858</v>
      </c>
      <c r="BF57" s="14">
        <f t="shared" si="37"/>
        <v>66.0147871145425</v>
      </c>
      <c r="BG57" s="22">
        <f t="shared" si="7"/>
        <v>594.80206206973287</v>
      </c>
      <c r="BH57" s="62">
        <f t="shared" si="8"/>
        <v>852.50643473707214</v>
      </c>
      <c r="BI57" s="62">
        <f ca="1">AVERAGE(OFFSET($BH$3,0,0,'Données projet'!$E$11+1,1))-AVERAGE(OFFSET($H$3,0,0,'Données projet'!$E$11+1,1))</f>
        <v>321.60602866722138</v>
      </c>
      <c r="BJ57" s="62">
        <f t="shared" si="38"/>
        <v>375.18886653687389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7.9611670274234152</v>
      </c>
      <c r="BQ57" s="23">
        <f>EXP(-LN(2)/25)*BQ56+(1-EXP(-LN(2)/25))/(LN(2)/25)*Calculateur!BL57*Calculateur!BN57*VLOOKUP('Données projet'!$B$11,Paramètres!$A$1:$I$89,3,0)*0.475*44/12</f>
        <v>8.2105636452041129</v>
      </c>
      <c r="BR57" s="23">
        <f>EXP(-LN(2)/2)*BR56+(1-EXP(-LN(2)/2))/(LN(2)/2)*BL57*BO57*VLOOKUP('Données projet'!$B$11,Paramètres!$A$1:$I$89,3,0)*0.475*44/12</f>
        <v>1.7875803478239198E-3</v>
      </c>
      <c r="BS57" s="24">
        <f t="shared" si="9"/>
        <v>16.173518252975352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2.8421709430404007E-14</v>
      </c>
      <c r="BZ57" s="14">
        <f>BY57*VLOOKUP('Données projet'!$B$12,Paramètres!$A$1:$I$89,3,0)*VLOOKUP('Données projet'!$B$12,Paramètres!$A$1:$I$89,5,0)</f>
        <v>1.5518253349000589E-14</v>
      </c>
      <c r="CA57" s="14">
        <f t="shared" si="39"/>
        <v>2.8958815659671149E-13</v>
      </c>
      <c r="CB57" s="22">
        <f t="shared" si="10"/>
        <v>5.3139366398878183E-13</v>
      </c>
      <c r="CC57" s="62">
        <f t="shared" si="11"/>
        <v>257.70437266733984</v>
      </c>
      <c r="CD57" s="62">
        <f ca="1">AVERAGE(OFFSET($CC$3,0,0,'Données projet'!$E$12+1,1))-AVERAGE(OFFSET($H$3,0,0,'Données projet'!$E$12+1,1))</f>
        <v>182.44246264133781</v>
      </c>
      <c r="CE57" s="62">
        <f t="shared" si="40"/>
        <v>262.5818213397049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2.6789296074584081</v>
      </c>
      <c r="CL57" s="23">
        <f>EXP(-LN(2)/25)*CL56+(1-EXP(-LN(2)/25))/(LN(2)/25)*Calculateur!CG57*Calculateur!CI57*VLOOKUP('Données projet'!$B$12,Paramètres!$A$1:$I$89,3,0)*0.475*44/12</f>
        <v>9.3040710634882622</v>
      </c>
      <c r="CM57" s="23">
        <f>EXP(-LN(2)/2)*CM56+(1-EXP(-LN(2)/2))/(LN(2)/2)*CG57*CJ57*VLOOKUP('Données projet'!$B$12,Paramètres!$A$1:$I$89,3,0)*0.475*44/12</f>
        <v>7.3695043855840075E-7</v>
      </c>
      <c r="CN57" s="24">
        <f t="shared" si="12"/>
        <v>11.983001407897108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13.5</v>
      </c>
      <c r="CT57" s="13">
        <f>IF('Données projet'!$A$140&gt;35,CT56+CS57-DB56,IF(A57&lt;'Données projet'!$A$140,$CQ$205^A57,IF(A57='Données projet'!$A$140,'Données projet'!$B$140,CT56+CS57-DB56)))</f>
        <v>430.99999999999989</v>
      </c>
      <c r="CU57" s="18">
        <f>CT57*VLOOKUP('Données projet'!$B$13,Paramètres!$A$1:$I$89,3,0)*VLOOKUP('Données projet'!$B$13,Paramètres!$A$1:$I$89,5,0)</f>
        <v>201.70799999999994</v>
      </c>
      <c r="CV57" s="14">
        <f t="shared" si="41"/>
        <v>50.119348451854243</v>
      </c>
      <c r="CW57" s="22">
        <f t="shared" si="13"/>
        <v>438.59929855364607</v>
      </c>
      <c r="CX57" s="62">
        <f t="shared" si="14"/>
        <v>696.30367122098539</v>
      </c>
      <c r="CY57" s="62">
        <f ca="1">AVERAGE(OFFSET($CX$3,0,0,'Données projet'!$E$13+1,1))-AVERAGE(OFFSET($H$3,0,0,'Données projet'!$E$13+1,1))</f>
        <v>426.87921482911719</v>
      </c>
      <c r="CZ57" s="62">
        <f t="shared" si="42"/>
        <v>313.49594674441835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243.79999999999998</v>
      </c>
      <c r="DP57" s="18">
        <f>DO57*VLOOKUP('Données projet'!$B$14,Paramètres!$A$1:$I$89,3,0)*VLOOKUP('Données projet'!$B$14,Paramètres!$A$1:$I$89,5,0)</f>
        <v>235.80335999999997</v>
      </c>
      <c r="DQ57" s="14">
        <f t="shared" si="43"/>
        <v>57.53567801144218</v>
      </c>
      <c r="DR57" s="22">
        <f t="shared" si="16"/>
        <v>510.89882453659499</v>
      </c>
      <c r="DS57" s="62">
        <f t="shared" si="17"/>
        <v>768.60319720393431</v>
      </c>
      <c r="DT57" s="62">
        <f ca="1">AVERAGE(OFFSET($DS$3,0,0,'Données projet'!$E$14+1,1))-AVERAGE(OFFSET($H$3,0,0,'Données projet'!$E$14+1,1))</f>
        <v>500.25828825677058</v>
      </c>
      <c r="DU57" s="62">
        <f t="shared" si="44"/>
        <v>313.56299786481338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1.3183105476966241</v>
      </c>
      <c r="EC57" s="23">
        <f>EXP(-LN(2)/2)*EC56+(1-EXP(-LN(2)/2))/(LN(2)/2)*DW57*DZ57*VLOOKUP('Données projet'!$B$14,Paramètres!$A$1:$I$89,3,0)*0.475*44/12</f>
        <v>6.1352344093475114E-3</v>
      </c>
      <c r="ED57" s="24">
        <f t="shared" si="18"/>
        <v>1.3244457821059716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10.199999999999999</v>
      </c>
      <c r="EJ57" s="13">
        <f>IF('Données projet'!$A$192&gt;35,EJ56+EI57-ER56,IF(A57&lt;'Données projet'!$A$192,$EG$205^A57,IF(A57='Données projet'!$A$192,'Données projet'!$B$192,EJ56+EI57-ER56)))</f>
        <v>243.79999999999998</v>
      </c>
      <c r="EK57" s="18">
        <f>EJ57*VLOOKUP('Données projet'!$B$15,Paramètres!$A$1:$I$89,3,0)*VLOOKUP('Données projet'!$B$15,Paramètres!$A$1:$I$89,5,0)</f>
        <v>262.42631999999998</v>
      </c>
      <c r="EL57" s="14">
        <f t="shared" si="45"/>
        <v>63.239291401748304</v>
      </c>
      <c r="EM57" s="22">
        <f t="shared" si="19"/>
        <v>567.20093985804488</v>
      </c>
      <c r="EN57" s="62">
        <f t="shared" si="20"/>
        <v>824.90531252538426</v>
      </c>
      <c r="EO57" s="62">
        <f ca="1">AVERAGE(OFFSET($EN$3,0,0,'Données projet'!$E$15+1,1))-AVERAGE(OFFSET($H$3,0,0,'Données projet'!$E$15+1,1))</f>
        <v>548.17046467409421</v>
      </c>
      <c r="EP57" s="62">
        <f t="shared" si="46"/>
        <v>341.9250949809848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1.4671520611462425</v>
      </c>
      <c r="EX57" s="23">
        <f>EXP(-LN(2)/2)*EX56+(1-EXP(-LN(2)/2))/(LN(2)/2)*ER57*EU57*VLOOKUP('Données projet'!$B$15,Paramètres!$A$1:$I$89,3,0)*0.475*44/12</f>
        <v>6.8279221652415801E-3</v>
      </c>
      <c r="EY57" s="24">
        <f t="shared" si="21"/>
        <v>1.4739799833114842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756.54847539707771</v>
      </c>
      <c r="S58" s="62">
        <f ca="1">AVERAGE(OFFSET($R$3,0,0,'Données projet'!$E$9+1,1))-AVERAGE(OFFSET($H$3,0,0,'Données projet'!$E$9+1,1))</f>
        <v>472.83070477639035</v>
      </c>
      <c r="T58" s="62">
        <f t="shared" si="34"/>
        <v>297.32483725004136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4.5652203248345193</v>
      </c>
      <c r="AB58" s="23">
        <f>EXP(-LN(2)/2)*AB57+(1-EXP(-LN(2)/2))/(LN(2)/2)*V58*Y58*VLOOKUP('Données projet'!$B$9,Paramètres!$A$1:$I$89,3,0)*0.475*44/12</f>
        <v>2.5739264543774331E-3</v>
      </c>
      <c r="AC58" s="24">
        <f t="shared" si="3"/>
        <v>4.5677942512888965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257.55599999999998</v>
      </c>
      <c r="AK58" s="14">
        <f t="shared" si="35"/>
        <v>62.201129910568184</v>
      </c>
      <c r="AL58" s="22">
        <f t="shared" si="4"/>
        <v>556.91033459423954</v>
      </c>
      <c r="AM58" s="62">
        <f t="shared" si="5"/>
        <v>815.23279007471092</v>
      </c>
      <c r="AN58" s="62">
        <f ca="1">AVERAGE(OFFSET($AM$3,0,0,'Données projet'!$E$10+1,1))-AVERAGE(OFFSET($H$3,0,0,'Données projet'!$E$10+1,1))</f>
        <v>520.80494930257237</v>
      </c>
      <c r="AO58" s="62">
        <f t="shared" si="36"/>
        <v>325.72635759450861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5.116195191624894</v>
      </c>
      <c r="AW58" s="23">
        <f>EXP(-LN(2)/2)*AW57+(1-EXP(-LN(2)/2))/(LN(2)/2)*AQ58*AT58*VLOOKUP('Données projet'!$B$10,Paramètres!$A$1:$I$89,3,0)*0.475*44/12</f>
        <v>2.8845727505953942E-3</v>
      </c>
      <c r="AX58" s="23">
        <f t="shared" si="6"/>
        <v>5.1190797643754893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20.324285714285718</v>
      </c>
      <c r="BD58" s="13">
        <f>IF('Données projet'!$A$88&gt;35,BD57+BC58-BL57,IF(A58&lt;'Données projet'!$A$88,$BA$205^A58,IF(A58='Données projet'!$A$88,'Données projet'!$B$88,BD57+BC58-BL57)))</f>
        <v>513.16571428571433</v>
      </c>
      <c r="BE58" s="14">
        <f>BD58*VLOOKUP('Données projet'!$B$11,Paramètres!$A$1:$I$89,3,0)*VLOOKUP('Données projet'!$B$11,Paramètres!$A$1:$I$89,5,0)</f>
        <v>286.85963428571432</v>
      </c>
      <c r="BF58" s="14">
        <f t="shared" si="37"/>
        <v>68.414598471463037</v>
      </c>
      <c r="BG58" s="22">
        <f t="shared" si="7"/>
        <v>618.76928871875054</v>
      </c>
      <c r="BH58" s="62">
        <f t="shared" si="8"/>
        <v>877.09174419922192</v>
      </c>
      <c r="BI58" s="62">
        <f ca="1">AVERAGE(OFFSET($BH$3,0,0,'Données projet'!$E$11+1,1))-AVERAGE(OFFSET($H$3,0,0,'Données projet'!$E$11+1,1))</f>
        <v>321.60602866722138</v>
      </c>
      <c r="BJ58" s="62">
        <f t="shared" si="38"/>
        <v>375.18886653687389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7.805053397848055</v>
      </c>
      <c r="BQ58" s="23">
        <f>EXP(-LN(2)/25)*BQ57+(1-EXP(-LN(2)/25))/(LN(2)/25)*Calculateur!BL58*Calculateur!BN58*VLOOKUP('Données projet'!$B$11,Paramètres!$A$1:$I$89,3,0)*0.475*44/12</f>
        <v>7.9860453505512297</v>
      </c>
      <c r="BR58" s="23">
        <f>EXP(-LN(2)/2)*BR57+(1-EXP(-LN(2)/2))/(LN(2)/2)*BL58*BO58*VLOOKUP('Données projet'!$B$11,Paramètres!$A$1:$I$89,3,0)*0.475*44/12</f>
        <v>1.264010185862101E-3</v>
      </c>
      <c r="BS58" s="24">
        <f t="shared" si="9"/>
        <v>15.792362758585147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2.8421709430404007E-14</v>
      </c>
      <c r="BZ58" s="14">
        <f>BY58*VLOOKUP('Données projet'!$B$12,Paramètres!$A$1:$I$89,3,0)*VLOOKUP('Données projet'!$B$12,Paramètres!$A$1:$I$89,5,0)</f>
        <v>1.5518253349000589E-14</v>
      </c>
      <c r="CA58" s="14">
        <f t="shared" si="39"/>
        <v>2.8958815659671149E-13</v>
      </c>
      <c r="CB58" s="22">
        <f t="shared" si="10"/>
        <v>5.3139366398878183E-13</v>
      </c>
      <c r="CC58" s="62">
        <f t="shared" si="11"/>
        <v>258.32245548047189</v>
      </c>
      <c r="CD58" s="62">
        <f ca="1">AVERAGE(OFFSET($CC$3,0,0,'Données projet'!$E$12+1,1))-AVERAGE(OFFSET($H$3,0,0,'Données projet'!$E$12+1,1))</f>
        <v>182.44246264133781</v>
      </c>
      <c r="CE58" s="62">
        <f t="shared" si="40"/>
        <v>262.5818213397049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2.6263974318418666</v>
      </c>
      <c r="CL58" s="23">
        <f>EXP(-LN(2)/25)*CL57+(1-EXP(-LN(2)/25))/(LN(2)/25)*Calculateur!CG58*Calculateur!CI58*VLOOKUP('Données projet'!$B$12,Paramètres!$A$1:$I$89,3,0)*0.475*44/12</f>
        <v>9.0496507509773423</v>
      </c>
      <c r="CM58" s="23">
        <f>EXP(-LN(2)/2)*CM57+(1-EXP(-LN(2)/2))/(LN(2)/2)*CG58*CJ58*VLOOKUP('Données projet'!$B$12,Paramètres!$A$1:$I$89,3,0)*0.475*44/12</f>
        <v>5.2110265250304531E-7</v>
      </c>
      <c r="CN58" s="24">
        <f t="shared" si="12"/>
        <v>11.676048703921861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13.5</v>
      </c>
      <c r="CT58" s="13">
        <f>IF('Données projet'!$A$140&gt;35,CT57+CS58-DB57,IF(A58&lt;'Données projet'!$A$140,$CQ$205^A58,IF(A58='Données projet'!$A$140,'Données projet'!$B$140,CT57+CS58-DB57)))</f>
        <v>444.49999999999989</v>
      </c>
      <c r="CU58" s="18">
        <f>CT58*VLOOKUP('Données projet'!$B$13,Paramètres!$A$1:$I$89,3,0)*VLOOKUP('Données projet'!$B$13,Paramètres!$A$1:$I$89,5,0)</f>
        <v>208.02599999999995</v>
      </c>
      <c r="CV58" s="14">
        <f t="shared" si="41"/>
        <v>51.503980210368603</v>
      </c>
      <c r="CW58" s="22">
        <f t="shared" si="13"/>
        <v>452.01471553305851</v>
      </c>
      <c r="CX58" s="62">
        <f t="shared" si="14"/>
        <v>710.33717101352988</v>
      </c>
      <c r="CY58" s="62">
        <f ca="1">AVERAGE(OFFSET($CX$3,0,0,'Données projet'!$E$13+1,1))-AVERAGE(OFFSET($H$3,0,0,'Données projet'!$E$13+1,1))</f>
        <v>426.87921482911719</v>
      </c>
      <c r="CZ58" s="62">
        <f t="shared" si="42"/>
        <v>313.49594674441835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254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253.99999999999997</v>
      </c>
      <c r="DP58" s="18">
        <f>DO58*VLOOKUP('Données projet'!$B$14,Paramètres!$A$1:$I$89,3,0)*VLOOKUP('Données projet'!$B$14,Paramètres!$A$1:$I$89,5,0)</f>
        <v>245.6688</v>
      </c>
      <c r="DQ58" s="14">
        <f t="shared" si="43"/>
        <v>59.657538312400263</v>
      </c>
      <c r="DR58" s="22">
        <f t="shared" si="16"/>
        <v>531.77670589409706</v>
      </c>
      <c r="DS58" s="62">
        <f t="shared" si="17"/>
        <v>790.09916137456844</v>
      </c>
      <c r="DT58" s="62">
        <f ca="1">AVERAGE(OFFSET($DS$3,0,0,'Données projet'!$E$14+1,1))-AVERAGE(OFFSET($H$3,0,0,'Données projet'!$E$14+1,1))</f>
        <v>500.25828825677058</v>
      </c>
      <c r="DU58" s="62">
        <f t="shared" si="44"/>
        <v>313.56299786481338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1.2822612764429213</v>
      </c>
      <c r="EC58" s="23">
        <f>EXP(-LN(2)/2)*EC57+(1-EXP(-LN(2)/2))/(LN(2)/2)*DW58*DZ58*VLOOKUP('Données projet'!$B$14,Paramètres!$A$1:$I$89,3,0)*0.475*44/12</f>
        <v>4.3382658550186678E-3</v>
      </c>
      <c r="ED58" s="24">
        <f t="shared" si="18"/>
        <v>1.2865995422979399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254</v>
      </c>
      <c r="EH58" s="13">
        <f>VLOOKUP(A58,'Données projet'!$A$191:$I$211,9,0)</f>
        <v>10.199999999999999</v>
      </c>
      <c r="EI58" s="13">
        <f t="array" ref="EI58">INDEX(EH:EH,MIN(IF(ISNUMBER(EH58:EH254),ROW(EH58:EH254),"")))</f>
        <v>10.199999999999999</v>
      </c>
      <c r="EJ58" s="13">
        <f>IF('Données projet'!$A$192&gt;35,EJ57+EI58-ER57,IF(A58&lt;'Données projet'!$A$192,$EG$205^A58,IF(A58='Données projet'!$A$192,'Données projet'!$B$192,EJ57+EI58-ER57)))</f>
        <v>253.99999999999997</v>
      </c>
      <c r="EK58" s="18">
        <f>EJ58*VLOOKUP('Données projet'!$B$15,Paramètres!$A$1:$I$89,3,0)*VLOOKUP('Données projet'!$B$15,Paramètres!$A$1:$I$89,5,0)</f>
        <v>273.40559999999994</v>
      </c>
      <c r="EL58" s="14">
        <f t="shared" si="45"/>
        <v>65.571495462320897</v>
      </c>
      <c r="EM58" s="22">
        <f t="shared" si="19"/>
        <v>590.38510793020873</v>
      </c>
      <c r="EN58" s="62">
        <f t="shared" si="20"/>
        <v>848.70756341068011</v>
      </c>
      <c r="EO58" s="62">
        <f ca="1">AVERAGE(OFFSET($EN$3,0,0,'Données projet'!$E$15+1,1))-AVERAGE(OFFSET($H$3,0,0,'Données projet'!$E$15+1,1))</f>
        <v>548.17046467409421</v>
      </c>
      <c r="EP58" s="62">
        <f t="shared" si="46"/>
        <v>341.9250949809848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28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1.4270327108800249</v>
      </c>
      <c r="EX58" s="23">
        <f>EXP(-LN(2)/2)*EX57+(1-EXP(-LN(2)/2))/(LN(2)/2)*ER58*EU58*VLOOKUP('Données projet'!$B$15,Paramètres!$A$1:$I$89,3,0)*0.475*44/12</f>
        <v>4.8280700644562557E-3</v>
      </c>
      <c r="EY58" s="24">
        <f t="shared" si="21"/>
        <v>1.4318607809444812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472.83070477639035</v>
      </c>
      <c r="T59" s="62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4.4403841349774167</v>
      </c>
      <c r="AB59" s="23">
        <f>EXP(-LN(2)/2)*AB58+(1-EXP(-LN(2)/2))/(LN(2)/2)*V59*Y59*VLOOKUP('Données projet'!$B$9,Paramètres!$A$1:$I$89,3,0)*0.475*44/12</f>
        <v>1.8200408501657297E-3</v>
      </c>
      <c r="AC59" s="24">
        <f t="shared" si="3"/>
        <v>4.4422041758275821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2">
        <f t="shared" si="5"/>
        <v>775.95121797579418</v>
      </c>
      <c r="AN59" s="62">
        <f ca="1">AVERAGE(OFFSET($AM$3,0,0,'Données projet'!$E$10+1,1))-AVERAGE(OFFSET($H$3,0,0,'Données projet'!$E$10+1,1))</f>
        <v>520.80494930257237</v>
      </c>
      <c r="AO59" s="62">
        <f t="shared" si="36"/>
        <v>325.72635759450861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4.9762925650608993</v>
      </c>
      <c r="AW59" s="23">
        <f>EXP(-LN(2)/2)*AW58+(1-EXP(-LN(2)/2))/(LN(2)/2)*AQ59*AT59*VLOOKUP('Données projet'!$B$10,Paramètres!$A$1:$I$89,3,0)*0.475*44/12</f>
        <v>2.0397009527719349E-3</v>
      </c>
      <c r="AX59" s="23">
        <f t="shared" si="6"/>
        <v>4.9783322660136715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533.49</v>
      </c>
      <c r="BB59" s="13">
        <f>VLOOKUP(A59,'Données projet'!$A$87:$I$107,9,0)</f>
        <v>20.324285714285718</v>
      </c>
      <c r="BC59" s="13">
        <f t="array" ref="BC59">INDEX(BB:BB,MIN(IF(ISNUMBER(BB59:BB255),ROW(BB59:BB255),"")))</f>
        <v>20.324285714285718</v>
      </c>
      <c r="BD59" s="13">
        <f>IF('Données projet'!$A$88&gt;35,BD58+BC59-BL58,IF(A59&lt;'Données projet'!$A$88,$BA$205^A59,IF(A59='Données projet'!$A$88,'Données projet'!$B$88,BD58+BC59-BL58)))</f>
        <v>533.49</v>
      </c>
      <c r="BE59" s="14">
        <f>BD59*VLOOKUP('Données projet'!$B$11,Paramètres!$A$1:$I$89,3,0)*VLOOKUP('Données projet'!$B$11,Paramètres!$A$1:$I$89,5,0)</f>
        <v>298.22091</v>
      </c>
      <c r="BF59" s="14">
        <f t="shared" si="37"/>
        <v>70.803368864473384</v>
      </c>
      <c r="BG59" s="22">
        <f t="shared" si="7"/>
        <v>642.71728568895776</v>
      </c>
      <c r="BH59" s="62">
        <f t="shared" si="8"/>
        <v>901.64710162757956</v>
      </c>
      <c r="BI59" s="62">
        <f ca="1">AVERAGE(OFFSET($BH$3,0,0,'Données projet'!$E$11+1,1))-AVERAGE(OFFSET($H$3,0,0,'Données projet'!$E$11+1,1))</f>
        <v>321.60602866722138</v>
      </c>
      <c r="BJ59" s="62">
        <f t="shared" si="38"/>
        <v>375.18886653687389</v>
      </c>
      <c r="BK59" s="16">
        <f>IF(ISNA(VLOOKUP(A59,'Données projet'!$A$87:$I$107,3,0)),0,VLOOKUP(A59,'Données projet'!$A$87:$I$107,3,0))</f>
        <v>7</v>
      </c>
      <c r="BL59" s="16">
        <f>IF(ISNA(VLOOKUP(A59,'Données projet'!$A$87:$I$107,4,0)),0,VLOOKUP(A59,'Données projet'!$A$87:$I$107,4,0))</f>
        <v>94.57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7.6520010613287557</v>
      </c>
      <c r="BQ59" s="23">
        <f>EXP(-LN(2)/25)*BQ58+(1-EXP(-LN(2)/25))/(LN(2)/25)*Calculateur!BL59*Calculateur!BN59*VLOOKUP('Données projet'!$B$11,Paramètres!$A$1:$I$89,3,0)*0.475*44/12</f>
        <v>7.7676665204725337</v>
      </c>
      <c r="BR59" s="23">
        <f>EXP(-LN(2)/2)*BR58+(1-EXP(-LN(2)/2))/(LN(2)/2)*BL59*BO59*VLOOKUP('Données projet'!$B$11,Paramètres!$A$1:$I$89,3,0)*0.475*44/12</f>
        <v>8.9379017391195991E-4</v>
      </c>
      <c r="BS59" s="24">
        <f t="shared" si="9"/>
        <v>15.4205613719752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2.8421709430404007E-14</v>
      </c>
      <c r="BZ59" s="14">
        <f>BY59*VLOOKUP('Données projet'!$B$12,Paramètres!$A$1:$I$89,3,0)*VLOOKUP('Données projet'!$B$12,Paramètres!$A$1:$I$89,5,0)</f>
        <v>1.5518253349000589E-14</v>
      </c>
      <c r="CA59" s="14">
        <f t="shared" si="39"/>
        <v>2.8958815659671149E-13</v>
      </c>
      <c r="CB59" s="22">
        <f t="shared" si="10"/>
        <v>5.3139366398878183E-13</v>
      </c>
      <c r="CC59" s="62">
        <f t="shared" si="11"/>
        <v>258.92981593862226</v>
      </c>
      <c r="CD59" s="62">
        <f ca="1">AVERAGE(OFFSET($CC$3,0,0,'Données projet'!$E$12+1,1))-AVERAGE(OFFSET($H$3,0,0,'Données projet'!$E$12+1,1))</f>
        <v>182.44246264133781</v>
      </c>
      <c r="CE59" s="62">
        <f t="shared" si="40"/>
        <v>262.5818213397049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2.5748953801477024</v>
      </c>
      <c r="CL59" s="23">
        <f>EXP(-LN(2)/25)*CL58+(1-EXP(-LN(2)/25))/(LN(2)/25)*Calculateur!CG59*Calculateur!CI59*VLOOKUP('Données projet'!$B$12,Paramètres!$A$1:$I$89,3,0)*0.475*44/12</f>
        <v>8.8021875752914163</v>
      </c>
      <c r="CM59" s="23">
        <f>EXP(-LN(2)/2)*CM58+(1-EXP(-LN(2)/2))/(LN(2)/2)*CG59*CJ59*VLOOKUP('Données projet'!$B$12,Paramètres!$A$1:$I$89,3,0)*0.475*44/12</f>
        <v>3.6847521927920037E-7</v>
      </c>
      <c r="CN59" s="24">
        <f t="shared" si="12"/>
        <v>11.377083323914338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13.5</v>
      </c>
      <c r="CT59" s="13">
        <f>IF('Données projet'!$A$140&gt;35,CT58+CS59-DB58,IF(A59&lt;'Données projet'!$A$140,$CQ$205^A59,IF(A59='Données projet'!$A$140,'Données projet'!$B$140,CT58+CS59-DB58)))</f>
        <v>457.99999999999989</v>
      </c>
      <c r="CU59" s="18">
        <f>CT59*VLOOKUP('Données projet'!$B$13,Paramètres!$A$1:$I$89,3,0)*VLOOKUP('Données projet'!$B$13,Paramètres!$A$1:$I$89,5,0)</f>
        <v>214.34399999999997</v>
      </c>
      <c r="CV59" s="14">
        <f t="shared" si="41"/>
        <v>52.883724855822585</v>
      </c>
      <c r="CW59" s="22">
        <f t="shared" si="13"/>
        <v>465.4216207905576</v>
      </c>
      <c r="CX59" s="62">
        <f t="shared" si="14"/>
        <v>724.35143672917934</v>
      </c>
      <c r="CY59" s="62">
        <f ca="1">AVERAGE(OFFSET($CX$3,0,0,'Données projet'!$E$13+1,1))-AVERAGE(OFFSET($H$3,0,0,'Données projet'!$E$13+1,1))</f>
        <v>426.87921482911719</v>
      </c>
      <c r="CZ59" s="62">
        <f t="shared" si="42"/>
        <v>313.49594674441835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227.67887999999996</v>
      </c>
      <c r="DQ59" s="14">
        <f t="shared" si="43"/>
        <v>55.780505229774469</v>
      </c>
      <c r="DR59" s="22">
        <f t="shared" si="16"/>
        <v>493.69176260852379</v>
      </c>
      <c r="DS59" s="62">
        <f t="shared" si="17"/>
        <v>752.62157854714553</v>
      </c>
      <c r="DT59" s="62">
        <f ca="1">AVERAGE(OFFSET($DS$3,0,0,'Données projet'!$E$14+1,1))-AVERAGE(OFFSET($H$3,0,0,'Données projet'!$E$14+1,1))</f>
        <v>500.25828825677058</v>
      </c>
      <c r="DU59" s="62">
        <f t="shared" si="44"/>
        <v>313.56299786481338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1.2471977744073997</v>
      </c>
      <c r="EC59" s="23">
        <f>EXP(-LN(2)/2)*EC58+(1-EXP(-LN(2)/2))/(LN(2)/2)*DW59*DZ59*VLOOKUP('Données projet'!$B$14,Paramètres!$A$1:$I$89,3,0)*0.475*44/12</f>
        <v>3.0676172046737557E-3</v>
      </c>
      <c r="ED59" s="24">
        <f t="shared" si="18"/>
        <v>1.2502653916120734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9.4</v>
      </c>
      <c r="EJ59" s="13">
        <f>IF('Données projet'!$A$192&gt;35,EJ58+EI59-ER58,IF(A59&lt;'Données projet'!$A$192,$EG$205^A59,IF(A59='Données projet'!$A$192,'Données projet'!$B$192,EJ58+EI59-ER58)))</f>
        <v>235.39999999999998</v>
      </c>
      <c r="EK59" s="18">
        <f>EJ59*VLOOKUP('Données projet'!$B$15,Paramètres!$A$1:$I$89,3,0)*VLOOKUP('Données projet'!$B$15,Paramètres!$A$1:$I$89,5,0)</f>
        <v>253.38455999999994</v>
      </c>
      <c r="EL59" s="14">
        <f t="shared" si="45"/>
        <v>61.310125241957316</v>
      </c>
      <c r="EM59" s="22">
        <f t="shared" si="19"/>
        <v>548.09324346307551</v>
      </c>
      <c r="EN59" s="62">
        <f t="shared" si="20"/>
        <v>807.02305940169731</v>
      </c>
      <c r="EO59" s="62">
        <f ca="1">AVERAGE(OFFSET($EN$3,0,0,'Données projet'!$E$15+1,1))-AVERAGE(OFFSET($H$3,0,0,'Données projet'!$E$15+1,1))</f>
        <v>548.17046467409421</v>
      </c>
      <c r="EP59" s="62">
        <f t="shared" si="46"/>
        <v>341.9250949809848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1.388010426356622</v>
      </c>
      <c r="EX59" s="23">
        <f>EXP(-LN(2)/2)*EX58+(1-EXP(-LN(2)/2))/(LN(2)/2)*ER59*EU59*VLOOKUP('Données projet'!$B$15,Paramètres!$A$1:$I$89,3,0)*0.475*44/12</f>
        <v>3.4139610826207901E-3</v>
      </c>
      <c r="EY59" s="24">
        <f t="shared" si="21"/>
        <v>1.3914243874392427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472.83070477639035</v>
      </c>
      <c r="T60" s="62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4.3189615972968065</v>
      </c>
      <c r="AB60" s="23">
        <f>EXP(-LN(2)/2)*AB59+(1-EXP(-LN(2)/2))/(LN(2)/2)*V60*Y60*VLOOKUP('Données projet'!$B$9,Paramètres!$A$1:$I$89,3,0)*0.475*44/12</f>
        <v>1.2869632271887165E-3</v>
      </c>
      <c r="AC60" s="24">
        <f t="shared" si="3"/>
        <v>4.3202485605239955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2">
        <f t="shared" si="5"/>
        <v>796.71475132965043</v>
      </c>
      <c r="AN60" s="62">
        <f ca="1">AVERAGE(OFFSET($AM$3,0,0,'Données projet'!$E$10+1,1))-AVERAGE(OFFSET($H$3,0,0,'Données projet'!$E$10+1,1))</f>
        <v>520.80494930257237</v>
      </c>
      <c r="AO60" s="62">
        <f t="shared" si="36"/>
        <v>325.72635759450861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4.8402155831774563</v>
      </c>
      <c r="AW60" s="23">
        <f>EXP(-LN(2)/2)*AW59+(1-EXP(-LN(2)/2))/(LN(2)/2)*AQ60*AT60*VLOOKUP('Données projet'!$B$10,Paramètres!$A$1:$I$89,3,0)*0.475*44/12</f>
        <v>1.4422863752976971E-3</v>
      </c>
      <c r="AX60" s="23">
        <f t="shared" si="6"/>
        <v>4.8416578695527539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18.58285714285714</v>
      </c>
      <c r="BD60" s="13">
        <f>IF('Données projet'!$A$88&gt;35,BD59+BC60-BL59,IF(A60&lt;'Données projet'!$A$88,$BA$205^A60,IF(A60='Données projet'!$A$88,'Données projet'!$B$88,BD59+BC60-BL59)))</f>
        <v>457.50285714285718</v>
      </c>
      <c r="BE60" s="14">
        <f>BD60*VLOOKUP('Données projet'!$B$11,Paramètres!$A$1:$I$89,3,0)*VLOOKUP('Données projet'!$B$11,Paramètres!$A$1:$I$89,5,0)</f>
        <v>255.74409714285716</v>
      </c>
      <c r="BF60" s="14">
        <f t="shared" si="37"/>
        <v>61.814321894325772</v>
      </c>
      <c r="BG60" s="22">
        <f t="shared" si="7"/>
        <v>553.08091315642696</v>
      </c>
      <c r="BH60" s="62">
        <f t="shared" si="8"/>
        <v>812.60755320710473</v>
      </c>
      <c r="BI60" s="62">
        <f ca="1">AVERAGE(OFFSET($BH$3,0,0,'Données projet'!$E$11+1,1))-AVERAGE(OFFSET($H$3,0,0,'Données projet'!$E$11+1,1))</f>
        <v>321.60602866722138</v>
      </c>
      <c r="BJ60" s="62">
        <f t="shared" si="38"/>
        <v>375.18886653687389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7.5019499877758928</v>
      </c>
      <c r="BQ60" s="23">
        <f>EXP(-LN(2)/25)*BQ59+(1-EXP(-LN(2)/25))/(LN(2)/25)*Calculateur!BL60*Calculateur!BN60*VLOOKUP('Données projet'!$B$11,Paramètres!$A$1:$I$89,3,0)*0.475*44/12</f>
        <v>7.5552592709863831</v>
      </c>
      <c r="BR60" s="23">
        <f>EXP(-LN(2)/2)*BR59+(1-EXP(-LN(2)/2))/(LN(2)/2)*BL60*BO60*VLOOKUP('Données projet'!$B$11,Paramètres!$A$1:$I$89,3,0)*0.475*44/12</f>
        <v>6.3200509293105049E-4</v>
      </c>
      <c r="BS60" s="24">
        <f t="shared" si="9"/>
        <v>15.057841263855208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2.8421709430404007E-14</v>
      </c>
      <c r="BZ60" s="14">
        <f>BY60*VLOOKUP('Données projet'!$B$12,Paramètres!$A$1:$I$89,3,0)*VLOOKUP('Données projet'!$B$12,Paramètres!$A$1:$I$89,5,0)</f>
        <v>1.5518253349000589E-14</v>
      </c>
      <c r="CA60" s="14">
        <f t="shared" si="39"/>
        <v>2.8958815659671149E-13</v>
      </c>
      <c r="CB60" s="22">
        <f t="shared" si="10"/>
        <v>5.3139366398878183E-13</v>
      </c>
      <c r="CC60" s="62">
        <f t="shared" si="11"/>
        <v>259.52664005067822</v>
      </c>
      <c r="CD60" s="62">
        <f ca="1">AVERAGE(OFFSET($CC$3,0,0,'Données projet'!$E$12+1,1))-AVERAGE(OFFSET($H$3,0,0,'Données projet'!$E$12+1,1))</f>
        <v>182.44246264133781</v>
      </c>
      <c r="CE60" s="62">
        <f t="shared" si="40"/>
        <v>262.5818213397049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2.5244032522741109</v>
      </c>
      <c r="CL60" s="23">
        <f>EXP(-LN(2)/25)*CL59+(1-EXP(-LN(2)/25))/(LN(2)/25)*Calculateur!CG60*Calculateur!CI60*VLOOKUP('Données projet'!$B$12,Paramètres!$A$1:$I$89,3,0)*0.475*44/12</f>
        <v>8.5614912931581451</v>
      </c>
      <c r="CM60" s="23">
        <f>EXP(-LN(2)/2)*CM59+(1-EXP(-LN(2)/2))/(LN(2)/2)*CG60*CJ60*VLOOKUP('Données projet'!$B$12,Paramètres!$A$1:$I$89,3,0)*0.475*44/12</f>
        <v>2.6055132625152265E-7</v>
      </c>
      <c r="CN60" s="24">
        <f t="shared" si="12"/>
        <v>11.085894805983582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13.5</v>
      </c>
      <c r="CT60" s="13">
        <f>IF('Données projet'!$A$140&gt;35,CT59+CS60-DB59,IF(A60&lt;'Données projet'!$A$140,$CQ$205^A60,IF(A60='Données projet'!$A$140,'Données projet'!$B$140,CT59+CS60-DB59)))</f>
        <v>471.49999999999989</v>
      </c>
      <c r="CU60" s="18">
        <f>CT60*VLOOKUP('Données projet'!$B$13,Paramètres!$A$1:$I$89,3,0)*VLOOKUP('Données projet'!$B$13,Paramètres!$A$1:$I$89,5,0)</f>
        <v>220.66199999999995</v>
      </c>
      <c r="CV60" s="14">
        <f t="shared" si="41"/>
        <v>54.258742979954953</v>
      </c>
      <c r="CW60" s="22">
        <f t="shared" si="13"/>
        <v>478.82029402342147</v>
      </c>
      <c r="CX60" s="62">
        <f t="shared" si="14"/>
        <v>738.34693407409918</v>
      </c>
      <c r="CY60" s="62">
        <f ca="1">AVERAGE(OFFSET($CX$3,0,0,'Données projet'!$E$13+1,1))-AVERAGE(OFFSET($H$3,0,0,'Données projet'!$E$13+1,1))</f>
        <v>426.87921482911719</v>
      </c>
      <c r="CZ60" s="62">
        <f t="shared" si="42"/>
        <v>313.49594674441835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236.77055999999999</v>
      </c>
      <c r="DQ60" s="14">
        <f t="shared" si="43"/>
        <v>57.744153841586929</v>
      </c>
      <c r="DR60" s="22">
        <f t="shared" si="16"/>
        <v>512.94645994076382</v>
      </c>
      <c r="DS60" s="62">
        <f t="shared" si="17"/>
        <v>772.47309999144159</v>
      </c>
      <c r="DT60" s="62">
        <f ca="1">AVERAGE(OFFSET($DS$3,0,0,'Données projet'!$E$14+1,1))-AVERAGE(OFFSET($H$3,0,0,'Données projet'!$E$14+1,1))</f>
        <v>500.25828825677058</v>
      </c>
      <c r="DU60" s="62">
        <f t="shared" si="44"/>
        <v>313.56299786481338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1.2130930856789488</v>
      </c>
      <c r="EC60" s="23">
        <f>EXP(-LN(2)/2)*EC59+(1-EXP(-LN(2)/2))/(LN(2)/2)*DW60*DZ60*VLOOKUP('Données projet'!$B$14,Paramètres!$A$1:$I$89,3,0)*0.475*44/12</f>
        <v>2.1691329275093339E-3</v>
      </c>
      <c r="ED60" s="24">
        <f t="shared" si="18"/>
        <v>1.2152622186064581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9.4</v>
      </c>
      <c r="EJ60" s="13">
        <f>IF('Données projet'!$A$192&gt;35,EJ59+EI60-ER59,IF(A60&lt;'Données projet'!$A$192,$EG$205^A60,IF(A60='Données projet'!$A$192,'Données projet'!$B$192,EJ59+EI60-ER59)))</f>
        <v>244.79999999999998</v>
      </c>
      <c r="EK60" s="18">
        <f>EJ60*VLOOKUP('Données projet'!$B$15,Paramètres!$A$1:$I$89,3,0)*VLOOKUP('Données projet'!$B$15,Paramètres!$A$1:$I$89,5,0)</f>
        <v>263.50271999999995</v>
      </c>
      <c r="EL60" s="14">
        <f t="shared" si="45"/>
        <v>63.468433809179686</v>
      </c>
      <c r="EM60" s="22">
        <f t="shared" si="19"/>
        <v>569.47475955098787</v>
      </c>
      <c r="EN60" s="62">
        <f t="shared" si="20"/>
        <v>829.00139960166553</v>
      </c>
      <c r="EO60" s="62">
        <f ca="1">AVERAGE(OFFSET($EN$3,0,0,'Données projet'!$E$15+1,1))-AVERAGE(OFFSET($H$3,0,0,'Données projet'!$E$15+1,1))</f>
        <v>548.17046467409421</v>
      </c>
      <c r="EP60" s="62">
        <f t="shared" si="46"/>
        <v>341.9250949809848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1.3500552082556041</v>
      </c>
      <c r="EX60" s="23">
        <f>EXP(-LN(2)/2)*EX59+(1-EXP(-LN(2)/2))/(LN(2)/2)*ER60*EU60*VLOOKUP('Données projet'!$B$15,Paramètres!$A$1:$I$89,3,0)*0.475*44/12</f>
        <v>2.4140350322281279E-3</v>
      </c>
      <c r="EY60" s="24">
        <f t="shared" si="21"/>
        <v>1.3524692432878322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472.83070477639035</v>
      </c>
      <c r="T61" s="62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4.2008593652944057</v>
      </c>
      <c r="AB61" s="23">
        <f>EXP(-LN(2)/2)*AB60+(1-EXP(-LN(2)/2))/(LN(2)/2)*V61*Y61*VLOOKUP('Données projet'!$B$9,Paramètres!$A$1:$I$89,3,0)*0.475*44/12</f>
        <v>9.1002042508286484E-4</v>
      </c>
      <c r="AC61" s="24">
        <f t="shared" si="3"/>
        <v>4.2017693857194889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2">
        <f t="shared" si="5"/>
        <v>817.45202465285615</v>
      </c>
      <c r="AN61" s="62">
        <f ca="1">AVERAGE(OFFSET($AM$3,0,0,'Données projet'!$E$10+1,1))-AVERAGE(OFFSET($H$3,0,0,'Données projet'!$E$10+1,1))</f>
        <v>520.80494930257237</v>
      </c>
      <c r="AO61" s="62">
        <f t="shared" si="36"/>
        <v>325.72635759450861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4.7078596335195932</v>
      </c>
      <c r="AW61" s="23">
        <f>EXP(-LN(2)/2)*AW60+(1-EXP(-LN(2)/2))/(LN(2)/2)*AQ61*AT61*VLOOKUP('Données projet'!$B$10,Paramètres!$A$1:$I$89,3,0)*0.475*44/12</f>
        <v>1.0198504763859674E-3</v>
      </c>
      <c r="AX61" s="23">
        <f t="shared" si="6"/>
        <v>4.7088794839959789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18.58285714285714</v>
      </c>
      <c r="BD61" s="13">
        <f>IF('Données projet'!$A$88&gt;35,BD60+BC61-BL60,IF(A61&lt;'Données projet'!$A$88,$BA$205^A61,IF(A61='Données projet'!$A$88,'Données projet'!$B$88,BD60+BC61-BL60)))</f>
        <v>476.08571428571435</v>
      </c>
      <c r="BE61" s="14">
        <f>BD61*VLOOKUP('Données projet'!$B$11,Paramètres!$A$1:$I$89,3,0)*VLOOKUP('Données projet'!$B$11,Paramètres!$A$1:$I$89,5,0)</f>
        <v>266.13191428571434</v>
      </c>
      <c r="BF61" s="14">
        <f t="shared" si="37"/>
        <v>64.027675737818782</v>
      </c>
      <c r="BG61" s="22">
        <f t="shared" si="7"/>
        <v>575.02795262432016</v>
      </c>
      <c r="BH61" s="62">
        <f t="shared" si="8"/>
        <v>835.14106322300859</v>
      </c>
      <c r="BI61" s="62">
        <f ca="1">AVERAGE(OFFSET($BH$3,0,0,'Données projet'!$E$11+1,1))-AVERAGE(OFFSET($H$3,0,0,'Données projet'!$E$11+1,1))</f>
        <v>321.60602866722138</v>
      </c>
      <c r="BJ61" s="62">
        <f t="shared" si="38"/>
        <v>375.18886653687389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7.3548413242532833</v>
      </c>
      <c r="BQ61" s="23">
        <f>EXP(-LN(2)/25)*BQ60+(1-EXP(-LN(2)/25))/(LN(2)/25)*Calculateur!BL61*Calculateur!BN61*VLOOKUP('Données projet'!$B$11,Paramètres!$A$1:$I$89,3,0)*0.475*44/12</f>
        <v>7.3486603089074434</v>
      </c>
      <c r="BR61" s="23">
        <f>EXP(-LN(2)/2)*BR60+(1-EXP(-LN(2)/2))/(LN(2)/2)*BL61*BO61*VLOOKUP('Données projet'!$B$11,Paramètres!$A$1:$I$89,3,0)*0.475*44/12</f>
        <v>4.4689508695597996E-4</v>
      </c>
      <c r="BS61" s="24">
        <f t="shared" si="9"/>
        <v>14.703948528247683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2.8421709430404007E-14</v>
      </c>
      <c r="BZ61" s="14">
        <f>BY61*VLOOKUP('Données projet'!$B$12,Paramètres!$A$1:$I$89,3,0)*VLOOKUP('Données projet'!$B$12,Paramètres!$A$1:$I$89,5,0)</f>
        <v>1.5518253349000589E-14</v>
      </c>
      <c r="CA61" s="14">
        <f t="shared" si="39"/>
        <v>2.8958815659671149E-13</v>
      </c>
      <c r="CB61" s="22">
        <f t="shared" si="10"/>
        <v>5.3139366398878183E-13</v>
      </c>
      <c r="CC61" s="62">
        <f t="shared" si="11"/>
        <v>260.11311059868893</v>
      </c>
      <c r="CD61" s="62">
        <f ca="1">AVERAGE(OFFSET($CC$3,0,0,'Données projet'!$E$12+1,1))-AVERAGE(OFFSET($H$3,0,0,'Données projet'!$E$12+1,1))</f>
        <v>182.44246264133781</v>
      </c>
      <c r="CE61" s="62">
        <f t="shared" si="40"/>
        <v>262.5818213397049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2.4749012442309635</v>
      </c>
      <c r="CL61" s="23">
        <f>EXP(-LN(2)/25)*CL60+(1-EXP(-LN(2)/25))/(LN(2)/25)*Calculateur!CG61*Calculateur!CI61*VLOOKUP('Données projet'!$B$12,Paramètres!$A$1:$I$89,3,0)*0.475*44/12</f>
        <v>8.3273768635174754</v>
      </c>
      <c r="CM61" s="23">
        <f>EXP(-LN(2)/2)*CM60+(1-EXP(-LN(2)/2))/(LN(2)/2)*CG61*CJ61*VLOOKUP('Données projet'!$B$12,Paramètres!$A$1:$I$89,3,0)*0.475*44/12</f>
        <v>1.8423760963960019E-7</v>
      </c>
      <c r="CN61" s="24">
        <f t="shared" si="12"/>
        <v>10.802278291986049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13.5</v>
      </c>
      <c r="CT61" s="13">
        <f>IF('Données projet'!$A$140&gt;35,CT60+CS61-DB60,IF(A61&lt;'Données projet'!$A$140,$CQ$205^A61,IF(A61='Données projet'!$A$140,'Données projet'!$B$140,CT60+CS61-DB60)))</f>
        <v>484.99999999999989</v>
      </c>
      <c r="CU61" s="18">
        <f>CT61*VLOOKUP('Données projet'!$B$13,Paramètres!$A$1:$I$89,3,0)*VLOOKUP('Données projet'!$B$13,Paramètres!$A$1:$I$89,5,0)</f>
        <v>226.97999999999996</v>
      </c>
      <c r="CV61" s="14">
        <f t="shared" si="41"/>
        <v>55.629185455335929</v>
      </c>
      <c r="CW61" s="22">
        <f t="shared" si="13"/>
        <v>492.21099800137659</v>
      </c>
      <c r="CX61" s="62">
        <f t="shared" si="14"/>
        <v>752.32410860006507</v>
      </c>
      <c r="CY61" s="62">
        <f ca="1">AVERAGE(OFFSET($CX$3,0,0,'Données projet'!$E$13+1,1))-AVERAGE(OFFSET($H$3,0,0,'Données projet'!$E$13+1,1))</f>
        <v>426.87921482911719</v>
      </c>
      <c r="CZ61" s="62">
        <f t="shared" si="42"/>
        <v>313.49594674441835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245.86223999999999</v>
      </c>
      <c r="DQ61" s="14">
        <f t="shared" si="43"/>
        <v>59.699043025687963</v>
      </c>
      <c r="DR61" s="22">
        <f t="shared" si="16"/>
        <v>532.18590126973982</v>
      </c>
      <c r="DS61" s="62">
        <f t="shared" si="17"/>
        <v>792.29901186842824</v>
      </c>
      <c r="DT61" s="62">
        <f ca="1">AVERAGE(OFFSET($DS$3,0,0,'Données projet'!$E$14+1,1))-AVERAGE(OFFSET($H$3,0,0,'Données projet'!$E$14+1,1))</f>
        <v>500.25828825677058</v>
      </c>
      <c r="DU61" s="62">
        <f t="shared" si="44"/>
        <v>313.56299786481338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1.179920991457265</v>
      </c>
      <c r="EC61" s="23">
        <f>EXP(-LN(2)/2)*EC60+(1-EXP(-LN(2)/2))/(LN(2)/2)*DW61*DZ61*VLOOKUP('Données projet'!$B$14,Paramètres!$A$1:$I$89,3,0)*0.475*44/12</f>
        <v>1.5338086023368779E-3</v>
      </c>
      <c r="ED61" s="24">
        <f t="shared" si="18"/>
        <v>1.1814548000596019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9.4</v>
      </c>
      <c r="EJ61" s="13">
        <f>IF('Données projet'!$A$192&gt;35,EJ60+EI61-ER60,IF(A61&lt;'Données projet'!$A$192,$EG$205^A61,IF(A61='Données projet'!$A$192,'Données projet'!$B$192,EJ60+EI61-ER60)))</f>
        <v>254.2</v>
      </c>
      <c r="EK61" s="18">
        <f>EJ61*VLOOKUP('Données projet'!$B$15,Paramètres!$A$1:$I$89,3,0)*VLOOKUP('Données projet'!$B$15,Paramètres!$A$1:$I$89,5,0)</f>
        <v>273.62087999999994</v>
      </c>
      <c r="EL61" s="14">
        <f t="shared" si="45"/>
        <v>65.617114611149361</v>
      </c>
      <c r="EM61" s="22">
        <f t="shared" si="19"/>
        <v>590.83950728108505</v>
      </c>
      <c r="EN61" s="62">
        <f t="shared" si="20"/>
        <v>850.95261787977347</v>
      </c>
      <c r="EO61" s="62">
        <f ca="1">AVERAGE(OFFSET($EN$3,0,0,'Données projet'!$E$15+1,1))-AVERAGE(OFFSET($H$3,0,0,'Données projet'!$E$15+1,1))</f>
        <v>548.17046467409421</v>
      </c>
      <c r="EP61" s="62">
        <f t="shared" si="46"/>
        <v>341.9250949809848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1.3131378775895368</v>
      </c>
      <c r="EX61" s="23">
        <f>EXP(-LN(2)/2)*EX60+(1-EXP(-LN(2)/2))/(LN(2)/2)*ER61*EU61*VLOOKUP('Données projet'!$B$15,Paramètres!$A$1:$I$89,3,0)*0.475*44/12</f>
        <v>1.706980541310395E-3</v>
      </c>
      <c r="EY61" s="24">
        <f t="shared" si="21"/>
        <v>1.3148448581308472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472.83070477639035</v>
      </c>
      <c r="T62" s="62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4.0859866450368374</v>
      </c>
      <c r="AB62" s="23">
        <f>EXP(-LN(2)/2)*AB61+(1-EXP(-LN(2)/2))/(LN(2)/2)*V62*Y62*VLOOKUP('Données projet'!$B$9,Paramètres!$A$1:$I$89,3,0)*0.475*44/12</f>
        <v>6.4348161359435827E-4</v>
      </c>
      <c r="AC62" s="24">
        <f t="shared" si="3"/>
        <v>4.0866301266504319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2">
        <f t="shared" si="5"/>
        <v>838.16387311737799</v>
      </c>
      <c r="AN62" s="62">
        <f ca="1">AVERAGE(OFFSET($AM$3,0,0,'Données projet'!$E$10+1,1))-AVERAGE(OFFSET($H$3,0,0,'Données projet'!$E$10+1,1))</f>
        <v>520.80494930257237</v>
      </c>
      <c r="AO62" s="62">
        <f t="shared" si="36"/>
        <v>325.72635759450861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4.5791229642654221</v>
      </c>
      <c r="AW62" s="23">
        <f>EXP(-LN(2)/2)*AW61+(1-EXP(-LN(2)/2))/(LN(2)/2)*AQ62*AT62*VLOOKUP('Données projet'!$B$10,Paramètres!$A$1:$I$89,3,0)*0.475*44/12</f>
        <v>7.2114318764884854E-4</v>
      </c>
      <c r="AX62" s="23">
        <f t="shared" si="6"/>
        <v>4.5798441074530709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18.58285714285714</v>
      </c>
      <c r="BD62" s="13">
        <f>IF('Données projet'!$A$88&gt;35,BD61+BC62-BL61,IF(A62&lt;'Données projet'!$A$88,$BA$205^A62,IF(A62='Données projet'!$A$88,'Données projet'!$B$88,BD61+BC62-BL61)))</f>
        <v>494.66857142857151</v>
      </c>
      <c r="BE62" s="14">
        <f>BD62*VLOOKUP('Données projet'!$B$11,Paramètres!$A$1:$I$89,3,0)*VLOOKUP('Données projet'!$B$11,Paramètres!$A$1:$I$89,5,0)</f>
        <v>276.5197314285715</v>
      </c>
      <c r="BF62" s="14">
        <f t="shared" si="37"/>
        <v>66.230993562988985</v>
      </c>
      <c r="BG62" s="22">
        <f t="shared" si="7"/>
        <v>596.9575126936345</v>
      </c>
      <c r="BH62" s="62">
        <f t="shared" si="8"/>
        <v>857.64691988747722</v>
      </c>
      <c r="BI62" s="62">
        <f ca="1">AVERAGE(OFFSET($BH$3,0,0,'Données projet'!$E$11+1,1))-AVERAGE(OFFSET($H$3,0,0,'Données projet'!$E$11+1,1))</f>
        <v>321.60602866722138</v>
      </c>
      <c r="BJ62" s="62">
        <f t="shared" si="38"/>
        <v>375.18886653687389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7.2106173718949274</v>
      </c>
      <c r="BQ62" s="23">
        <f>EXP(-LN(2)/25)*BQ61+(1-EXP(-LN(2)/25))/(LN(2)/25)*Calculateur!BL62*Calculateur!BN62*VLOOKUP('Données projet'!$B$11,Paramètres!$A$1:$I$89,3,0)*0.475*44/12</f>
        <v>7.1477108063111192</v>
      </c>
      <c r="BR62" s="23">
        <f>EXP(-LN(2)/2)*BR61+(1-EXP(-LN(2)/2))/(LN(2)/2)*BL62*BO62*VLOOKUP('Données projet'!$B$11,Paramètres!$A$1:$I$89,3,0)*0.475*44/12</f>
        <v>3.1600254646552524E-4</v>
      </c>
      <c r="BS62" s="24">
        <f t="shared" si="9"/>
        <v>14.358644180752513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2.8421709430404007E-14</v>
      </c>
      <c r="BZ62" s="14">
        <f>BY62*VLOOKUP('Données projet'!$B$12,Paramètres!$A$1:$I$89,3,0)*VLOOKUP('Données projet'!$B$12,Paramètres!$A$1:$I$89,5,0)</f>
        <v>1.5518253349000589E-14</v>
      </c>
      <c r="CA62" s="14">
        <f t="shared" si="39"/>
        <v>2.8958815659671149E-13</v>
      </c>
      <c r="CB62" s="22">
        <f t="shared" si="10"/>
        <v>5.3139366398878183E-13</v>
      </c>
      <c r="CC62" s="62">
        <f t="shared" si="11"/>
        <v>260.68940719384329</v>
      </c>
      <c r="CD62" s="62">
        <f ca="1">AVERAGE(OFFSET($CC$3,0,0,'Données projet'!$E$12+1,1))-AVERAGE(OFFSET($H$3,0,0,'Données projet'!$E$12+1,1))</f>
        <v>182.44246264133781</v>
      </c>
      <c r="CE62" s="62">
        <f t="shared" si="40"/>
        <v>262.5818213397049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2.4263699403722985</v>
      </c>
      <c r="CL62" s="23">
        <f>EXP(-LN(2)/25)*CL61+(1-EXP(-LN(2)/25))/(LN(2)/25)*Calculateur!CG62*Calculateur!CI62*VLOOKUP('Données projet'!$B$12,Paramètres!$A$1:$I$89,3,0)*0.475*44/12</f>
        <v>8.0996643052668738</v>
      </c>
      <c r="CM62" s="23">
        <f>EXP(-LN(2)/2)*CM61+(1-EXP(-LN(2)/2))/(LN(2)/2)*CG62*CJ62*VLOOKUP('Données projet'!$B$12,Paramètres!$A$1:$I$89,3,0)*0.475*44/12</f>
        <v>1.3027566312576133E-7</v>
      </c>
      <c r="CN62" s="24">
        <f t="shared" si="12"/>
        <v>10.526034375914834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13.5</v>
      </c>
      <c r="CT62" s="13">
        <f>IF('Données projet'!$A$140&gt;35,CT61+CS62-DB61,IF(A62&lt;'Données projet'!$A$140,$CQ$205^A62,IF(A62='Données projet'!$A$140,'Données projet'!$B$140,CT61+CS62-DB61)))</f>
        <v>498.49999999999989</v>
      </c>
      <c r="CU62" s="18">
        <f>CT62*VLOOKUP('Données projet'!$B$13,Paramètres!$A$1:$I$89,3,0)*VLOOKUP('Données projet'!$B$13,Paramètres!$A$1:$I$89,5,0)</f>
        <v>233.29799999999994</v>
      </c>
      <c r="CV62" s="14">
        <f t="shared" si="41"/>
        <v>56.995194277534011</v>
      </c>
      <c r="CW62" s="22">
        <f t="shared" si="13"/>
        <v>505.59398003337168</v>
      </c>
      <c r="CX62" s="62">
        <f t="shared" si="14"/>
        <v>766.28338722721446</v>
      </c>
      <c r="CY62" s="62">
        <f ca="1">AVERAGE(OFFSET($CX$3,0,0,'Données projet'!$E$13+1,1))-AVERAGE(OFFSET($H$3,0,0,'Données projet'!$E$13+1,1))</f>
        <v>426.87921482911719</v>
      </c>
      <c r="CZ62" s="62">
        <f t="shared" si="42"/>
        <v>313.49594674441835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254.95391999999998</v>
      </c>
      <c r="DQ62" s="14">
        <f t="shared" si="43"/>
        <v>61.645533788540583</v>
      </c>
      <c r="DR62" s="22">
        <f t="shared" si="16"/>
        <v>551.41071534837477</v>
      </c>
      <c r="DS62" s="62">
        <f t="shared" si="17"/>
        <v>812.1001225422176</v>
      </c>
      <c r="DT62" s="62">
        <f ca="1">AVERAGE(OFFSET($DS$3,0,0,'Données projet'!$E$14+1,1))-AVERAGE(OFFSET($H$3,0,0,'Données projet'!$E$14+1,1))</f>
        <v>500.25828825677058</v>
      </c>
      <c r="DU62" s="62">
        <f t="shared" si="44"/>
        <v>313.56299786481338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1.147655989896518</v>
      </c>
      <c r="EC62" s="23">
        <f>EXP(-LN(2)/2)*EC61+(1-EXP(-LN(2)/2))/(LN(2)/2)*DW62*DZ62*VLOOKUP('Données projet'!$B$14,Paramètres!$A$1:$I$89,3,0)*0.475*44/12</f>
        <v>1.084566463754667E-3</v>
      </c>
      <c r="ED62" s="24">
        <f t="shared" si="18"/>
        <v>1.1487405563602726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9.4</v>
      </c>
      <c r="EJ62" s="13">
        <f>IF('Données projet'!$A$192&gt;35,EJ61+EI62-ER61,IF(A62&lt;'Données projet'!$A$192,$EG$205^A62,IF(A62='Données projet'!$A$192,'Données projet'!$B$192,EJ61+EI62-ER61)))</f>
        <v>263.59999999999997</v>
      </c>
      <c r="EK62" s="18">
        <f>EJ62*VLOOKUP('Données projet'!$B$15,Paramètres!$A$1:$I$89,3,0)*VLOOKUP('Données projet'!$B$15,Paramètres!$A$1:$I$89,5,0)</f>
        <v>283.73903999999993</v>
      </c>
      <c r="EL62" s="14">
        <f t="shared" si="45"/>
        <v>67.756564441537463</v>
      </c>
      <c r="EM62" s="22">
        <f t="shared" si="19"/>
        <v>612.18817773567764</v>
      </c>
      <c r="EN62" s="62">
        <f t="shared" si="20"/>
        <v>872.87758492952048</v>
      </c>
      <c r="EO62" s="62">
        <f ca="1">AVERAGE(OFFSET($EN$3,0,0,'Données projet'!$E$15+1,1))-AVERAGE(OFFSET($H$3,0,0,'Données projet'!$E$15+1,1))</f>
        <v>548.17046467409421</v>
      </c>
      <c r="EP62" s="62">
        <f t="shared" si="46"/>
        <v>341.9250949809848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1.2772300532719312</v>
      </c>
      <c r="EX62" s="23">
        <f>EXP(-LN(2)/2)*EX61+(1-EXP(-LN(2)/2))/(LN(2)/2)*ER62*EU62*VLOOKUP('Données projet'!$B$15,Paramètres!$A$1:$I$89,3,0)*0.475*44/12</f>
        <v>1.2070175161140639E-3</v>
      </c>
      <c r="EY62" s="24">
        <f t="shared" si="21"/>
        <v>1.2784370707880452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472.83070477639035</v>
      </c>
      <c r="T63" s="62">
        <f t="shared" si="34"/>
        <v>297.32483725004136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3.9742551253556062</v>
      </c>
      <c r="AB63" s="23">
        <f>EXP(-LN(2)/2)*AB62+(1-EXP(-LN(2)/2))/(LN(2)/2)*V63*Y63*VLOOKUP('Données projet'!$B$9,Paramètres!$A$1:$I$89,3,0)*0.475*44/12</f>
        <v>4.5501021254143242E-4</v>
      </c>
      <c r="AC63" s="24">
        <f t="shared" si="3"/>
        <v>3.9747101355681478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2">
        <f t="shared" si="5"/>
        <v>858.85107937411522</v>
      </c>
      <c r="AN63" s="62">
        <f ca="1">AVERAGE(OFFSET($AM$3,0,0,'Données projet'!$E$10+1,1))-AVERAGE(OFFSET($H$3,0,0,'Données projet'!$E$10+1,1))</f>
        <v>520.80494930257237</v>
      </c>
      <c r="AO63" s="62">
        <f t="shared" si="36"/>
        <v>325.72635759450861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4.453906606001973</v>
      </c>
      <c r="AW63" s="23">
        <f>EXP(-LN(2)/2)*AW62+(1-EXP(-LN(2)/2))/(LN(2)/2)*AQ63*AT63*VLOOKUP('Données projet'!$B$10,Paramètres!$A$1:$I$89,3,0)*0.475*44/12</f>
        <v>5.0992523819298372E-4</v>
      </c>
      <c r="AX63" s="23">
        <f t="shared" si="6"/>
        <v>4.4544165312401658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18.58285714285714</v>
      </c>
      <c r="BD63" s="13">
        <f>IF('Données projet'!$A$88&gt;35,BD62+BC63-BL62,IF(A63&lt;'Données projet'!$A$88,$BA$205^A63,IF(A63='Données projet'!$A$88,'Données projet'!$B$88,BD62+BC63-BL62)))</f>
        <v>513.25142857142862</v>
      </c>
      <c r="BE63" s="14">
        <f>BD63*VLOOKUP('Données projet'!$B$11,Paramètres!$A$1:$I$89,3,0)*VLOOKUP('Données projet'!$B$11,Paramètres!$A$1:$I$89,5,0)</f>
        <v>286.90754857142861</v>
      </c>
      <c r="BF63" s="14">
        <f t="shared" si="37"/>
        <v>68.424695552593661</v>
      </c>
      <c r="BG63" s="22">
        <f t="shared" si="7"/>
        <v>618.87032518267222</v>
      </c>
      <c r="BH63" s="62">
        <f t="shared" si="8"/>
        <v>880.12603151414964</v>
      </c>
      <c r="BI63" s="62">
        <f ca="1">AVERAGE(OFFSET($BH$3,0,0,'Données projet'!$E$11+1,1))-AVERAGE(OFFSET($H$3,0,0,'Données projet'!$E$11+1,1))</f>
        <v>321.60602866722138</v>
      </c>
      <c r="BJ63" s="62">
        <f t="shared" si="38"/>
        <v>375.18886653687389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7.069221563274394</v>
      </c>
      <c r="BQ63" s="23">
        <f>EXP(-LN(2)/25)*BQ62+(1-EXP(-LN(2)/25))/(LN(2)/25)*Calculateur!BL63*Calculateur!BN63*VLOOKUP('Données projet'!$B$11,Paramètres!$A$1:$I$89,3,0)*0.475*44/12</f>
        <v>6.9522562784307667</v>
      </c>
      <c r="BR63" s="23">
        <f>EXP(-LN(2)/2)*BR62+(1-EXP(-LN(2)/2))/(LN(2)/2)*BL63*BO63*VLOOKUP('Données projet'!$B$11,Paramètres!$A$1:$I$89,3,0)*0.475*44/12</f>
        <v>2.2344754347798998E-4</v>
      </c>
      <c r="BS63" s="24">
        <f t="shared" si="9"/>
        <v>14.021701289248638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2.8421709430404007E-14</v>
      </c>
      <c r="BZ63" s="14">
        <f>BY63*VLOOKUP('Données projet'!$B$12,Paramètres!$A$1:$I$89,3,0)*VLOOKUP('Données projet'!$B$12,Paramètres!$A$1:$I$89,5,0)</f>
        <v>1.5518253349000589E-14</v>
      </c>
      <c r="CA63" s="14">
        <f t="shared" si="39"/>
        <v>2.8958815659671149E-13</v>
      </c>
      <c r="CB63" s="22">
        <f t="shared" si="10"/>
        <v>5.3139366398878183E-13</v>
      </c>
      <c r="CC63" s="62">
        <f t="shared" si="11"/>
        <v>261.255706331478</v>
      </c>
      <c r="CD63" s="62">
        <f ca="1">AVERAGE(OFFSET($CC$3,0,0,'Données projet'!$E$12+1,1))-AVERAGE(OFFSET($H$3,0,0,'Données projet'!$E$12+1,1))</f>
        <v>182.44246264133781</v>
      </c>
      <c r="CE63" s="62">
        <f t="shared" si="40"/>
        <v>262.5818213397049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2.3787903057811293</v>
      </c>
      <c r="CL63" s="23">
        <f>EXP(-LN(2)/25)*CL62+(1-EXP(-LN(2)/25))/(LN(2)/25)*Calculateur!CG63*Calculateur!CI63*VLOOKUP('Données projet'!$B$12,Paramètres!$A$1:$I$89,3,0)*0.475*44/12</f>
        <v>7.8781785588965176</v>
      </c>
      <c r="CM63" s="23">
        <f>EXP(-LN(2)/2)*CM62+(1-EXP(-LN(2)/2))/(LN(2)/2)*CG63*CJ63*VLOOKUP('Données projet'!$B$12,Paramètres!$A$1:$I$89,3,0)*0.475*44/12</f>
        <v>9.2118804819800093E-8</v>
      </c>
      <c r="CN63" s="24">
        <f t="shared" si="12"/>
        <v>10.256968956796452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512</v>
      </c>
      <c r="CR63" s="13">
        <f>VLOOKUP(A63,'Données projet'!$A$139:$I$159,9,0)</f>
        <v>13.5</v>
      </c>
      <c r="CS63" s="13">
        <f t="array" ref="CS63">INDEX(CR:CR,MIN(IF(ISNUMBER(CR63:CR259),ROW(CR63:CR259),"")))</f>
        <v>13.5</v>
      </c>
      <c r="CT63" s="13">
        <f>IF('Données projet'!$A$140&gt;35,CT62+CS63-DB62,IF(A63&lt;'Données projet'!$A$140,$CQ$205^A63,IF(A63='Données projet'!$A$140,'Données projet'!$B$140,CT62+CS63-DB62)))</f>
        <v>511.99999999999989</v>
      </c>
      <c r="CU63" s="18">
        <f>CT63*VLOOKUP('Données projet'!$B$13,Paramètres!$A$1:$I$89,3,0)*VLOOKUP('Données projet'!$B$13,Paramètres!$A$1:$I$89,5,0)</f>
        <v>239.61599999999996</v>
      </c>
      <c r="CV63" s="14">
        <f t="shared" si="41"/>
        <v>58.356903313490157</v>
      </c>
      <c r="CW63" s="22">
        <f t="shared" si="13"/>
        <v>518.96947327099531</v>
      </c>
      <c r="CX63" s="62">
        <f t="shared" si="14"/>
        <v>780.22517960247274</v>
      </c>
      <c r="CY63" s="62">
        <f ca="1">AVERAGE(OFFSET($CX$3,0,0,'Données projet'!$E$13+1,1))-AVERAGE(OFFSET($H$3,0,0,'Données projet'!$E$13+1,1))</f>
        <v>426.87921482911719</v>
      </c>
      <c r="CZ63" s="62">
        <f t="shared" si="42"/>
        <v>313.49594674441835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102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264.04559999999992</v>
      </c>
      <c r="DQ63" s="14">
        <f t="shared" si="43"/>
        <v>63.58395992997368</v>
      </c>
      <c r="DR63" s="22">
        <f t="shared" si="16"/>
        <v>570.62148354470401</v>
      </c>
      <c r="DS63" s="62">
        <f t="shared" si="17"/>
        <v>831.87718987618155</v>
      </c>
      <c r="DT63" s="62">
        <f ca="1">AVERAGE(OFFSET($DS$3,0,0,'Données projet'!$E$14+1,1))-AVERAGE(OFFSET($H$3,0,0,'Données projet'!$E$14+1,1))</f>
        <v>500.25828825677058</v>
      </c>
      <c r="DU63" s="62">
        <f t="shared" si="44"/>
        <v>313.56299786481338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1.1162732765001921</v>
      </c>
      <c r="EC63" s="23">
        <f>EXP(-LN(2)/2)*EC62+(1-EXP(-LN(2)/2))/(LN(2)/2)*DW63*DZ63*VLOOKUP('Données projet'!$B$14,Paramètres!$A$1:$I$89,3,0)*0.475*44/12</f>
        <v>7.6690430116843893E-4</v>
      </c>
      <c r="ED63" s="24">
        <f t="shared" si="18"/>
        <v>1.1170401808013606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273</v>
      </c>
      <c r="EH63" s="13">
        <f>VLOOKUP(A63,'Données projet'!$A$191:$I$211,9,0)</f>
        <v>9.4</v>
      </c>
      <c r="EI63" s="13">
        <f t="array" ref="EI63">INDEX(EH:EH,MIN(IF(ISNUMBER(EH63:EH259),ROW(EH63:EH259),"")))</f>
        <v>9.4</v>
      </c>
      <c r="EJ63" s="13">
        <f>IF('Données projet'!$A$192&gt;35,EJ62+EI63-ER62,IF(A63&lt;'Données projet'!$A$192,$EG$205^A63,IF(A63='Données projet'!$A$192,'Données projet'!$B$192,EJ62+EI63-ER62)))</f>
        <v>272.99999999999994</v>
      </c>
      <c r="EK63" s="18">
        <f>EJ63*VLOOKUP('Données projet'!$B$15,Paramètres!$A$1:$I$89,3,0)*VLOOKUP('Données projet'!$B$15,Paramètres!$A$1:$I$89,5,0)</f>
        <v>293.85719999999992</v>
      </c>
      <c r="EL63" s="14">
        <f t="shared" si="45"/>
        <v>69.887150190339781</v>
      </c>
      <c r="EM63" s="22">
        <f t="shared" si="19"/>
        <v>633.52140991484157</v>
      </c>
      <c r="EN63" s="62">
        <f t="shared" si="20"/>
        <v>894.77711624631911</v>
      </c>
      <c r="EO63" s="62">
        <f ca="1">AVERAGE(OFFSET($EN$3,0,0,'Données projet'!$E$15+1,1))-AVERAGE(OFFSET($H$3,0,0,'Données projet'!$E$15+1,1))</f>
        <v>548.17046467409421</v>
      </c>
      <c r="EP63" s="62">
        <f t="shared" si="46"/>
        <v>341.9250949809848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1.2423041302986009</v>
      </c>
      <c r="EX63" s="23">
        <f>EXP(-LN(2)/2)*EX62+(1-EXP(-LN(2)/2))/(LN(2)/2)*ER63*EU63*VLOOKUP('Données projet'!$B$15,Paramètres!$A$1:$I$89,3,0)*0.475*44/12</f>
        <v>8.5349027065519752E-4</v>
      </c>
      <c r="EY63" s="24">
        <f t="shared" si="21"/>
        <v>1.243157620569256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759.65487244415465</v>
      </c>
      <c r="S64" s="62">
        <f ca="1">AVERAGE(OFFSET($R$3,0,0,'Données projet'!$E$9+1,1))-AVERAGE(OFFSET($H$3,0,0,'Données projet'!$E$9+1,1))</f>
        <v>472.83070477639035</v>
      </c>
      <c r="T64" s="62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3.8655789099557634</v>
      </c>
      <c r="AB64" s="23">
        <f>EXP(-LN(2)/2)*AB63+(1-EXP(-LN(2)/2))/(LN(2)/2)*V64*Y64*VLOOKUP('Données projet'!$B$9,Paramètres!$A$1:$I$89,3,0)*0.475*44/12</f>
        <v>3.2174080679717913E-4</v>
      </c>
      <c r="AC64" s="24">
        <f t="shared" si="3"/>
        <v>3.8659006507625606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257.35319999999996</v>
      </c>
      <c r="AK64" s="14">
        <f t="shared" si="35"/>
        <v>62.157851613080908</v>
      </c>
      <c r="AL64" s="22">
        <f t="shared" si="4"/>
        <v>556.48174822611588</v>
      </c>
      <c r="AM64" s="62">
        <f t="shared" si="5"/>
        <v>818.29392967124522</v>
      </c>
      <c r="AN64" s="62">
        <f ca="1">AVERAGE(OFFSET($AM$3,0,0,'Données projet'!$E$10+1,1))-AVERAGE(OFFSET($H$3,0,0,'Données projet'!$E$10+1,1))</f>
        <v>520.80494930257237</v>
      </c>
      <c r="AO64" s="62">
        <f t="shared" si="36"/>
        <v>325.72635759450861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4.3321142956400802</v>
      </c>
      <c r="AW64" s="23">
        <f>EXP(-LN(2)/2)*AW63+(1-EXP(-LN(2)/2))/(LN(2)/2)*AQ64*AT64*VLOOKUP('Données projet'!$B$10,Paramètres!$A$1:$I$89,3,0)*0.475*44/12</f>
        <v>3.6057159382442427E-4</v>
      </c>
      <c r="AX64" s="23">
        <f t="shared" si="6"/>
        <v>4.3324748672339046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18.58285714285714</v>
      </c>
      <c r="BD64" s="13">
        <f>IF('Données projet'!$A$88&gt;35,BD63+BC64-BL63,IF(A64&lt;'Données projet'!$A$88,$BA$205^A64,IF(A64='Données projet'!$A$88,'Données projet'!$B$88,BD63+BC64-BL63)))</f>
        <v>531.83428571428578</v>
      </c>
      <c r="BE64" s="14">
        <f>BD64*VLOOKUP('Données projet'!$B$11,Paramètres!$A$1:$I$89,3,0)*VLOOKUP('Données projet'!$B$11,Paramètres!$A$1:$I$89,5,0)</f>
        <v>297.29536571428577</v>
      </c>
      <c r="BF64" s="14">
        <f t="shared" si="37"/>
        <v>70.609169738501635</v>
      </c>
      <c r="BG64" s="22">
        <f t="shared" si="7"/>
        <v>640.76706591360471</v>
      </c>
      <c r="BH64" s="62">
        <f t="shared" si="8"/>
        <v>902.57924735873405</v>
      </c>
      <c r="BI64" s="62">
        <f ca="1">AVERAGE(OFFSET($BH$3,0,0,'Données projet'!$E$11+1,1))-AVERAGE(OFFSET($H$3,0,0,'Données projet'!$E$11+1,1))</f>
        <v>321.60602866722138</v>
      </c>
      <c r="BJ64" s="62">
        <f t="shared" si="38"/>
        <v>375.18886653687389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6.9305984402179819</v>
      </c>
      <c r="BQ64" s="23">
        <f>EXP(-LN(2)/25)*BQ63+(1-EXP(-LN(2)/25))/(LN(2)/25)*Calculateur!BL64*Calculateur!BN64*VLOOKUP('Données projet'!$B$11,Paramètres!$A$1:$I$89,3,0)*0.475*44/12</f>
        <v>6.7621464648938092</v>
      </c>
      <c r="BR64" s="23">
        <f>EXP(-LN(2)/2)*BR63+(1-EXP(-LN(2)/2))/(LN(2)/2)*BL64*BO64*VLOOKUP('Données projet'!$B$11,Paramètres!$A$1:$I$89,3,0)*0.475*44/12</f>
        <v>1.5800127323276262E-4</v>
      </c>
      <c r="BS64" s="24">
        <f t="shared" si="9"/>
        <v>13.692902906385024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2.8421709430404007E-14</v>
      </c>
      <c r="BZ64" s="14">
        <f>BY64*VLOOKUP('Données projet'!$B$12,Paramètres!$A$1:$I$89,3,0)*VLOOKUP('Données projet'!$B$12,Paramètres!$A$1:$I$89,5,0)</f>
        <v>1.5518253349000589E-14</v>
      </c>
      <c r="CA64" s="14">
        <f t="shared" si="39"/>
        <v>2.8958815659671149E-13</v>
      </c>
      <c r="CB64" s="22">
        <f t="shared" si="10"/>
        <v>5.3139366398878183E-13</v>
      </c>
      <c r="CC64" s="62">
        <f t="shared" si="11"/>
        <v>261.81218144512985</v>
      </c>
      <c r="CD64" s="62">
        <f ca="1">AVERAGE(OFFSET($CC$3,0,0,'Données projet'!$E$12+1,1))-AVERAGE(OFFSET($H$3,0,0,'Données projet'!$E$12+1,1))</f>
        <v>182.44246264133781</v>
      </c>
      <c r="CE64" s="62">
        <f t="shared" si="40"/>
        <v>262.5818213397049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2.3321436788035816</v>
      </c>
      <c r="CL64" s="23">
        <f>EXP(-LN(2)/25)*CL63+(1-EXP(-LN(2)/25))/(LN(2)/25)*Calculateur!CG64*Calculateur!CI64*VLOOKUP('Données projet'!$B$12,Paramètres!$A$1:$I$89,3,0)*0.475*44/12</f>
        <v>7.6627493519080874</v>
      </c>
      <c r="CM64" s="23">
        <f>EXP(-LN(2)/2)*CM63+(1-EXP(-LN(2)/2))/(LN(2)/2)*CG64*CJ64*VLOOKUP('Données projet'!$B$12,Paramètres!$A$1:$I$89,3,0)*0.475*44/12</f>
        <v>6.5137831562880664E-8</v>
      </c>
      <c r="CN64" s="24">
        <f t="shared" si="12"/>
        <v>9.9948930958495001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15.5</v>
      </c>
      <c r="CT64" s="13">
        <f>IF('Données projet'!$A$140&gt;35,CT63+CS64-DB63,IF(A64&lt;'Données projet'!$A$140,$CQ$205^A64,IF(A64='Données projet'!$A$140,'Données projet'!$B$140,CT63+CS64-DB63)))</f>
        <v>425.49999999999989</v>
      </c>
      <c r="CU64" s="18">
        <f>CT64*VLOOKUP('Données projet'!$B$13,Paramètres!$A$1:$I$89,3,0)*VLOOKUP('Données projet'!$B$13,Paramètres!$A$1:$I$89,5,0)</f>
        <v>199.13399999999993</v>
      </c>
      <c r="CV64" s="14">
        <f t="shared" si="41"/>
        <v>49.553799097205186</v>
      </c>
      <c r="CW64" s="22">
        <f t="shared" si="13"/>
        <v>433.13125009429888</v>
      </c>
      <c r="CX64" s="62">
        <f t="shared" si="14"/>
        <v>694.94343153942827</v>
      </c>
      <c r="CY64" s="62">
        <f ca="1">AVERAGE(OFFSET($CX$3,0,0,'Données projet'!$E$13+1,1))-AVERAGE(OFFSET($H$3,0,0,'Données projet'!$E$13+1,1))</f>
        <v>426.87921482911719</v>
      </c>
      <c r="CZ64" s="62">
        <f t="shared" si="42"/>
        <v>313.49594674441835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253.79999999999995</v>
      </c>
      <c r="DP64" s="18">
        <f>DO64*VLOOKUP('Données projet'!$B$14,Paramètres!$A$1:$I$89,3,0)*VLOOKUP('Données projet'!$B$14,Paramètres!$A$1:$I$89,5,0)</f>
        <v>245.47535999999997</v>
      </c>
      <c r="DQ64" s="14">
        <f t="shared" si="43"/>
        <v>59.616029794883758</v>
      </c>
      <c r="DR64" s="22">
        <f t="shared" si="16"/>
        <v>531.36750389275585</v>
      </c>
      <c r="DS64" s="62">
        <f t="shared" si="17"/>
        <v>793.17968533788519</v>
      </c>
      <c r="DT64" s="62">
        <f ca="1">AVERAGE(OFFSET($DS$3,0,0,'Données projet'!$E$14+1,1))-AVERAGE(OFFSET($H$3,0,0,'Données projet'!$E$14+1,1))</f>
        <v>500.25828825677058</v>
      </c>
      <c r="DU64" s="62">
        <f t="shared" si="44"/>
        <v>313.56299786481338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1.0857487250520341</v>
      </c>
      <c r="EC64" s="23">
        <f>EXP(-LN(2)/2)*EC63+(1-EXP(-LN(2)/2))/(LN(2)/2)*DW64*DZ64*VLOOKUP('Données projet'!$B$14,Paramètres!$A$1:$I$89,3,0)*0.475*44/12</f>
        <v>5.4228323187733348E-4</v>
      </c>
      <c r="ED64" s="24">
        <f t="shared" si="18"/>
        <v>1.0862910082839115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8.8000000000000007</v>
      </c>
      <c r="EJ64" s="13">
        <f>IF('Données projet'!$A$192&gt;35,EJ63+EI64-ER63,IF(A64&lt;'Données projet'!$A$192,$EG$205^A64,IF(A64='Données projet'!$A$192,'Données projet'!$B$192,EJ63+EI64-ER63)))</f>
        <v>253.79999999999995</v>
      </c>
      <c r="EK64" s="18">
        <f>EJ64*VLOOKUP('Données projet'!$B$15,Paramètres!$A$1:$I$89,3,0)*VLOOKUP('Données projet'!$B$15,Paramètres!$A$1:$I$89,5,0)</f>
        <v>273.19031999999993</v>
      </c>
      <c r="EL64" s="14">
        <f t="shared" si="45"/>
        <v>65.525872132143832</v>
      </c>
      <c r="EM64" s="22">
        <f t="shared" si="19"/>
        <v>589.93070129681701</v>
      </c>
      <c r="EN64" s="62">
        <f t="shared" si="20"/>
        <v>851.74288274194635</v>
      </c>
      <c r="EO64" s="62">
        <f ca="1">AVERAGE(OFFSET($EN$3,0,0,'Données projet'!$E$15+1,1))-AVERAGE(OFFSET($H$3,0,0,'Données projet'!$E$15+1,1))</f>
        <v>548.17046467409421</v>
      </c>
      <c r="EP64" s="62">
        <f t="shared" si="46"/>
        <v>341.9250949809848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1.2083332585256508</v>
      </c>
      <c r="EX64" s="23">
        <f>EXP(-LN(2)/2)*EX63+(1-EXP(-LN(2)/2))/(LN(2)/2)*ER64*EU64*VLOOKUP('Données projet'!$B$15,Paramètres!$A$1:$I$89,3,0)*0.475*44/12</f>
        <v>6.0350875805703196E-4</v>
      </c>
      <c r="EY64" s="24">
        <f t="shared" si="21"/>
        <v>1.2089367672837077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777.06232855539611</v>
      </c>
      <c r="S65" s="62">
        <f ca="1">AVERAGE(OFFSET($R$3,0,0,'Données projet'!$E$9+1,1))-AVERAGE(OFFSET($H$3,0,0,'Données projet'!$E$9+1,1))</f>
        <v>472.83070477639035</v>
      </c>
      <c r="T65" s="62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3.7598744513810631</v>
      </c>
      <c r="AB65" s="23">
        <f>EXP(-LN(2)/2)*AB64+(1-EXP(-LN(2)/2))/(LN(2)/2)*V65*Y65*VLOOKUP('Données projet'!$B$9,Paramètres!$A$1:$I$89,3,0)*0.475*44/12</f>
        <v>2.2750510627071621E-4</v>
      </c>
      <c r="AC65" s="24">
        <f t="shared" si="3"/>
        <v>3.7601019564873339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266.27640000000002</v>
      </c>
      <c r="AK65" s="14">
        <f t="shared" si="35"/>
        <v>64.058389829439747</v>
      </c>
      <c r="AL65" s="22">
        <f t="shared" si="4"/>
        <v>575.33309228627434</v>
      </c>
      <c r="AM65" s="62">
        <f t="shared" si="5"/>
        <v>837.69209524592566</v>
      </c>
      <c r="AN65" s="62">
        <f ca="1">AVERAGE(OFFSET($AM$3,0,0,'Données projet'!$E$10+1,1))-AVERAGE(OFFSET($H$3,0,0,'Données projet'!$E$10+1,1))</f>
        <v>520.80494930257237</v>
      </c>
      <c r="AO65" s="62">
        <f t="shared" si="36"/>
        <v>325.72635759450861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4.2136524024098128</v>
      </c>
      <c r="AW65" s="23">
        <f>EXP(-LN(2)/2)*AW64+(1-EXP(-LN(2)/2))/(LN(2)/2)*AQ65*AT65*VLOOKUP('Données projet'!$B$10,Paramètres!$A$1:$I$89,3,0)*0.475*44/12</f>
        <v>2.5496261909649186E-4</v>
      </c>
      <c r="AX65" s="23">
        <f t="shared" si="6"/>
        <v>4.2139073650289092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18.58285714285714</v>
      </c>
      <c r="BD65" s="13">
        <f>IF('Données projet'!$A$88&gt;35,BD64+BC65-BL64,IF(A65&lt;'Données projet'!$A$88,$BA$205^A65,IF(A65='Données projet'!$A$88,'Données projet'!$B$88,BD64+BC65-BL64)))</f>
        <v>550.41714285714295</v>
      </c>
      <c r="BE65" s="14">
        <f>BD65*VLOOKUP('Données projet'!$B$11,Paramètres!$A$1:$I$89,3,0)*VLOOKUP('Données projet'!$B$11,Paramètres!$A$1:$I$89,5,0)</f>
        <v>307.68318285714292</v>
      </c>
      <c r="BF65" s="14">
        <f t="shared" si="37"/>
        <v>72.784775498421382</v>
      </c>
      <c r="BG65" s="22">
        <f t="shared" si="7"/>
        <v>662.64836080260773</v>
      </c>
      <c r="BH65" s="62">
        <f t="shared" si="8"/>
        <v>925.00736376225905</v>
      </c>
      <c r="BI65" s="62">
        <f ca="1">AVERAGE(OFFSET($BH$3,0,0,'Données projet'!$E$11+1,1))-AVERAGE(OFFSET($H$3,0,0,'Données projet'!$E$11+1,1))</f>
        <v>321.60602866722138</v>
      </c>
      <c r="BJ65" s="62">
        <f t="shared" si="38"/>
        <v>375.18886653687389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6.7946936320529501</v>
      </c>
      <c r="BQ65" s="23">
        <f>EXP(-LN(2)/25)*BQ64+(1-EXP(-LN(2)/25))/(LN(2)/25)*Calculateur!BL65*Calculateur!BN65*VLOOKUP('Données projet'!$B$11,Paramètres!$A$1:$I$89,3,0)*0.475*44/12</f>
        <v>6.5772352142054604</v>
      </c>
      <c r="BR65" s="23">
        <f>EXP(-LN(2)/2)*BR64+(1-EXP(-LN(2)/2))/(LN(2)/2)*BL65*BO65*VLOOKUP('Données projet'!$B$11,Paramètres!$A$1:$I$89,3,0)*0.475*44/12</f>
        <v>1.1172377173899499E-4</v>
      </c>
      <c r="BS65" s="24">
        <f t="shared" si="9"/>
        <v>13.372040570030149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2.8421709430404007E-14</v>
      </c>
      <c r="BZ65" s="14">
        <f>BY65*VLOOKUP('Données projet'!$B$12,Paramètres!$A$1:$I$89,3,0)*VLOOKUP('Données projet'!$B$12,Paramètres!$A$1:$I$89,5,0)</f>
        <v>1.5518253349000589E-14</v>
      </c>
      <c r="CA65" s="14">
        <f t="shared" si="39"/>
        <v>2.8958815659671149E-13</v>
      </c>
      <c r="CB65" s="22">
        <f t="shared" si="10"/>
        <v>5.3139366398878183E-13</v>
      </c>
      <c r="CC65" s="62">
        <f t="shared" si="11"/>
        <v>262.35900295965183</v>
      </c>
      <c r="CD65" s="62">
        <f ca="1">AVERAGE(OFFSET($CC$3,0,0,'Données projet'!$E$12+1,1))-AVERAGE(OFFSET($H$3,0,0,'Données projet'!$E$12+1,1))</f>
        <v>182.44246264133781</v>
      </c>
      <c r="CE65" s="62">
        <f t="shared" si="40"/>
        <v>262.5818213397049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2.2864117637294306</v>
      </c>
      <c r="CL65" s="23">
        <f>EXP(-LN(2)/25)*CL64+(1-EXP(-LN(2)/25))/(LN(2)/25)*Calculateur!CG65*Calculateur!CI65*VLOOKUP('Données projet'!$B$12,Paramètres!$A$1:$I$89,3,0)*0.475*44/12</f>
        <v>7.4532110679136858</v>
      </c>
      <c r="CM65" s="23">
        <f>EXP(-LN(2)/2)*CM64+(1-EXP(-LN(2)/2))/(LN(2)/2)*CG65*CJ65*VLOOKUP('Données projet'!$B$12,Paramètres!$A$1:$I$89,3,0)*0.475*44/12</f>
        <v>4.6059402409900047E-8</v>
      </c>
      <c r="CN65" s="24">
        <f t="shared" si="12"/>
        <v>9.7396228777025176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15.5</v>
      </c>
      <c r="CT65" s="13">
        <f>IF('Données projet'!$A$140&gt;35,CT64+CS65-DB64,IF(A65&lt;'Données projet'!$A$140,$CQ$205^A65,IF(A65='Données projet'!$A$140,'Données projet'!$B$140,CT64+CS65-DB64)))</f>
        <v>440.99999999999989</v>
      </c>
      <c r="CU65" s="18">
        <f>CT65*VLOOKUP('Données projet'!$B$13,Paramètres!$A$1:$I$89,3,0)*VLOOKUP('Données projet'!$B$13,Paramètres!$A$1:$I$89,5,0)</f>
        <v>206.38799999999995</v>
      </c>
      <c r="CV65" s="14">
        <f t="shared" si="41"/>
        <v>51.145477584014834</v>
      </c>
      <c r="CW65" s="22">
        <f t="shared" si="13"/>
        <v>448.53747345882579</v>
      </c>
      <c r="CX65" s="62">
        <f t="shared" si="14"/>
        <v>710.89647641847705</v>
      </c>
      <c r="CY65" s="62">
        <f ca="1">AVERAGE(OFFSET($CX$3,0,0,'Données projet'!$E$13+1,1))-AVERAGE(OFFSET($H$3,0,0,'Données projet'!$E$13+1,1))</f>
        <v>426.87921482911719</v>
      </c>
      <c r="CZ65" s="62">
        <f t="shared" si="42"/>
        <v>313.49594674441835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262.59999999999997</v>
      </c>
      <c r="DP65" s="18">
        <f>DO65*VLOOKUP('Données projet'!$B$14,Paramètres!$A$1:$I$89,3,0)*VLOOKUP('Données projet'!$B$14,Paramètres!$A$1:$I$89,5,0)</f>
        <v>253.98671999999999</v>
      </c>
      <c r="DQ65" s="14">
        <f t="shared" si="43"/>
        <v>61.438849277739124</v>
      </c>
      <c r="DR65" s="22">
        <f t="shared" si="16"/>
        <v>549.3661998253956</v>
      </c>
      <c r="DS65" s="62">
        <f t="shared" si="17"/>
        <v>811.72520278504692</v>
      </c>
      <c r="DT65" s="62">
        <f ca="1">AVERAGE(OFFSET($DS$3,0,0,'Données projet'!$E$14+1,1))-AVERAGE(OFFSET($H$3,0,0,'Données projet'!$E$14+1,1))</f>
        <v>500.25828825677058</v>
      </c>
      <c r="DU65" s="62">
        <f t="shared" si="44"/>
        <v>313.56299786481338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1.0560588690684423</v>
      </c>
      <c r="EC65" s="23">
        <f>EXP(-LN(2)/2)*EC64+(1-EXP(-LN(2)/2))/(LN(2)/2)*DW65*DZ65*VLOOKUP('Données projet'!$B$14,Paramètres!$A$1:$I$89,3,0)*0.475*44/12</f>
        <v>3.8345215058421947E-4</v>
      </c>
      <c r="ED65" s="24">
        <f t="shared" si="18"/>
        <v>1.0564423212190266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8.8000000000000007</v>
      </c>
      <c r="EJ65" s="13">
        <f>IF('Données projet'!$A$192&gt;35,EJ64+EI65-ER64,IF(A65&lt;'Données projet'!$A$192,$EG$205^A65,IF(A65='Données projet'!$A$192,'Données projet'!$B$192,EJ64+EI65-ER64)))</f>
        <v>262.59999999999997</v>
      </c>
      <c r="EK65" s="18">
        <f>EJ65*VLOOKUP('Données projet'!$B$15,Paramètres!$A$1:$I$89,3,0)*VLOOKUP('Données projet'!$B$15,Paramètres!$A$1:$I$89,5,0)</f>
        <v>282.66263999999995</v>
      </c>
      <c r="EL65" s="14">
        <f t="shared" si="45"/>
        <v>67.529390930099993</v>
      </c>
      <c r="EM65" s="22">
        <f t="shared" si="19"/>
        <v>609.91778720325738</v>
      </c>
      <c r="EN65" s="62">
        <f t="shared" si="20"/>
        <v>872.2767901629087</v>
      </c>
      <c r="EO65" s="62">
        <f ca="1">AVERAGE(OFFSET($EN$3,0,0,'Données projet'!$E$15+1,1))-AVERAGE(OFFSET($H$3,0,0,'Données projet'!$E$15+1,1))</f>
        <v>548.17046467409421</v>
      </c>
      <c r="EP65" s="62">
        <f t="shared" si="46"/>
        <v>341.9250949809848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1.1752913220277825</v>
      </c>
      <c r="EX65" s="23">
        <f>EXP(-LN(2)/2)*EX64+(1-EXP(-LN(2)/2))/(LN(2)/2)*ER65*EU65*VLOOKUP('Données projet'!$B$15,Paramètres!$A$1:$I$89,3,0)*0.475*44/12</f>
        <v>4.2674513532759876E-4</v>
      </c>
      <c r="EY65" s="24">
        <f t="shared" si="21"/>
        <v>1.1757180671631102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794.44864396082176</v>
      </c>
      <c r="S66" s="62">
        <f ca="1">AVERAGE(OFFSET($R$3,0,0,'Données projet'!$E$9+1,1))-AVERAGE(OFFSET($H$3,0,0,'Données projet'!$E$9+1,1))</f>
        <v>472.83070477639035</v>
      </c>
      <c r="T66" s="62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3.657060486784844</v>
      </c>
      <c r="AB66" s="23">
        <f>EXP(-LN(2)/2)*AB65+(1-EXP(-LN(2)/2))/(LN(2)/2)*V66*Y66*VLOOKUP('Données projet'!$B$9,Paramètres!$A$1:$I$89,3,0)*0.475*44/12</f>
        <v>1.6087040339858957E-4</v>
      </c>
      <c r="AC66" s="24">
        <f t="shared" si="3"/>
        <v>3.6572213571882424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275.19960000000003</v>
      </c>
      <c r="AK66" s="14">
        <f t="shared" si="35"/>
        <v>65.951527620662617</v>
      </c>
      <c r="AL66" s="22">
        <f t="shared" si="4"/>
        <v>594.17154727265404</v>
      </c>
      <c r="AM66" s="62">
        <f t="shared" si="5"/>
        <v>857.06788561606015</v>
      </c>
      <c r="AN66" s="62">
        <f ca="1">AVERAGE(OFFSET($AM$3,0,0,'Données projet'!$E$10+1,1))-AVERAGE(OFFSET($H$3,0,0,'Données projet'!$E$10+1,1))</f>
        <v>520.80494930257237</v>
      </c>
      <c r="AO66" s="62">
        <f t="shared" si="36"/>
        <v>325.72635759450861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4.0984298558795667</v>
      </c>
      <c r="AW66" s="23">
        <f>EXP(-LN(2)/2)*AW65+(1-EXP(-LN(2)/2))/(LN(2)/2)*AQ66*AT66*VLOOKUP('Données projet'!$B$10,Paramètres!$A$1:$I$89,3,0)*0.475*44/12</f>
        <v>1.8028579691221214E-4</v>
      </c>
      <c r="AX66" s="23">
        <f t="shared" si="6"/>
        <v>4.0986101416764793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569</v>
      </c>
      <c r="BB66" s="13">
        <f>VLOOKUP(A66,'Données projet'!$A$87:$I$107,9,0)</f>
        <v>18.58285714285714</v>
      </c>
      <c r="BC66" s="13">
        <f t="array" ref="BC66">INDEX(BB:BB,MIN(IF(ISNUMBER(BB66:BB262),ROW(BB66:BB262),"")))</f>
        <v>18.58285714285714</v>
      </c>
      <c r="BD66" s="13">
        <f>IF('Données projet'!$A$88&gt;35,BD65+BC66-BL65,IF(A66&lt;'Données projet'!$A$88,$BA$205^A66,IF(A66='Données projet'!$A$88,'Données projet'!$B$88,BD65+BC66-BL65)))</f>
        <v>569.00000000000011</v>
      </c>
      <c r="BE66" s="14">
        <f>BD66*VLOOKUP('Données projet'!$B$11,Paramètres!$A$1:$I$89,3,0)*VLOOKUP('Données projet'!$B$11,Paramètres!$A$1:$I$89,5,0)</f>
        <v>318.07100000000008</v>
      </c>
      <c r="BF66" s="14">
        <f t="shared" si="37"/>
        <v>74.951846567144685</v>
      </c>
      <c r="BG66" s="22">
        <f t="shared" si="7"/>
        <v>684.51479110444382</v>
      </c>
      <c r="BH66" s="62">
        <f t="shared" si="8"/>
        <v>947.41112944784993</v>
      </c>
      <c r="BI66" s="62">
        <f ca="1">AVERAGE(OFFSET($BH$3,0,0,'Données projet'!$E$11+1,1))-AVERAGE(OFFSET($H$3,0,0,'Données projet'!$E$11+1,1))</f>
        <v>321.60602866722138</v>
      </c>
      <c r="BJ66" s="62">
        <f t="shared" si="38"/>
        <v>375.18886653687389</v>
      </c>
      <c r="BK66" s="16">
        <f>IF(ISNA(VLOOKUP(A66,'Données projet'!$A$87:$I$107,3,0)),0,VLOOKUP(A66,'Données projet'!$A$87:$I$107,3,0))</f>
        <v>8</v>
      </c>
      <c r="BL66" s="16">
        <f>IF(ISNA(VLOOKUP(A66,'Données projet'!$A$87:$I$107,4,0)),0,VLOOKUP(A66,'Données projet'!$A$87:$I$107,4,0))</f>
        <v>99.49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6.6614538342822867</v>
      </c>
      <c r="BQ66" s="23">
        <f>EXP(-LN(2)/25)*BQ65+(1-EXP(-LN(2)/25))/(LN(2)/25)*Calculateur!BL66*Calculateur!BN66*VLOOKUP('Données projet'!$B$11,Paramètres!$A$1:$I$89,3,0)*0.475*44/12</f>
        <v>6.3973803713912449</v>
      </c>
      <c r="BR66" s="23">
        <f>EXP(-LN(2)/2)*BR65+(1-EXP(-LN(2)/2))/(LN(2)/2)*BL66*BO66*VLOOKUP('Données projet'!$B$11,Paramètres!$A$1:$I$89,3,0)*0.475*44/12</f>
        <v>7.9000636616381311E-5</v>
      </c>
      <c r="BS66" s="24">
        <f t="shared" si="9"/>
        <v>13.058913206310146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2.8421709430404007E-14</v>
      </c>
      <c r="BZ66" s="14">
        <f>BY66*VLOOKUP('Données projet'!$B$12,Paramètres!$A$1:$I$89,3,0)*VLOOKUP('Données projet'!$B$12,Paramètres!$A$1:$I$89,5,0)</f>
        <v>1.5518253349000589E-14</v>
      </c>
      <c r="CA66" s="14">
        <f t="shared" si="39"/>
        <v>2.8958815659671149E-13</v>
      </c>
      <c r="CB66" s="22">
        <f t="shared" si="10"/>
        <v>5.3139366398878183E-13</v>
      </c>
      <c r="CC66" s="62">
        <f t="shared" si="11"/>
        <v>262.89633834340663</v>
      </c>
      <c r="CD66" s="62">
        <f ca="1">AVERAGE(OFFSET($CC$3,0,0,'Données projet'!$E$12+1,1))-AVERAGE(OFFSET($H$3,0,0,'Données projet'!$E$12+1,1))</f>
        <v>182.44246264133781</v>
      </c>
      <c r="CE66" s="62">
        <f t="shared" si="40"/>
        <v>262.5818213397049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2.2415766236161696</v>
      </c>
      <c r="CL66" s="23">
        <f>EXP(-LN(2)/25)*CL65+(1-EXP(-LN(2)/25))/(LN(2)/25)*Calculateur!CG66*Calculateur!CI66*VLOOKUP('Données projet'!$B$12,Paramètres!$A$1:$I$89,3,0)*0.475*44/12</f>
        <v>7.2494026193142505</v>
      </c>
      <c r="CM66" s="23">
        <f>EXP(-LN(2)/2)*CM65+(1-EXP(-LN(2)/2))/(LN(2)/2)*CG66*CJ66*VLOOKUP('Données projet'!$B$12,Paramètres!$A$1:$I$89,3,0)*0.475*44/12</f>
        <v>3.2568915781440332E-8</v>
      </c>
      <c r="CN66" s="24">
        <f t="shared" si="12"/>
        <v>9.4909792754993365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15.5</v>
      </c>
      <c r="CT66" s="13">
        <f>IF('Données projet'!$A$140&gt;35,CT65+CS66-DB65,IF(A66&lt;'Données projet'!$A$140,$CQ$205^A66,IF(A66='Données projet'!$A$140,'Données projet'!$B$140,CT65+CS66-DB65)))</f>
        <v>456.49999999999989</v>
      </c>
      <c r="CU66" s="18">
        <f>CT66*VLOOKUP('Données projet'!$B$13,Paramètres!$A$1:$I$89,3,0)*VLOOKUP('Données projet'!$B$13,Paramètres!$A$1:$I$89,5,0)</f>
        <v>213.64199999999994</v>
      </c>
      <c r="CV66" s="14">
        <f t="shared" si="41"/>
        <v>52.730656153675348</v>
      </c>
      <c r="CW66" s="22">
        <f t="shared" si="13"/>
        <v>463.93237613431779</v>
      </c>
      <c r="CX66" s="62">
        <f t="shared" si="14"/>
        <v>726.82871447772391</v>
      </c>
      <c r="CY66" s="62">
        <f ca="1">AVERAGE(OFFSET($CX$3,0,0,'Données projet'!$E$13+1,1))-AVERAGE(OFFSET($H$3,0,0,'Données projet'!$E$13+1,1))</f>
        <v>426.87921482911719</v>
      </c>
      <c r="CZ66" s="62">
        <f t="shared" si="42"/>
        <v>313.49594674441835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271.39999999999998</v>
      </c>
      <c r="DP66" s="18">
        <f>DO66*VLOOKUP('Données projet'!$B$14,Paramètres!$A$1:$I$89,3,0)*VLOOKUP('Données projet'!$B$14,Paramètres!$A$1:$I$89,5,0)</f>
        <v>262.49807999999996</v>
      </c>
      <c r="DQ66" s="14">
        <f t="shared" si="43"/>
        <v>63.254570961138086</v>
      </c>
      <c r="DR66" s="22">
        <f t="shared" si="16"/>
        <v>567.35253375731543</v>
      </c>
      <c r="DS66" s="62">
        <f t="shared" si="17"/>
        <v>830.24887210072154</v>
      </c>
      <c r="DT66" s="62">
        <f ca="1">AVERAGE(OFFSET($DS$3,0,0,'Données projet'!$E$14+1,1))-AVERAGE(OFFSET($H$3,0,0,'Données projet'!$E$14+1,1))</f>
        <v>500.25828825677058</v>
      </c>
      <c r="DU66" s="62">
        <f t="shared" si="44"/>
        <v>313.56299786481338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1.0271808837580434</v>
      </c>
      <c r="EC66" s="23">
        <f>EXP(-LN(2)/2)*EC65+(1-EXP(-LN(2)/2))/(LN(2)/2)*DW66*DZ66*VLOOKUP('Données projet'!$B$14,Paramètres!$A$1:$I$89,3,0)*0.475*44/12</f>
        <v>2.7114161593866674E-4</v>
      </c>
      <c r="ED66" s="24">
        <f t="shared" si="18"/>
        <v>1.0274520253739821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8.8000000000000007</v>
      </c>
      <c r="EJ66" s="13">
        <f>IF('Données projet'!$A$192&gt;35,EJ65+EI66-ER65,IF(A66&lt;'Données projet'!$A$192,$EG$205^A66,IF(A66='Données projet'!$A$192,'Données projet'!$B$192,EJ65+EI66-ER65)))</f>
        <v>271.39999999999998</v>
      </c>
      <c r="EK66" s="18">
        <f>EJ66*VLOOKUP('Données projet'!$B$15,Paramètres!$A$1:$I$89,3,0)*VLOOKUP('Données projet'!$B$15,Paramètres!$A$1:$I$89,5,0)</f>
        <v>292.13495999999998</v>
      </c>
      <c r="EL66" s="14">
        <f t="shared" si="45"/>
        <v>69.525108311202231</v>
      </c>
      <c r="EM66" s="22">
        <f t="shared" si="19"/>
        <v>629.89128564201053</v>
      </c>
      <c r="EN66" s="62">
        <f t="shared" si="20"/>
        <v>892.78762398541664</v>
      </c>
      <c r="EO66" s="62">
        <f ca="1">AVERAGE(OFFSET($EN$3,0,0,'Données projet'!$E$15+1,1))-AVERAGE(OFFSET($H$3,0,0,'Données projet'!$E$15+1,1))</f>
        <v>548.17046467409421</v>
      </c>
      <c r="EP66" s="62">
        <f t="shared" si="46"/>
        <v>341.9250949809848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1.1431529190210483</v>
      </c>
      <c r="EX66" s="23">
        <f>EXP(-LN(2)/2)*EX65+(1-EXP(-LN(2)/2))/(LN(2)/2)*ER66*EU66*VLOOKUP('Données projet'!$B$15,Paramètres!$A$1:$I$89,3,0)*0.475*44/12</f>
        <v>3.0175437902851598E-4</v>
      </c>
      <c r="EY66" s="24">
        <f t="shared" si="21"/>
        <v>1.1434546734000768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811.81440445847329</v>
      </c>
      <c r="S67" s="62">
        <f ca="1">AVERAGE(OFFSET($R$3,0,0,'Données projet'!$E$9+1,1))-AVERAGE(OFFSET($H$3,0,0,'Données projet'!$E$9+1,1))</f>
        <v>472.83070477639035</v>
      </c>
      <c r="T67" s="62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3.5570579754572598</v>
      </c>
      <c r="AB67" s="23">
        <f>EXP(-LN(2)/2)*AB66+(1-EXP(-LN(2)/2))/(LN(2)/2)*V67*Y67*VLOOKUP('Données projet'!$B$9,Paramètres!$A$1:$I$89,3,0)*0.475*44/12</f>
        <v>1.1375255313535811E-4</v>
      </c>
      <c r="AC67" s="24">
        <f t="shared" si="3"/>
        <v>3.5571717280103949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284.12279999999998</v>
      </c>
      <c r="AK67" s="14">
        <f t="shared" si="35"/>
        <v>67.837532462585557</v>
      </c>
      <c r="AL67" s="22">
        <f t="shared" si="4"/>
        <v>612.99757903900309</v>
      </c>
      <c r="AM67" s="62">
        <f t="shared" si="5"/>
        <v>876.42193119855779</v>
      </c>
      <c r="AN67" s="62">
        <f ca="1">AVERAGE(OFFSET($AM$3,0,0,'Données projet'!$E$10+1,1))-AVERAGE(OFFSET($H$3,0,0,'Données projet'!$E$10+1,1))</f>
        <v>520.80494930257237</v>
      </c>
      <c r="AO67" s="62">
        <f t="shared" si="36"/>
        <v>325.72635759450861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3.9863580759434809</v>
      </c>
      <c r="AW67" s="23">
        <f>EXP(-LN(2)/2)*AW66+(1-EXP(-LN(2)/2))/(LN(2)/2)*AQ67*AT67*VLOOKUP('Données projet'!$B$10,Paramètres!$A$1:$I$89,3,0)*0.475*44/12</f>
        <v>1.2748130954824593E-4</v>
      </c>
      <c r="AX67" s="23">
        <f t="shared" si="6"/>
        <v>3.9864855572530291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16.745000000000005</v>
      </c>
      <c r="BD67" s="13">
        <f>IF('Données projet'!$A$88&gt;35,BD66+BC67-BL66,IF(A67&lt;'Données projet'!$A$88,$BA$205^A67,IF(A67='Données projet'!$A$88,'Données projet'!$B$88,BD66+BC67-BL66)))</f>
        <v>486.25500000000011</v>
      </c>
      <c r="BE67" s="14">
        <f>BD67*VLOOKUP('Données projet'!$B$11,Paramètres!$A$1:$I$89,3,0)*VLOOKUP('Données projet'!$B$11,Paramètres!$A$1:$I$89,5,0)</f>
        <v>271.81654500000008</v>
      </c>
      <c r="BF67" s="14">
        <f t="shared" si="37"/>
        <v>65.234635404592368</v>
      </c>
      <c r="BG67" s="22">
        <f t="shared" si="7"/>
        <v>587.03080587133184</v>
      </c>
      <c r="BH67" s="62">
        <f t="shared" si="8"/>
        <v>850.45515803088665</v>
      </c>
      <c r="BI67" s="62">
        <f ca="1">AVERAGE(OFFSET($BH$3,0,0,'Données projet'!$E$11+1,1))-AVERAGE(OFFSET($H$3,0,0,'Données projet'!$E$11+1,1))</f>
        <v>321.60602866722138</v>
      </c>
      <c r="BJ67" s="62">
        <f t="shared" si="38"/>
        <v>375.18886653687389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6.5308267876776531</v>
      </c>
      <c r="BQ67" s="23">
        <f>EXP(-LN(2)/25)*BQ66+(1-EXP(-LN(2)/25))/(LN(2)/25)*Calculateur!BL67*Calculateur!BN67*VLOOKUP('Données projet'!$B$11,Paramètres!$A$1:$I$89,3,0)*0.475*44/12</f>
        <v>6.2224436687119393</v>
      </c>
      <c r="BR67" s="23">
        <f>EXP(-LN(2)/2)*BR66+(1-EXP(-LN(2)/2))/(LN(2)/2)*BL67*BO67*VLOOKUP('Données projet'!$B$11,Paramètres!$A$1:$I$89,3,0)*0.475*44/12</f>
        <v>5.5861885869497495E-5</v>
      </c>
      <c r="BS67" s="24">
        <f t="shared" si="9"/>
        <v>12.753326318275462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2.8421709430404007E-14</v>
      </c>
      <c r="BZ67" s="14">
        <f>BY67*VLOOKUP('Données projet'!$B$12,Paramètres!$A$1:$I$89,3,0)*VLOOKUP('Données projet'!$B$12,Paramètres!$A$1:$I$89,5,0)</f>
        <v>1.5518253349000589E-14</v>
      </c>
      <c r="CA67" s="14">
        <f t="shared" si="39"/>
        <v>2.8958815659671149E-13</v>
      </c>
      <c r="CB67" s="22">
        <f t="shared" si="10"/>
        <v>5.3139366398878183E-13</v>
      </c>
      <c r="CC67" s="62">
        <f t="shared" si="11"/>
        <v>263.42435215955527</v>
      </c>
      <c r="CD67" s="62">
        <f ca="1">AVERAGE(OFFSET($CC$3,0,0,'Données projet'!$E$12+1,1))-AVERAGE(OFFSET($H$3,0,0,'Données projet'!$E$12+1,1))</f>
        <v>182.44246264133781</v>
      </c>
      <c r="CE67" s="62">
        <f t="shared" si="40"/>
        <v>262.5818213397049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2.1976206732537946</v>
      </c>
      <c r="CL67" s="23">
        <f>EXP(-LN(2)/25)*CL66+(1-EXP(-LN(2)/25))/(LN(2)/25)*Calculateur!CG67*Calculateur!CI67*VLOOKUP('Données projet'!$B$12,Paramètres!$A$1:$I$89,3,0)*0.475*44/12</f>
        <v>7.0511673234595875</v>
      </c>
      <c r="CM67" s="23">
        <f>EXP(-LN(2)/2)*CM66+(1-EXP(-LN(2)/2))/(LN(2)/2)*CG67*CJ67*VLOOKUP('Données projet'!$B$12,Paramètres!$A$1:$I$89,3,0)*0.475*44/12</f>
        <v>2.3029701204950023E-8</v>
      </c>
      <c r="CN67" s="24">
        <f t="shared" si="12"/>
        <v>9.248788019743083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15.5</v>
      </c>
      <c r="CT67" s="13">
        <f>IF('Données projet'!$A$140&gt;35,CT66+CS67-DB66,IF(A67&lt;'Données projet'!$A$140,$CQ$205^A67,IF(A67='Données projet'!$A$140,'Données projet'!$B$140,CT66+CS67-DB66)))</f>
        <v>471.99999999999989</v>
      </c>
      <c r="CU67" s="18">
        <f>CT67*VLOOKUP('Données projet'!$B$13,Paramètres!$A$1:$I$89,3,0)*VLOOKUP('Données projet'!$B$13,Paramètres!$A$1:$I$89,5,0)</f>
        <v>220.89599999999996</v>
      </c>
      <c r="CV67" s="14">
        <f t="shared" si="41"/>
        <v>54.309580803412281</v>
      </c>
      <c r="CW67" s="22">
        <f t="shared" si="13"/>
        <v>479.31638656594299</v>
      </c>
      <c r="CX67" s="62">
        <f t="shared" si="14"/>
        <v>742.74073872549775</v>
      </c>
      <c r="CY67" s="62">
        <f ca="1">AVERAGE(OFFSET($CX$3,0,0,'Données projet'!$E$13+1,1))-AVERAGE(OFFSET($H$3,0,0,'Données projet'!$E$13+1,1))</f>
        <v>426.87921482911719</v>
      </c>
      <c r="CZ67" s="62">
        <f t="shared" si="42"/>
        <v>313.49594674441835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280.2</v>
      </c>
      <c r="DP67" s="18">
        <f>DO67*VLOOKUP('Données projet'!$B$14,Paramètres!$A$1:$I$89,3,0)*VLOOKUP('Données projet'!$B$14,Paramètres!$A$1:$I$89,5,0)</f>
        <v>271.00943999999998</v>
      </c>
      <c r="DQ67" s="14">
        <f t="shared" si="43"/>
        <v>65.063451383023647</v>
      </c>
      <c r="DR67" s="22">
        <f t="shared" si="16"/>
        <v>585.32695249209939</v>
      </c>
      <c r="DS67" s="62">
        <f t="shared" si="17"/>
        <v>848.75130465165421</v>
      </c>
      <c r="DT67" s="62">
        <f ca="1">AVERAGE(OFFSET($DS$3,0,0,'Données projet'!$E$14+1,1))-AVERAGE(OFFSET($H$3,0,0,'Données projet'!$E$14+1,1))</f>
        <v>500.25828825677058</v>
      </c>
      <c r="DU67" s="62">
        <f t="shared" si="44"/>
        <v>313.56299786481338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0.99909256847458472</v>
      </c>
      <c r="EC67" s="23">
        <f>EXP(-LN(2)/2)*EC66+(1-EXP(-LN(2)/2))/(LN(2)/2)*DW67*DZ67*VLOOKUP('Données projet'!$B$14,Paramètres!$A$1:$I$89,3,0)*0.475*44/12</f>
        <v>1.9172607529210973E-4</v>
      </c>
      <c r="ED67" s="24">
        <f t="shared" si="18"/>
        <v>0.99928429454987688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8.8000000000000007</v>
      </c>
      <c r="EJ67" s="13">
        <f>IF('Données projet'!$A$192&gt;35,EJ66+EI67-ER66,IF(A67&lt;'Données projet'!$A$192,$EG$205^A67,IF(A67='Données projet'!$A$192,'Données projet'!$B$192,EJ66+EI67-ER66)))</f>
        <v>280.2</v>
      </c>
      <c r="EK67" s="18">
        <f>EJ67*VLOOKUP('Données projet'!$B$15,Paramètres!$A$1:$I$89,3,0)*VLOOKUP('Données projet'!$B$15,Paramètres!$A$1:$I$89,5,0)</f>
        <v>301.60727999999995</v>
      </c>
      <c r="EL67" s="14">
        <f t="shared" si="45"/>
        <v>71.513306244453176</v>
      </c>
      <c r="EM67" s="22">
        <f t="shared" si="19"/>
        <v>649.85168770908911</v>
      </c>
      <c r="EN67" s="62">
        <f t="shared" si="20"/>
        <v>913.27603986864392</v>
      </c>
      <c r="EO67" s="62">
        <f ca="1">AVERAGE(OFFSET($EN$3,0,0,'Données projet'!$E$15+1,1))-AVERAGE(OFFSET($H$3,0,0,'Données projet'!$E$15+1,1))</f>
        <v>548.17046467409421</v>
      </c>
      <c r="EP67" s="62">
        <f t="shared" si="46"/>
        <v>341.9250949809848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1.1118933423346185</v>
      </c>
      <c r="EX67" s="23">
        <f>EXP(-LN(2)/2)*EX66+(1-EXP(-LN(2)/2))/(LN(2)/2)*ER67*EU67*VLOOKUP('Données projet'!$B$15,Paramètres!$A$1:$I$89,3,0)*0.475*44/12</f>
        <v>2.1337256766379938E-4</v>
      </c>
      <c r="EY67" s="24">
        <f t="shared" si="21"/>
        <v>1.1121067149022823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829.16016503013611</v>
      </c>
      <c r="S68" s="62">
        <f ca="1">AVERAGE(OFFSET($R$3,0,0,'Données projet'!$E$9+1,1))-AVERAGE(OFFSET($H$3,0,0,'Données projet'!$E$9+1,1))</f>
        <v>472.83070477639035</v>
      </c>
      <c r="T68" s="62">
        <f t="shared" si="34"/>
        <v>297.32483725004136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3.4597900380608317</v>
      </c>
      <c r="AB68" s="23">
        <f>EXP(-LN(2)/2)*AB67+(1-EXP(-LN(2)/2))/(LN(2)/2)*V68*Y68*VLOOKUP('Données projet'!$B$9,Paramètres!$A$1:$I$89,3,0)*0.475*44/12</f>
        <v>8.0435201699294783E-5</v>
      </c>
      <c r="AC68" s="24">
        <f t="shared" ref="AC68:AC131" si="57">SUM(Z68:AB68)</f>
        <v>3.4598704732625309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293.04599999999999</v>
      </c>
      <c r="AK68" s="14">
        <f t="shared" si="35"/>
        <v>69.716654076072615</v>
      </c>
      <c r="AL68" s="22">
        <f t="shared" ref="AL68:AL131" si="58">(AJ68+AK68)*0.475*44/12</f>
        <v>631.81162251582646</v>
      </c>
      <c r="AM68" s="62">
        <f t="shared" ref="AM68:AM131" si="59">AL68+(AD68+AE68)*44/12</f>
        <v>895.75482863228171</v>
      </c>
      <c r="AN68" s="62">
        <f ca="1">AVERAGE(OFFSET($AM$3,0,0,'Données projet'!$E$10+1,1))-AVERAGE(OFFSET($H$3,0,0,'Données projet'!$E$10+1,1))</f>
        <v>520.80494930257237</v>
      </c>
      <c r="AO68" s="62">
        <f t="shared" si="36"/>
        <v>325.72635759450861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3.8773509047233463</v>
      </c>
      <c r="AW68" s="23">
        <f>EXP(-LN(2)/2)*AW67+(1-EXP(-LN(2)/2))/(LN(2)/2)*AQ68*AT68*VLOOKUP('Données projet'!$B$10,Paramètres!$A$1:$I$89,3,0)*0.475*44/12</f>
        <v>9.0142898456106068E-5</v>
      </c>
      <c r="AX68" s="23">
        <f t="shared" ref="AX68:AX131" si="60">SUM(AU68:AW68)</f>
        <v>3.8774410476218026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16.745000000000005</v>
      </c>
      <c r="BD68" s="13">
        <f>IF('Données projet'!$A$88&gt;35,BD67+BC68-BL67,IF(A68&lt;'Données projet'!$A$88,$BA$205^A68,IF(A68='Données projet'!$A$88,'Données projet'!$B$88,BD67+BC68-BL67)))</f>
        <v>503.00000000000011</v>
      </c>
      <c r="BE68" s="14">
        <f>BD68*VLOOKUP('Données projet'!$B$11,Paramètres!$A$1:$I$89,3,0)*VLOOKUP('Données projet'!$B$11,Paramètres!$A$1:$I$89,5,0)</f>
        <v>281.17700000000008</v>
      </c>
      <c r="BF68" s="14">
        <f t="shared" si="37"/>
        <v>67.215682058608678</v>
      </c>
      <c r="BG68" s="22">
        <f t="shared" ref="BG68:BG131" si="61">(BE68+BF68)*0.475*44/12</f>
        <v>606.78392125207699</v>
      </c>
      <c r="BH68" s="62">
        <f t="shared" ref="BH68:BH131" si="62">BG68+(AY68+AZ68)*44/12</f>
        <v>870.72712736853214</v>
      </c>
      <c r="BI68" s="62">
        <f ca="1">AVERAGE(OFFSET($BH$3,0,0,'Données projet'!$E$11+1,1))-AVERAGE(OFFSET($H$3,0,0,'Données projet'!$E$11+1,1))</f>
        <v>321.60602866722138</v>
      </c>
      <c r="BJ68" s="62">
        <f t="shared" si="38"/>
        <v>375.18886653687389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6.4027612577823056</v>
      </c>
      <c r="BQ68" s="23">
        <f>EXP(-LN(2)/25)*BQ67+(1-EXP(-LN(2)/25))/(LN(2)/25)*Calculateur!BL68*Calculateur!BN68*VLOOKUP('Données projet'!$B$11,Paramètres!$A$1:$I$89,3,0)*0.475*44/12</f>
        <v>6.0522906193669206</v>
      </c>
      <c r="BR68" s="23">
        <f>EXP(-LN(2)/2)*BR67+(1-EXP(-LN(2)/2))/(LN(2)/2)*BL68*BO68*VLOOKUP('Données projet'!$B$11,Paramètres!$A$1:$I$89,3,0)*0.475*44/12</f>
        <v>3.9500318308190655E-5</v>
      </c>
      <c r="BS68" s="24">
        <f t="shared" ref="BS68:BS131" si="63">SUM(BP68:BR68)</f>
        <v>12.455091377467536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2.8421709430404007E-14</v>
      </c>
      <c r="BZ68" s="14">
        <f>BY68*VLOOKUP('Données projet'!$B$12,Paramètres!$A$1:$I$89,3,0)*VLOOKUP('Données projet'!$B$12,Paramètres!$A$1:$I$89,5,0)</f>
        <v>1.5518253349000589E-14</v>
      </c>
      <c r="CA68" s="14">
        <f t="shared" si="39"/>
        <v>2.8958815659671149E-13</v>
      </c>
      <c r="CB68" s="22">
        <f t="shared" ref="CB68:CB131" si="64">(BZ68+CA68)*0.475*44/12</f>
        <v>5.3139366398878183E-13</v>
      </c>
      <c r="CC68" s="62">
        <f t="shared" ref="CC68:CC131" si="65">CB68+(BT68+BU68)*44/12</f>
        <v>263.94320611645571</v>
      </c>
      <c r="CD68" s="62">
        <f ca="1">AVERAGE(OFFSET($CC$3,0,0,'Données projet'!$E$12+1,1))-AVERAGE(OFFSET($H$3,0,0,'Données projet'!$E$12+1,1))</f>
        <v>182.44246264133781</v>
      </c>
      <c r="CE68" s="62">
        <f t="shared" si="40"/>
        <v>262.5818213397049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2.1545266722675431</v>
      </c>
      <c r="CL68" s="23">
        <f>EXP(-LN(2)/25)*CL67+(1-EXP(-LN(2)/25))/(LN(2)/25)*Calculateur!CG68*Calculateur!CI68*VLOOKUP('Données projet'!$B$12,Paramètres!$A$1:$I$89,3,0)*0.475*44/12</f>
        <v>6.8583527821948111</v>
      </c>
      <c r="CM68" s="23">
        <f>EXP(-LN(2)/2)*CM67+(1-EXP(-LN(2)/2))/(LN(2)/2)*CG68*CJ68*VLOOKUP('Données projet'!$B$12,Paramètres!$A$1:$I$89,3,0)*0.475*44/12</f>
        <v>1.6284457890720166E-8</v>
      </c>
      <c r="CN68" s="24">
        <f t="shared" ref="CN68:CN131" si="66">SUM(CK68:CM68)</f>
        <v>9.0128794707468121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15.5</v>
      </c>
      <c r="CT68" s="13">
        <f>IF('Données projet'!$A$140&gt;35,CT67+CS68-DB67,IF(A68&lt;'Données projet'!$A$140,$CQ$205^A68,IF(A68='Données projet'!$A$140,'Données projet'!$B$140,CT67+CS68-DB67)))</f>
        <v>487.49999999999989</v>
      </c>
      <c r="CU68" s="18">
        <f>CT68*VLOOKUP('Données projet'!$B$13,Paramètres!$A$1:$I$89,3,0)*VLOOKUP('Données projet'!$B$13,Paramètres!$A$1:$I$89,5,0)</f>
        <v>228.14999999999992</v>
      </c>
      <c r="CV68" s="14">
        <f t="shared" si="41"/>
        <v>55.882480456847652</v>
      </c>
      <c r="CW68" s="22">
        <f t="shared" ref="CW68:CW131" si="67">(CU68+CV68)*0.475*44/12</f>
        <v>494.68990346234278</v>
      </c>
      <c r="CX68" s="62">
        <f t="shared" ref="CX68:CX131" si="68">CW68+(CO68+CP68)*44/12</f>
        <v>758.63310957879798</v>
      </c>
      <c r="CY68" s="62">
        <f ca="1">AVERAGE(OFFSET($CX$3,0,0,'Données projet'!$E$13+1,1))-AVERAGE(OFFSET($H$3,0,0,'Données projet'!$E$13+1,1))</f>
        <v>426.87921482911719</v>
      </c>
      <c r="CZ68" s="62">
        <f t="shared" si="42"/>
        <v>313.49594674441835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289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289</v>
      </c>
      <c r="DP68" s="18">
        <f>DO68*VLOOKUP('Données projet'!$B$14,Paramètres!$A$1:$I$89,3,0)*VLOOKUP('Données projet'!$B$14,Paramètres!$A$1:$I$89,5,0)</f>
        <v>279.52080000000001</v>
      </c>
      <c r="DQ68" s="14">
        <f t="shared" si="43"/>
        <v>66.865730052421583</v>
      </c>
      <c r="DR68" s="22">
        <f t="shared" ref="DR68:DR131" si="70">(DP68+DQ68)*0.475*44/12</f>
        <v>603.28987317463418</v>
      </c>
      <c r="DS68" s="62">
        <f t="shared" ref="DS68:DS131" si="71">DR68+(DJ68+DK68)*44/12</f>
        <v>867.23307929108933</v>
      </c>
      <c r="DT68" s="62">
        <f ca="1">AVERAGE(OFFSET($DS$3,0,0,'Données projet'!$E$14+1,1))-AVERAGE(OFFSET($H$3,0,0,'Données projet'!$E$14+1,1))</f>
        <v>500.25828825677058</v>
      </c>
      <c r="DU68" s="62">
        <f t="shared" si="44"/>
        <v>313.56299786481338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0.97177232964965243</v>
      </c>
      <c r="EC68" s="23">
        <f>EXP(-LN(2)/2)*EC67+(1-EXP(-LN(2)/2))/(LN(2)/2)*DW68*DZ68*VLOOKUP('Données projet'!$B$14,Paramètres!$A$1:$I$89,3,0)*0.475*44/12</f>
        <v>1.3557080796933337E-4</v>
      </c>
      <c r="ED68" s="24">
        <f t="shared" ref="ED68:ED131" si="72">SUM(EA68:EC68)</f>
        <v>0.97190790045762177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289</v>
      </c>
      <c r="EH68" s="13">
        <f>VLOOKUP(A68,'Données projet'!$A$191:$I$211,9,0)</f>
        <v>8.8000000000000007</v>
      </c>
      <c r="EI68" s="13">
        <f t="array" ref="EI68">INDEX(EH:EH,MIN(IF(ISNUMBER(EH68:EH264),ROW(EH68:EH264),"")))</f>
        <v>8.8000000000000007</v>
      </c>
      <c r="EJ68" s="13">
        <f>IF('Données projet'!$A$192&gt;35,EJ67+EI68-ER67,IF(A68&lt;'Données projet'!$A$192,$EG$205^A68,IF(A68='Données projet'!$A$192,'Données projet'!$B$192,EJ67+EI68-ER67)))</f>
        <v>289</v>
      </c>
      <c r="EK68" s="18">
        <f>EJ68*VLOOKUP('Données projet'!$B$15,Paramètres!$A$1:$I$89,3,0)*VLOOKUP('Données projet'!$B$15,Paramètres!$A$1:$I$89,5,0)</f>
        <v>311.07960000000003</v>
      </c>
      <c r="EL68" s="14">
        <f t="shared" si="45"/>
        <v>73.49424798183118</v>
      </c>
      <c r="EM68" s="22">
        <f t="shared" ref="EM68:EM131" si="73">(EK68+EL68)*0.475*44/12</f>
        <v>669.79945190168928</v>
      </c>
      <c r="EN68" s="62">
        <f t="shared" ref="EN68:EN131" si="74">EM68+(EE68+EF68)*44/12</f>
        <v>933.74265801814454</v>
      </c>
      <c r="EO68" s="62">
        <f ca="1">AVERAGE(OFFSET($EN$3,0,0,'Données projet'!$E$15+1,1))-AVERAGE(OFFSET($H$3,0,0,'Données projet'!$E$15+1,1))</f>
        <v>548.17046467409421</v>
      </c>
      <c r="EP68" s="62">
        <f t="shared" si="46"/>
        <v>341.9250949809848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1.0814885604165487</v>
      </c>
      <c r="EX68" s="23">
        <f>EXP(-LN(2)/2)*EX67+(1-EXP(-LN(2)/2))/(LN(2)/2)*ER68*EU68*VLOOKUP('Données projet'!$B$15,Paramètres!$A$1:$I$89,3,0)*0.475*44/12</f>
        <v>1.5087718951425799E-4</v>
      </c>
      <c r="EY68" s="24">
        <f t="shared" ref="EY68:EY131" si="75">SUM(EV68:EX68)</f>
        <v>1.081639437606063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472.83070477639035</v>
      </c>
      <c r="T69" s="62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3.3651818975276075</v>
      </c>
      <c r="AB69" s="23">
        <f>EXP(-LN(2)/2)*AB68+(1-EXP(-LN(2)/2))/(LN(2)/2)*V69*Y69*VLOOKUP('Données projet'!$B$9,Paramètres!$A$1:$I$89,3,0)*0.475*44/12</f>
        <v>5.6876276567679053E-5</v>
      </c>
      <c r="AC69" s="24">
        <f t="shared" si="57"/>
        <v>3.3652387738041751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2">
        <f t="shared" si="59"/>
        <v>853.91617496488834</v>
      </c>
      <c r="AN69" s="62">
        <f ca="1">AVERAGE(OFFSET($AM$3,0,0,'Données projet'!$E$10+1,1))-AVERAGE(OFFSET($H$3,0,0,'Données projet'!$E$10+1,1))</f>
        <v>520.80494930257237</v>
      </c>
      <c r="AO69" s="62">
        <f t="shared" ref="AO69:AO132" si="90">$AO$3</f>
        <v>325.72635759450861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3.7713245403326643</v>
      </c>
      <c r="AW69" s="23">
        <f>EXP(-LN(2)/2)*AW68+(1-EXP(-LN(2)/2))/(LN(2)/2)*AQ69*AT69*VLOOKUP('Données projet'!$B$10,Paramètres!$A$1:$I$89,3,0)*0.475*44/12</f>
        <v>6.3740654774122965E-5</v>
      </c>
      <c r="AX69" s="23">
        <f t="shared" si="60"/>
        <v>3.7713882809874386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16.745000000000005</v>
      </c>
      <c r="BD69" s="13">
        <f>IF('Données projet'!$A$88&gt;35,BD68+BC69-BL68,IF(A69&lt;'Données projet'!$A$88,$BA$205^A69,IF(A69='Données projet'!$A$88,'Données projet'!$B$88,BD68+BC69-BL68)))</f>
        <v>519.74500000000012</v>
      </c>
      <c r="BE69" s="14">
        <f>BD69*VLOOKUP('Données projet'!$B$11,Paramètres!$A$1:$I$89,3,0)*VLOOKUP('Données projet'!$B$11,Paramètres!$A$1:$I$89,5,0)</f>
        <v>290.53745500000008</v>
      </c>
      <c r="BF69" s="14">
        <f t="shared" ref="BF69:BF132" si="91">EXP(-1.0587+0.8836*LN(BE69)+0.284)</f>
        <v>69.189065543116882</v>
      </c>
      <c r="BG69" s="22">
        <f t="shared" si="61"/>
        <v>626.52368994592871</v>
      </c>
      <c r="BH69" s="62">
        <f t="shared" si="62"/>
        <v>890.97674906311579</v>
      </c>
      <c r="BI69" s="62">
        <f ca="1">AVERAGE(OFFSET($BH$3,0,0,'Données projet'!$E$11+1,1))-AVERAGE(OFFSET($H$3,0,0,'Données projet'!$E$11+1,1))</f>
        <v>321.60602866722138</v>
      </c>
      <c r="BJ69" s="62">
        <f t="shared" ref="BJ69:BJ132" si="92">$BJ$3</f>
        <v>375.18886653687389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6.2772070148159456</v>
      </c>
      <c r="BQ69" s="23">
        <f>EXP(-LN(2)/25)*BQ68+(1-EXP(-LN(2)/25))/(LN(2)/25)*Calculateur!BL69*Calculateur!BN69*VLOOKUP('Données projet'!$B$11,Paramètres!$A$1:$I$89,3,0)*0.475*44/12</f>
        <v>5.8867904141042011</v>
      </c>
      <c r="BR69" s="23">
        <f>EXP(-LN(2)/2)*BR68+(1-EXP(-LN(2)/2))/(LN(2)/2)*BL69*BO69*VLOOKUP('Données projet'!$B$11,Paramètres!$A$1:$I$89,3,0)*0.475*44/12</f>
        <v>2.7930942934748747E-5</v>
      </c>
      <c r="BS69" s="24">
        <f t="shared" si="63"/>
        <v>12.164025359863082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2.8421709430404007E-14</v>
      </c>
      <c r="BZ69" s="14">
        <f>BY69*VLOOKUP('Données projet'!$B$12,Paramètres!$A$1:$I$89,3,0)*VLOOKUP('Données projet'!$B$12,Paramètres!$A$1:$I$89,5,0)</f>
        <v>1.5518253349000589E-14</v>
      </c>
      <c r="CA69" s="14">
        <f t="shared" ref="CA69:CA132" si="93">EXP(-1.0587+0.8836*LN(BZ69)+0.284)</f>
        <v>2.8958815659671149E-13</v>
      </c>
      <c r="CB69" s="22">
        <f t="shared" si="64"/>
        <v>5.3139366398878183E-13</v>
      </c>
      <c r="CC69" s="62">
        <f t="shared" si="65"/>
        <v>264.45305911718759</v>
      </c>
      <c r="CD69" s="62">
        <f ca="1">AVERAGE(OFFSET($CC$3,0,0,'Données projet'!$E$12+1,1))-AVERAGE(OFFSET($H$3,0,0,'Données projet'!$E$12+1,1))</f>
        <v>182.44246264133781</v>
      </c>
      <c r="CE69" s="62">
        <f t="shared" ref="CE69:CE132" si="94">$CE$3</f>
        <v>262.5818213397049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2.112277718355887</v>
      </c>
      <c r="CL69" s="23">
        <f>EXP(-LN(2)/25)*CL68+(1-EXP(-LN(2)/25))/(LN(2)/25)*Calculateur!CG69*Calculateur!CI69*VLOOKUP('Données projet'!$B$12,Paramètres!$A$1:$I$89,3,0)*0.475*44/12</f>
        <v>6.6708107647005965</v>
      </c>
      <c r="CM69" s="23">
        <f>EXP(-LN(2)/2)*CM68+(1-EXP(-LN(2)/2))/(LN(2)/2)*CG69*CJ69*VLOOKUP('Données projet'!$B$12,Paramètres!$A$1:$I$89,3,0)*0.475*44/12</f>
        <v>1.1514850602475012E-8</v>
      </c>
      <c r="CN69" s="24">
        <f t="shared" si="66"/>
        <v>8.7830884945713343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15.5</v>
      </c>
      <c r="CT69" s="13">
        <f>IF('Données projet'!$A$140&gt;35,CT68+CS69-DB68,IF(A69&lt;'Données projet'!$A$140,$CQ$205^A69,IF(A69='Données projet'!$A$140,'Données projet'!$B$140,CT68+CS69-DB68)))</f>
        <v>502.99999999999989</v>
      </c>
      <c r="CU69" s="18">
        <f>CT69*VLOOKUP('Données projet'!$B$13,Paramètres!$A$1:$I$89,3,0)*VLOOKUP('Données projet'!$B$13,Paramètres!$A$1:$I$89,5,0)</f>
        <v>235.40399999999994</v>
      </c>
      <c r="CV69" s="14">
        <f t="shared" ref="CV69:CV132" si="95">EXP(-1.0587+0.8836*LN(CU69)+0.284)</f>
        <v>57.449568653781753</v>
      </c>
      <c r="CW69" s="22">
        <f t="shared" si="67"/>
        <v>510.05329873866975</v>
      </c>
      <c r="CX69" s="62">
        <f t="shared" si="68"/>
        <v>774.50635785585678</v>
      </c>
      <c r="CY69" s="62">
        <f ca="1">AVERAGE(OFFSET($CX$3,0,0,'Données projet'!$E$13+1,1))-AVERAGE(OFFSET($H$3,0,0,'Données projet'!$E$13+1,1))</f>
        <v>426.87921482911719</v>
      </c>
      <c r="CZ69" s="62">
        <f t="shared" ref="CZ69:CZ132" si="96">$CZ$3</f>
        <v>313.49594674441835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260.37024000000002</v>
      </c>
      <c r="DQ69" s="14">
        <f t="shared" ref="DQ69:DQ132" si="97">EXP(-1.0587+0.8836*LN(DP69)+0.284)</f>
        <v>62.801291625234725</v>
      </c>
      <c r="DR69" s="22">
        <f t="shared" si="70"/>
        <v>562.85708424728386</v>
      </c>
      <c r="DS69" s="62">
        <f t="shared" si="71"/>
        <v>827.31014336447095</v>
      </c>
      <c r="DT69" s="62">
        <f ca="1">AVERAGE(OFFSET($DS$3,0,0,'Données projet'!$E$14+1,1))-AVERAGE(OFFSET($H$3,0,0,'Données projet'!$E$14+1,1))</f>
        <v>500.25828825677058</v>
      </c>
      <c r="DU69" s="62">
        <f t="shared" ref="DU69:DU132" si="98">$DU$3</f>
        <v>313.56299786481338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0.94519916419209693</v>
      </c>
      <c r="EC69" s="23">
        <f>EXP(-LN(2)/2)*EC68+(1-EXP(-LN(2)/2))/(LN(2)/2)*DW69*DZ69*VLOOKUP('Données projet'!$B$14,Paramètres!$A$1:$I$89,3,0)*0.475*44/12</f>
        <v>9.5863037646054866E-5</v>
      </c>
      <c r="ED69" s="24">
        <f t="shared" si="72"/>
        <v>0.94529502722974301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8.1999999999999993</v>
      </c>
      <c r="EJ69" s="13">
        <f>IF('Données projet'!$A$192&gt;35,EJ68+EI69-ER68,IF(A69&lt;'Données projet'!$A$192,$EG$205^A69,IF(A69='Données projet'!$A$192,'Données projet'!$B$192,EJ68+EI69-ER68)))</f>
        <v>269.2</v>
      </c>
      <c r="EK69" s="18">
        <f>EJ69*VLOOKUP('Données projet'!$B$15,Paramètres!$A$1:$I$89,3,0)*VLOOKUP('Données projet'!$B$15,Paramètres!$A$1:$I$89,5,0)</f>
        <v>289.76688000000001</v>
      </c>
      <c r="EL69" s="14">
        <f t="shared" ref="EL69:EL132" si="99">EXP(-1.0587+0.8836*LN(EK69)+0.284)</f>
        <v>69.026894594073823</v>
      </c>
      <c r="EM69" s="22">
        <f t="shared" si="73"/>
        <v>624.8991574180119</v>
      </c>
      <c r="EN69" s="62">
        <f t="shared" si="74"/>
        <v>889.35221653519898</v>
      </c>
      <c r="EO69" s="62">
        <f ca="1">AVERAGE(OFFSET($EN$3,0,0,'Données projet'!$E$15+1,1))-AVERAGE(OFFSET($H$3,0,0,'Données projet'!$E$15+1,1))</f>
        <v>548.17046467409421</v>
      </c>
      <c r="EP69" s="62">
        <f t="shared" ref="EP69:EP132" si="100">$EP$3</f>
        <v>341.9250949809848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1.0519151988589466</v>
      </c>
      <c r="EX69" s="23">
        <f>EXP(-LN(2)/2)*EX68+(1-EXP(-LN(2)/2))/(LN(2)/2)*ER69*EU69*VLOOKUP('Données projet'!$B$15,Paramètres!$A$1:$I$89,3,0)*0.475*44/12</f>
        <v>1.0668628383189969E-4</v>
      </c>
      <c r="EY69" s="24">
        <f t="shared" si="75"/>
        <v>1.0520218851427785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472.83070477639035</v>
      </c>
      <c r="T70" s="62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3.2731608215724903</v>
      </c>
      <c r="AB70" s="23">
        <f>EXP(-LN(2)/2)*AB69+(1-EXP(-LN(2)/2))/(LN(2)/2)*V70*Y70*VLOOKUP('Données projet'!$B$9,Paramètres!$A$1:$I$89,3,0)*0.475*44/12</f>
        <v>4.0217600849647392E-5</v>
      </c>
      <c r="AC70" s="24">
        <f t="shared" si="57"/>
        <v>3.2732010391733399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2">
        <f t="shared" si="59"/>
        <v>871.96286585616463</v>
      </c>
      <c r="AN70" s="62">
        <f ca="1">AVERAGE(OFFSET($AM$3,0,0,'Données projet'!$E$10+1,1))-AVERAGE(OFFSET($H$3,0,0,'Données projet'!$E$10+1,1))</f>
        <v>520.80494930257237</v>
      </c>
      <c r="AO70" s="62">
        <f t="shared" si="90"/>
        <v>325.72635759450861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3.6681974724519293</v>
      </c>
      <c r="AW70" s="23">
        <f>EXP(-LN(2)/2)*AW69+(1-EXP(-LN(2)/2))/(LN(2)/2)*AQ70*AT70*VLOOKUP('Données projet'!$B$10,Paramètres!$A$1:$I$89,3,0)*0.475*44/12</f>
        <v>4.5071449228053034E-5</v>
      </c>
      <c r="AX70" s="23">
        <f t="shared" si="60"/>
        <v>3.6682425439011572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16.745000000000005</v>
      </c>
      <c r="BD70" s="13">
        <f>IF('Données projet'!$A$88&gt;35,BD69+BC70-BL69,IF(A70&lt;'Données projet'!$A$88,$BA$205^A70,IF(A70='Données projet'!$A$88,'Données projet'!$B$88,BD69+BC70-BL69)))</f>
        <v>536.49000000000012</v>
      </c>
      <c r="BE70" s="14">
        <f>BD70*VLOOKUP('Données projet'!$B$11,Paramètres!$A$1:$I$89,3,0)*VLOOKUP('Données projet'!$B$11,Paramètres!$A$1:$I$89,5,0)</f>
        <v>299.89791000000008</v>
      </c>
      <c r="BF70" s="14">
        <f t="shared" si="91"/>
        <v>71.155061066438293</v>
      </c>
      <c r="BG70" s="22">
        <f t="shared" si="61"/>
        <v>646.25059127404677</v>
      </c>
      <c r="BH70" s="62">
        <f t="shared" si="62"/>
        <v>911.20465858226362</v>
      </c>
      <c r="BI70" s="62">
        <f ca="1">AVERAGE(OFFSET($BH$3,0,0,'Données projet'!$E$11+1,1))-AVERAGE(OFFSET($H$3,0,0,'Données projet'!$E$11+1,1))</f>
        <v>321.60602866722138</v>
      </c>
      <c r="BJ70" s="62">
        <f t="shared" si="92"/>
        <v>375.18886653687389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6.1541148139736297</v>
      </c>
      <c r="BQ70" s="23">
        <f>EXP(-LN(2)/25)*BQ69+(1-EXP(-LN(2)/25))/(LN(2)/25)*Calculateur!BL70*Calculateur!BN70*VLOOKUP('Données projet'!$B$11,Paramètres!$A$1:$I$89,3,0)*0.475*44/12</f>
        <v>5.7258158206576679</v>
      </c>
      <c r="BR70" s="23">
        <f>EXP(-LN(2)/2)*BR69+(1-EXP(-LN(2)/2))/(LN(2)/2)*BL70*BO70*VLOOKUP('Données projet'!$B$11,Paramètres!$A$1:$I$89,3,0)*0.475*44/12</f>
        <v>1.9750159154095328E-5</v>
      </c>
      <c r="BS70" s="24">
        <f t="shared" si="63"/>
        <v>11.879950384790451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2.8421709430404007E-14</v>
      </c>
      <c r="BZ70" s="14">
        <f>BY70*VLOOKUP('Données projet'!$B$12,Paramètres!$A$1:$I$89,3,0)*VLOOKUP('Données projet'!$B$12,Paramètres!$A$1:$I$89,5,0)</f>
        <v>1.5518253349000589E-14</v>
      </c>
      <c r="CA70" s="14">
        <f t="shared" si="93"/>
        <v>2.8958815659671149E-13</v>
      </c>
      <c r="CB70" s="22">
        <f t="shared" si="64"/>
        <v>5.3139366398878183E-13</v>
      </c>
      <c r="CC70" s="62">
        <f t="shared" si="65"/>
        <v>264.95406730821742</v>
      </c>
      <c r="CD70" s="62">
        <f ca="1">AVERAGE(OFFSET($CC$3,0,0,'Données projet'!$E$12+1,1))-AVERAGE(OFFSET($H$3,0,0,'Données projet'!$E$12+1,1))</f>
        <v>182.44246264133781</v>
      </c>
      <c r="CE70" s="62">
        <f t="shared" si="94"/>
        <v>262.5818213397049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2.070857240661121</v>
      </c>
      <c r="CL70" s="23">
        <f>EXP(-LN(2)/25)*CL69+(1-EXP(-LN(2)/25))/(LN(2)/25)*Calculateur!CG70*Calculateur!CI70*VLOOKUP('Données projet'!$B$12,Paramètres!$A$1:$I$89,3,0)*0.475*44/12</f>
        <v>6.4883970935371673</v>
      </c>
      <c r="CM70" s="23">
        <f>EXP(-LN(2)/2)*CM69+(1-EXP(-LN(2)/2))/(LN(2)/2)*CG70*CJ70*VLOOKUP('Données projet'!$B$12,Paramètres!$A$1:$I$89,3,0)*0.475*44/12</f>
        <v>8.142228945360083E-9</v>
      </c>
      <c r="CN70" s="24">
        <f t="shared" si="66"/>
        <v>8.5592543423405161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15.5</v>
      </c>
      <c r="CT70" s="13">
        <f>IF('Données projet'!$A$140&gt;35,CT69+CS70-DB69,IF(A70&lt;'Données projet'!$A$140,$CQ$205^A70,IF(A70='Données projet'!$A$140,'Données projet'!$B$140,CT69+CS70-DB69)))</f>
        <v>518.49999999999989</v>
      </c>
      <c r="CU70" s="18">
        <f>CT70*VLOOKUP('Données projet'!$B$13,Paramètres!$A$1:$I$89,3,0)*VLOOKUP('Données projet'!$B$13,Paramètres!$A$1:$I$89,5,0)</f>
        <v>242.65799999999993</v>
      </c>
      <c r="CV70" s="14">
        <f t="shared" si="95"/>
        <v>59.011045025839607</v>
      </c>
      <c r="CW70" s="22">
        <f t="shared" si="67"/>
        <v>525.40692008667054</v>
      </c>
      <c r="CX70" s="62">
        <f t="shared" si="68"/>
        <v>790.36098739488739</v>
      </c>
      <c r="CY70" s="62">
        <f ca="1">AVERAGE(OFFSET($CX$3,0,0,'Données projet'!$E$13+1,1))-AVERAGE(OFFSET($H$3,0,0,'Données projet'!$E$13+1,1))</f>
        <v>426.87921482911719</v>
      </c>
      <c r="CZ70" s="62">
        <f t="shared" si="96"/>
        <v>313.49594674441835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268.30127999999996</v>
      </c>
      <c r="DQ70" s="14">
        <f t="shared" si="97"/>
        <v>64.488625713042012</v>
      </c>
      <c r="DR70" s="22">
        <f t="shared" si="70"/>
        <v>579.60908578354815</v>
      </c>
      <c r="DS70" s="62">
        <f t="shared" si="71"/>
        <v>844.56315309176512</v>
      </c>
      <c r="DT70" s="62">
        <f ca="1">AVERAGE(OFFSET($DS$3,0,0,'Données projet'!$E$14+1,1))-AVERAGE(OFFSET($H$3,0,0,'Données projet'!$E$14+1,1))</f>
        <v>500.25828825677058</v>
      </c>
      <c r="DU70" s="62">
        <f t="shared" si="98"/>
        <v>313.56299786481338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0.91935264334140032</v>
      </c>
      <c r="EC70" s="23">
        <f>EXP(-LN(2)/2)*EC69+(1-EXP(-LN(2)/2))/(LN(2)/2)*DW70*DZ70*VLOOKUP('Données projet'!$B$14,Paramètres!$A$1:$I$89,3,0)*0.475*44/12</f>
        <v>6.7785403984666685E-5</v>
      </c>
      <c r="ED70" s="24">
        <f t="shared" si="72"/>
        <v>0.91942042874538499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8.1999999999999993</v>
      </c>
      <c r="EJ70" s="13">
        <f>IF('Données projet'!$A$192&gt;35,EJ69+EI70-ER69,IF(A70&lt;'Données projet'!$A$192,$EG$205^A70,IF(A70='Données projet'!$A$192,'Données projet'!$B$192,EJ69+EI70-ER69)))</f>
        <v>277.39999999999998</v>
      </c>
      <c r="EK70" s="18">
        <f>EJ70*VLOOKUP('Données projet'!$B$15,Paramètres!$A$1:$I$89,3,0)*VLOOKUP('Données projet'!$B$15,Paramètres!$A$1:$I$89,5,0)</f>
        <v>298.59335999999996</v>
      </c>
      <c r="EL70" s="14">
        <f t="shared" si="99"/>
        <v>70.88149709045409</v>
      </c>
      <c r="EM70" s="22">
        <f t="shared" si="73"/>
        <v>643.50204276587419</v>
      </c>
      <c r="EN70" s="62">
        <f t="shared" si="74"/>
        <v>908.45611007409116</v>
      </c>
      <c r="EO70" s="62">
        <f ca="1">AVERAGE(OFFSET($EN$3,0,0,'Données projet'!$E$15+1,1))-AVERAGE(OFFSET($H$3,0,0,'Données projet'!$E$15+1,1))</f>
        <v>548.17046467409421</v>
      </c>
      <c r="EP70" s="62">
        <f t="shared" si="100"/>
        <v>341.9250949809848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1.0231505224283326</v>
      </c>
      <c r="EX70" s="23">
        <f>EXP(-LN(2)/2)*EX69+(1-EXP(-LN(2)/2))/(LN(2)/2)*ER70*EU70*VLOOKUP('Données projet'!$B$15,Paramètres!$A$1:$I$89,3,0)*0.475*44/12</f>
        <v>7.5438594757128996E-5</v>
      </c>
      <c r="EY70" s="24">
        <f t="shared" si="75"/>
        <v>1.0232259610230898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472.83070477639035</v>
      </c>
      <c r="T71" s="62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3.1836560667785441</v>
      </c>
      <c r="AB71" s="23">
        <f>EXP(-LN(2)/2)*AB70+(1-EXP(-LN(2)/2))/(LN(2)/2)*V71*Y71*VLOOKUP('Données projet'!$B$9,Paramètres!$A$1:$I$89,3,0)*0.475*44/12</f>
        <v>2.8438138283839526E-5</v>
      </c>
      <c r="AC71" s="24">
        <f t="shared" si="57"/>
        <v>3.1836845049168279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2">
        <f t="shared" si="59"/>
        <v>889.99033898854589</v>
      </c>
      <c r="AN71" s="62">
        <f ca="1">AVERAGE(OFFSET($AM$3,0,0,'Données projet'!$E$10+1,1))-AVERAGE(OFFSET($H$3,0,0,'Données projet'!$E$10+1,1))</f>
        <v>520.80494930257237</v>
      </c>
      <c r="AO71" s="62">
        <f t="shared" si="90"/>
        <v>325.72635759450861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3.56789041966561</v>
      </c>
      <c r="AW71" s="23">
        <f>EXP(-LN(2)/2)*AW70+(1-EXP(-LN(2)/2))/(LN(2)/2)*AQ71*AT71*VLOOKUP('Données projet'!$B$10,Paramètres!$A$1:$I$89,3,0)*0.475*44/12</f>
        <v>3.1870327387061483E-5</v>
      </c>
      <c r="AX71" s="23">
        <f t="shared" si="60"/>
        <v>3.567922289992997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16.745000000000005</v>
      </c>
      <c r="BD71" s="13">
        <f>IF('Données projet'!$A$88&gt;35,BD70+BC71-BL70,IF(A71&lt;'Données projet'!$A$88,$BA$205^A71,IF(A71='Données projet'!$A$88,'Données projet'!$B$88,BD70+BC71-BL70)))</f>
        <v>553.23500000000013</v>
      </c>
      <c r="BE71" s="14">
        <f>BD71*VLOOKUP('Données projet'!$B$11,Paramètres!$A$1:$I$89,3,0)*VLOOKUP('Données projet'!$B$11,Paramètres!$A$1:$I$89,5,0)</f>
        <v>309.25836500000008</v>
      </c>
      <c r="BF71" s="14">
        <f t="shared" si="91"/>
        <v>73.113925681396637</v>
      </c>
      <c r="BG71" s="22">
        <f t="shared" si="61"/>
        <v>665.96507293676598</v>
      </c>
      <c r="BH71" s="62">
        <f t="shared" si="62"/>
        <v>931.41145706398481</v>
      </c>
      <c r="BI71" s="62">
        <f ca="1">AVERAGE(OFFSET($BH$3,0,0,'Données projet'!$E$11+1,1))-AVERAGE(OFFSET($H$3,0,0,'Données projet'!$E$11+1,1))</f>
        <v>321.60602866722138</v>
      </c>
      <c r="BJ71" s="62">
        <f t="shared" si="92"/>
        <v>375.18886653687389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6.0334363761110019</v>
      </c>
      <c r="BQ71" s="23">
        <f>EXP(-LN(2)/25)*BQ70+(1-EXP(-LN(2)/25))/(LN(2)/25)*Calculateur!BL71*Calculateur!BN71*VLOOKUP('Données projet'!$B$11,Paramètres!$A$1:$I$89,3,0)*0.475*44/12</f>
        <v>5.5692430859342164</v>
      </c>
      <c r="BR71" s="23">
        <f>EXP(-LN(2)/2)*BR70+(1-EXP(-LN(2)/2))/(LN(2)/2)*BL71*BO71*VLOOKUP('Données projet'!$B$11,Paramètres!$A$1:$I$89,3,0)*0.475*44/12</f>
        <v>1.3965471467374374E-5</v>
      </c>
      <c r="BS71" s="24">
        <f t="shared" si="63"/>
        <v>11.602693427516686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2.8421709430404007E-14</v>
      </c>
      <c r="BZ71" s="14">
        <f>BY71*VLOOKUP('Données projet'!$B$12,Paramètres!$A$1:$I$89,3,0)*VLOOKUP('Données projet'!$B$12,Paramètres!$A$1:$I$89,5,0)</f>
        <v>1.5518253349000589E-14</v>
      </c>
      <c r="CA71" s="14">
        <f t="shared" si="93"/>
        <v>2.8958815659671149E-13</v>
      </c>
      <c r="CB71" s="22">
        <f t="shared" si="64"/>
        <v>5.3139366398878183E-13</v>
      </c>
      <c r="CC71" s="62">
        <f t="shared" si="65"/>
        <v>265.44638412721935</v>
      </c>
      <c r="CD71" s="62">
        <f ca="1">AVERAGE(OFFSET($CC$3,0,0,'Données projet'!$E$12+1,1))-AVERAGE(OFFSET($H$3,0,0,'Données projet'!$E$12+1,1))</f>
        <v>182.44246264133781</v>
      </c>
      <c r="CE71" s="62">
        <f t="shared" si="94"/>
        <v>262.5818213397049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2.0302489932699528</v>
      </c>
      <c r="CL71" s="23">
        <f>EXP(-LN(2)/25)*CL70+(1-EXP(-LN(2)/25))/(LN(2)/25)*Calculateur!CG71*Calculateur!CI71*VLOOKUP('Données projet'!$B$12,Paramètres!$A$1:$I$89,3,0)*0.475*44/12</f>
        <v>6.3109715338044197</v>
      </c>
      <c r="CM71" s="23">
        <f>EXP(-LN(2)/2)*CM70+(1-EXP(-LN(2)/2))/(LN(2)/2)*CG71*CJ71*VLOOKUP('Données projet'!$B$12,Paramètres!$A$1:$I$89,3,0)*0.475*44/12</f>
        <v>5.7574253012375058E-9</v>
      </c>
      <c r="CN71" s="24">
        <f t="shared" si="66"/>
        <v>8.3412205328317981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15.5</v>
      </c>
      <c r="CT71" s="13">
        <f>IF('Données projet'!$A$140&gt;35,CT70+CS71-DB70,IF(A71&lt;'Données projet'!$A$140,$CQ$205^A71,IF(A71='Données projet'!$A$140,'Données projet'!$B$140,CT70+CS71-DB70)))</f>
        <v>533.99999999999989</v>
      </c>
      <c r="CU71" s="18">
        <f>CT71*VLOOKUP('Données projet'!$B$13,Paramètres!$A$1:$I$89,3,0)*VLOOKUP('Données projet'!$B$13,Paramètres!$A$1:$I$89,5,0)</f>
        <v>249.91199999999995</v>
      </c>
      <c r="CV71" s="14">
        <f t="shared" si="95"/>
        <v>60.56709659070836</v>
      </c>
      <c r="CW71" s="22">
        <f t="shared" si="67"/>
        <v>540.7510932288169</v>
      </c>
      <c r="CX71" s="62">
        <f t="shared" si="68"/>
        <v>806.19747735603573</v>
      </c>
      <c r="CY71" s="62">
        <f ca="1">AVERAGE(OFFSET($CX$3,0,0,'Données projet'!$E$13+1,1))-AVERAGE(OFFSET($H$3,0,0,'Données projet'!$E$13+1,1))</f>
        <v>426.87921482911719</v>
      </c>
      <c r="CZ71" s="62">
        <f t="shared" si="96"/>
        <v>313.49594674441835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276.23231999999996</v>
      </c>
      <c r="DQ71" s="14">
        <f t="shared" si="97"/>
        <v>66.170163093943458</v>
      </c>
      <c r="DR71" s="22">
        <f t="shared" si="70"/>
        <v>596.35099138861813</v>
      </c>
      <c r="DS71" s="62">
        <f t="shared" si="71"/>
        <v>861.79737551583696</v>
      </c>
      <c r="DT71" s="62">
        <f ca="1">AVERAGE(OFFSET($DS$3,0,0,'Données projet'!$E$14+1,1))-AVERAGE(OFFSET($H$3,0,0,'Données projet'!$E$14+1,1))</f>
        <v>500.25828825677058</v>
      </c>
      <c r="DU71" s="62">
        <f t="shared" si="98"/>
        <v>313.56299786481338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0.89421289696257544</v>
      </c>
      <c r="EC71" s="23">
        <f>EXP(-LN(2)/2)*EC70+(1-EXP(-LN(2)/2))/(LN(2)/2)*DW71*DZ71*VLOOKUP('Données projet'!$B$14,Paramètres!$A$1:$I$89,3,0)*0.475*44/12</f>
        <v>4.7931518823027433E-5</v>
      </c>
      <c r="ED71" s="24">
        <f t="shared" si="72"/>
        <v>0.89426082848139843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8.1999999999999993</v>
      </c>
      <c r="EJ71" s="13">
        <f>IF('Données projet'!$A$192&gt;35,EJ70+EI71-ER70,IF(A71&lt;'Données projet'!$A$192,$EG$205^A71,IF(A71='Données projet'!$A$192,'Données projet'!$B$192,EJ70+EI71-ER70)))</f>
        <v>285.59999999999997</v>
      </c>
      <c r="EK71" s="18">
        <f>EJ71*VLOOKUP('Données projet'!$B$15,Paramètres!$A$1:$I$89,3,0)*VLOOKUP('Données projet'!$B$15,Paramètres!$A$1:$I$89,5,0)</f>
        <v>307.41983999999997</v>
      </c>
      <c r="EL71" s="14">
        <f t="shared" si="99"/>
        <v>72.729728242133774</v>
      </c>
      <c r="EM71" s="22">
        <f t="shared" si="73"/>
        <v>662.09383135504959</v>
      </c>
      <c r="EN71" s="62">
        <f t="shared" si="74"/>
        <v>927.54021548226842</v>
      </c>
      <c r="EO71" s="62">
        <f ca="1">AVERAGE(OFFSET($EN$3,0,0,'Données projet'!$E$15+1,1))-AVERAGE(OFFSET($H$3,0,0,'Données projet'!$E$15+1,1))</f>
        <v>548.17046467409421</v>
      </c>
      <c r="EP71" s="62">
        <f t="shared" si="100"/>
        <v>341.9250949809848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0.99517241758738229</v>
      </c>
      <c r="EX71" s="23">
        <f>EXP(-LN(2)/2)*EX70+(1-EXP(-LN(2)/2))/(LN(2)/2)*ER71*EU71*VLOOKUP('Données projet'!$B$15,Paramètres!$A$1:$I$89,3,0)*0.475*44/12</f>
        <v>5.3343141915949845E-5</v>
      </c>
      <c r="EY71" s="24">
        <f t="shared" si="75"/>
        <v>0.99522576072929825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472.83070477639035</v>
      </c>
      <c r="T72" s="62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3.0965988242112887</v>
      </c>
      <c r="AB72" s="23">
        <f>EXP(-LN(2)/2)*AB71+(1-EXP(-LN(2)/2))/(LN(2)/2)*V72*Y72*VLOOKUP('Données projet'!$B$9,Paramètres!$A$1:$I$89,3,0)*0.475*44/12</f>
        <v>2.0108800424823696E-5</v>
      </c>
      <c r="AC72" s="24">
        <f t="shared" si="57"/>
        <v>3.0966189330117135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2">
        <f t="shared" si="59"/>
        <v>907.99908207609633</v>
      </c>
      <c r="AN72" s="62">
        <f ca="1">AVERAGE(OFFSET($AM$3,0,0,'Données projet'!$E$10+1,1))-AVERAGE(OFFSET($H$3,0,0,'Données projet'!$E$10+1,1))</f>
        <v>520.80494930257237</v>
      </c>
      <c r="AO72" s="62">
        <f t="shared" si="90"/>
        <v>325.72635759450861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3.4703262685126512</v>
      </c>
      <c r="AW72" s="23">
        <f>EXP(-LN(2)/2)*AW71+(1-EXP(-LN(2)/2))/(LN(2)/2)*AQ72*AT72*VLOOKUP('Données projet'!$B$10,Paramètres!$A$1:$I$89,3,0)*0.475*44/12</f>
        <v>2.2535724614026517E-5</v>
      </c>
      <c r="AX72" s="23">
        <f t="shared" si="60"/>
        <v>3.4703488042372652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569.98</v>
      </c>
      <c r="BB72" s="13">
        <f>VLOOKUP(A72,'Données projet'!$A$87:$I$107,9,0)</f>
        <v>16.745000000000005</v>
      </c>
      <c r="BC72" s="13">
        <f t="array" ref="BC72">INDEX(BB:BB,MIN(IF(ISNUMBER(BB72:BB268),ROW(BB72:BB268),"")))</f>
        <v>16.745000000000005</v>
      </c>
      <c r="BD72" s="13">
        <f>IF('Données projet'!$A$88&gt;35,BD71+BC72-BL71,IF(A72&lt;'Données projet'!$A$88,$BA$205^A72,IF(A72='Données projet'!$A$88,'Données projet'!$B$88,BD71+BC72-BL71)))</f>
        <v>569.98000000000013</v>
      </c>
      <c r="BE72" s="14">
        <f>BD72*VLOOKUP('Données projet'!$B$11,Paramètres!$A$1:$I$89,3,0)*VLOOKUP('Données projet'!$B$11,Paramètres!$A$1:$I$89,5,0)</f>
        <v>318.61882000000008</v>
      </c>
      <c r="BF72" s="14">
        <f t="shared" si="91"/>
        <v>75.065899995891868</v>
      </c>
      <c r="BG72" s="22">
        <f t="shared" si="61"/>
        <v>685.66755399284511</v>
      </c>
      <c r="BH72" s="62">
        <f t="shared" si="62"/>
        <v>951.59771434291167</v>
      </c>
      <c r="BI72" s="62">
        <f ca="1">AVERAGE(OFFSET($BH$3,0,0,'Données projet'!$E$11+1,1))-AVERAGE(OFFSET($H$3,0,0,'Données projet'!$E$11+1,1))</f>
        <v>321.60602866722138</v>
      </c>
      <c r="BJ72" s="62">
        <f t="shared" si="92"/>
        <v>375.18886653687389</v>
      </c>
      <c r="BK72" s="16">
        <f>IF(ISNA(VLOOKUP(A72,'Données projet'!$A$87:$I$107,3,0)),0,VLOOKUP(A72,'Données projet'!$A$87:$I$107,3,0))</f>
        <v>9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5.9151243688082813</v>
      </c>
      <c r="BQ72" s="23">
        <f>EXP(-LN(2)/25)*BQ71+(1-EXP(-LN(2)/25))/(LN(2)/25)*Calculateur!BL72*Calculateur!BN72*VLOOKUP('Données projet'!$B$11,Paramètres!$A$1:$I$89,3,0)*0.475*44/12</f>
        <v>5.4169518408755799</v>
      </c>
      <c r="BR72" s="23">
        <f>EXP(-LN(2)/2)*BR71+(1-EXP(-LN(2)/2))/(LN(2)/2)*BL72*BO72*VLOOKUP('Données projet'!$B$11,Paramètres!$A$1:$I$89,3,0)*0.475*44/12</f>
        <v>9.8750795770476639E-6</v>
      </c>
      <c r="BS72" s="24">
        <f t="shared" si="63"/>
        <v>11.332086084763439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2.8421709430404007E-14</v>
      </c>
      <c r="BZ72" s="14">
        <f>BY72*VLOOKUP('Données projet'!$B$12,Paramètres!$A$1:$I$89,3,0)*VLOOKUP('Données projet'!$B$12,Paramètres!$A$1:$I$89,5,0)</f>
        <v>1.5518253349000589E-14</v>
      </c>
      <c r="CA72" s="14">
        <f t="shared" si="93"/>
        <v>2.8958815659671149E-13</v>
      </c>
      <c r="CB72" s="22">
        <f t="shared" si="64"/>
        <v>5.3139366398878183E-13</v>
      </c>
      <c r="CC72" s="62">
        <f t="shared" si="65"/>
        <v>265.93016035006707</v>
      </c>
      <c r="CD72" s="62">
        <f ca="1">AVERAGE(OFFSET($CC$3,0,0,'Données projet'!$E$12+1,1))-AVERAGE(OFFSET($H$3,0,0,'Données projet'!$E$12+1,1))</f>
        <v>182.44246264133781</v>
      </c>
      <c r="CE72" s="62">
        <f t="shared" si="94"/>
        <v>262.5818213397049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1.9904370488415399</v>
      </c>
      <c r="CL72" s="23">
        <f>EXP(-LN(2)/25)*CL71+(1-EXP(-LN(2)/25))/(LN(2)/25)*Calculateur!CG72*Calculateur!CI72*VLOOKUP('Données projet'!$B$12,Paramètres!$A$1:$I$89,3,0)*0.475*44/12</f>
        <v>6.1383976853329685</v>
      </c>
      <c r="CM72" s="23">
        <f>EXP(-LN(2)/2)*CM71+(1-EXP(-LN(2)/2))/(LN(2)/2)*CG72*CJ72*VLOOKUP('Données projet'!$B$12,Paramètres!$A$1:$I$89,3,0)*0.475*44/12</f>
        <v>4.0711144726800415E-9</v>
      </c>
      <c r="CN72" s="24">
        <f t="shared" si="66"/>
        <v>8.1288347382456241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15.5</v>
      </c>
      <c r="CT72" s="13">
        <f>IF('Données projet'!$A$140&gt;35,CT71+CS72-DB71,IF(A72&lt;'Données projet'!$A$140,$CQ$205^A72,IF(A72='Données projet'!$A$140,'Données projet'!$B$140,CT71+CS72-DB71)))</f>
        <v>549.49999999999989</v>
      </c>
      <c r="CU72" s="18">
        <f>CT72*VLOOKUP('Données projet'!$B$13,Paramètres!$A$1:$I$89,3,0)*VLOOKUP('Données projet'!$B$13,Paramètres!$A$1:$I$89,5,0)</f>
        <v>257.16599999999994</v>
      </c>
      <c r="CV72" s="14">
        <f t="shared" si="95"/>
        <v>62.117898891884423</v>
      </c>
      <c r="CW72" s="22">
        <f t="shared" si="67"/>
        <v>556.08612390336521</v>
      </c>
      <c r="CX72" s="62">
        <f t="shared" si="68"/>
        <v>822.01628425343176</v>
      </c>
      <c r="CY72" s="62">
        <f ca="1">AVERAGE(OFFSET($CX$3,0,0,'Données projet'!$E$13+1,1))-AVERAGE(OFFSET($H$3,0,0,'Données projet'!$E$13+1,1))</f>
        <v>426.87921482911719</v>
      </c>
      <c r="CZ72" s="62">
        <f t="shared" si="96"/>
        <v>313.49594674441835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284.16335999999995</v>
      </c>
      <c r="DQ72" s="14">
        <f t="shared" si="97"/>
        <v>67.846089314219739</v>
      </c>
      <c r="DR72" s="22">
        <f t="shared" si="70"/>
        <v>613.08312422226595</v>
      </c>
      <c r="DS72" s="62">
        <f t="shared" si="71"/>
        <v>879.01328457233251</v>
      </c>
      <c r="DT72" s="62">
        <f ca="1">AVERAGE(OFFSET($DS$3,0,0,'Données projet'!$E$14+1,1))-AVERAGE(OFFSET($H$3,0,0,'Données projet'!$E$14+1,1))</f>
        <v>500.25828825677058</v>
      </c>
      <c r="DU72" s="62">
        <f t="shared" si="98"/>
        <v>313.56299786481338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0.86976059827052132</v>
      </c>
      <c r="EC72" s="23">
        <f>EXP(-LN(2)/2)*EC71+(1-EXP(-LN(2)/2))/(LN(2)/2)*DW72*DZ72*VLOOKUP('Données projet'!$B$14,Paramètres!$A$1:$I$89,3,0)*0.475*44/12</f>
        <v>3.3892701992333343E-5</v>
      </c>
      <c r="ED72" s="24">
        <f t="shared" si="72"/>
        <v>0.86979449097251371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8.1999999999999993</v>
      </c>
      <c r="EJ72" s="13">
        <f>IF('Données projet'!$A$192&gt;35,EJ71+EI72-ER71,IF(A72&lt;'Données projet'!$A$192,$EG$205^A72,IF(A72='Données projet'!$A$192,'Données projet'!$B$192,EJ71+EI72-ER71)))</f>
        <v>293.79999999999995</v>
      </c>
      <c r="EK72" s="18">
        <f>EJ72*VLOOKUP('Données projet'!$B$15,Paramètres!$A$1:$I$89,3,0)*VLOOKUP('Données projet'!$B$15,Paramètres!$A$1:$I$89,5,0)</f>
        <v>316.24631999999991</v>
      </c>
      <c r="EL72" s="14">
        <f t="shared" si="99"/>
        <v>74.57179198892409</v>
      </c>
      <c r="EM72" s="22">
        <f t="shared" si="73"/>
        <v>680.67487838070929</v>
      </c>
      <c r="EN72" s="62">
        <f t="shared" si="74"/>
        <v>946.60503873077585</v>
      </c>
      <c r="EO72" s="62">
        <f ca="1">AVERAGE(OFFSET($EN$3,0,0,'Données projet'!$E$15+1,1))-AVERAGE(OFFSET($H$3,0,0,'Données projet'!$E$15+1,1))</f>
        <v>548.17046467409421</v>
      </c>
      <c r="EP72" s="62">
        <f t="shared" si="100"/>
        <v>341.9250949809848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0.96795937549461242</v>
      </c>
      <c r="EX72" s="23">
        <f>EXP(-LN(2)/2)*EX71+(1-EXP(-LN(2)/2))/(LN(2)/2)*ER72*EU72*VLOOKUP('Données projet'!$B$15,Paramètres!$A$1:$I$89,3,0)*0.475*44/12</f>
        <v>3.7719297378564498E-5</v>
      </c>
      <c r="EY72" s="24">
        <f t="shared" si="75"/>
        <v>0.96799709479199103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472.83070477639035</v>
      </c>
      <c r="T73" s="62">
        <f t="shared" si="88"/>
        <v>297.32483725004136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3.0119221665201761</v>
      </c>
      <c r="AB73" s="23">
        <f>EXP(-LN(2)/2)*AB72+(1-EXP(-LN(2)/2))/(LN(2)/2)*V73*Y73*VLOOKUP('Données projet'!$B$9,Paramètres!$A$1:$I$89,3,0)*0.475*44/12</f>
        <v>1.4219069141919763E-5</v>
      </c>
      <c r="AC73" s="24">
        <f t="shared" si="57"/>
        <v>3.0119363855893182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2">
        <f t="shared" si="59"/>
        <v>925.9895603391351</v>
      </c>
      <c r="AN73" s="62">
        <f ca="1">AVERAGE(OFFSET($AM$3,0,0,'Données projet'!$E$10+1,1))-AVERAGE(OFFSET($H$3,0,0,'Données projet'!$E$10+1,1))</f>
        <v>520.80494930257237</v>
      </c>
      <c r="AO73" s="62">
        <f t="shared" si="90"/>
        <v>325.72635759450861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3.375430014203646</v>
      </c>
      <c r="AW73" s="23">
        <f>EXP(-LN(2)/2)*AW72+(1-EXP(-LN(2)/2))/(LN(2)/2)*AQ73*AT73*VLOOKUP('Données projet'!$B$10,Paramètres!$A$1:$I$89,3,0)*0.475*44/12</f>
        <v>1.5935163693530741E-5</v>
      </c>
      <c r="AX73" s="23">
        <f t="shared" si="60"/>
        <v>3.3754459493673394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586.05999999999995</v>
      </c>
      <c r="BB73" s="13">
        <f>VLOOKUP(A73,'Données projet'!$A$87:$I$107,9,0)</f>
        <v>16.079999999999927</v>
      </c>
      <c r="BC73" s="13">
        <f t="array" ref="BC73">INDEX(BB:BB,MIN(IF(ISNUMBER(BB73:BB269),ROW(BB73:BB269),"")))</f>
        <v>16.079999999999927</v>
      </c>
      <c r="BD73" s="13">
        <f>IF('Données projet'!$A$88&gt;35,BD72+BC73-BL72,IF(A73&lt;'Données projet'!$A$88,$BA$205^A73,IF(A73='Données projet'!$A$88,'Données projet'!$B$88,BD72+BC73-BL72)))</f>
        <v>586.06000000000006</v>
      </c>
      <c r="BE73" s="14">
        <f>BD73*VLOOKUP('Données projet'!$B$11,Paramètres!$A$1:$I$89,3,0)*VLOOKUP('Données projet'!$B$11,Paramètres!$A$1:$I$89,5,0)</f>
        <v>327.60754000000003</v>
      </c>
      <c r="BF73" s="14">
        <f t="shared" si="91"/>
        <v>76.934079315946775</v>
      </c>
      <c r="BG73" s="22">
        <f t="shared" si="61"/>
        <v>704.57665364194065</v>
      </c>
      <c r="BH73" s="62">
        <f t="shared" si="62"/>
        <v>970.98219777895019</v>
      </c>
      <c r="BI73" s="62">
        <f ca="1">AVERAGE(OFFSET($BH$3,0,0,'Données projet'!$E$11+1,1))-AVERAGE(OFFSET($H$3,0,0,'Données projet'!$E$11+1,1))</f>
        <v>321.60602866722138</v>
      </c>
      <c r="BJ73" s="62">
        <f t="shared" si="92"/>
        <v>375.18886653687389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586.05999999999995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5.7991323878055683</v>
      </c>
      <c r="BQ73" s="23">
        <f>EXP(-LN(2)/25)*BQ72+(1-EXP(-LN(2)/25))/(LN(2)/25)*Calculateur!BL73*Calculateur!BN73*VLOOKUP('Données projet'!$B$11,Paramètres!$A$1:$I$89,3,0)*0.475*44/12</f>
        <v>5.2688250079217207</v>
      </c>
      <c r="BR73" s="23">
        <f>EXP(-LN(2)/2)*BR72+(1-EXP(-LN(2)/2))/(LN(2)/2)*BL73*BO73*VLOOKUP('Données projet'!$B$11,Paramètres!$A$1:$I$89,3,0)*0.475*44/12</f>
        <v>6.9827357336871868E-6</v>
      </c>
      <c r="BS73" s="24">
        <f t="shared" si="63"/>
        <v>11.067964378463023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2.8421709430404007E-14</v>
      </c>
      <c r="BZ73" s="14">
        <f>BY73*VLOOKUP('Données projet'!$B$12,Paramètres!$A$1:$I$89,3,0)*VLOOKUP('Données projet'!$B$12,Paramètres!$A$1:$I$89,5,0)</f>
        <v>1.5518253349000589E-14</v>
      </c>
      <c r="CA73" s="14">
        <f t="shared" si="93"/>
        <v>2.8958815659671149E-13</v>
      </c>
      <c r="CB73" s="22">
        <f t="shared" si="64"/>
        <v>5.3139366398878183E-13</v>
      </c>
      <c r="CC73" s="62">
        <f t="shared" si="65"/>
        <v>266.40554413701</v>
      </c>
      <c r="CD73" s="62">
        <f ca="1">AVERAGE(OFFSET($CC$3,0,0,'Données projet'!$E$12+1,1))-AVERAGE(OFFSET($H$3,0,0,'Données projet'!$E$12+1,1))</f>
        <v>182.44246264133781</v>
      </c>
      <c r="CE73" s="62">
        <f t="shared" si="94"/>
        <v>262.5818213397049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1.95140579236048</v>
      </c>
      <c r="CL73" s="23">
        <f>EXP(-LN(2)/25)*CL72+(1-EXP(-LN(2)/25))/(LN(2)/25)*Calculateur!CG73*Calculateur!CI73*VLOOKUP('Données projet'!$B$12,Paramètres!$A$1:$I$89,3,0)*0.475*44/12</f>
        <v>5.9705428778232337</v>
      </c>
      <c r="CM73" s="23">
        <f>EXP(-LN(2)/2)*CM72+(1-EXP(-LN(2)/2))/(LN(2)/2)*CG73*CJ73*VLOOKUP('Données projet'!$B$12,Paramètres!$A$1:$I$89,3,0)*0.475*44/12</f>
        <v>2.8787126506187529E-9</v>
      </c>
      <c r="CN73" s="24">
        <f t="shared" si="66"/>
        <v>7.9219486730624258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565</v>
      </c>
      <c r="CR73" s="13">
        <f>VLOOKUP(A73,'Données projet'!$A$139:$I$159,9,0)</f>
        <v>15.5</v>
      </c>
      <c r="CS73" s="13">
        <f t="array" ref="CS73">INDEX(CR:CR,MIN(IF(ISNUMBER(CR73:CR269),ROW(CR73:CR269),"")))</f>
        <v>15.5</v>
      </c>
      <c r="CT73" s="13">
        <f>IF('Données projet'!$A$140&gt;35,CT72+CS73-DB72,IF(A73&lt;'Données projet'!$A$140,$CQ$205^A73,IF(A73='Données projet'!$A$140,'Données projet'!$B$140,CT72+CS73-DB72)))</f>
        <v>564.99999999999989</v>
      </c>
      <c r="CU73" s="18">
        <f>CT73*VLOOKUP('Données projet'!$B$13,Paramètres!$A$1:$I$89,3,0)*VLOOKUP('Données projet'!$B$13,Paramètres!$A$1:$I$89,5,0)</f>
        <v>264.41999999999996</v>
      </c>
      <c r="CV73" s="14">
        <f t="shared" si="95"/>
        <v>63.663617006208391</v>
      </c>
      <c r="CW73" s="22">
        <f t="shared" si="67"/>
        <v>571.41229961914621</v>
      </c>
      <c r="CX73" s="62">
        <f t="shared" si="68"/>
        <v>837.81784375615575</v>
      </c>
      <c r="CY73" s="62">
        <f ca="1">AVERAGE(OFFSET($CX$3,0,0,'Données projet'!$E$13+1,1))-AVERAGE(OFFSET($H$3,0,0,'Données projet'!$E$13+1,1))</f>
        <v>426.87921482911719</v>
      </c>
      <c r="CZ73" s="62">
        <f t="shared" si="96"/>
        <v>313.49594674441835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113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292.09439999999995</v>
      </c>
      <c r="DQ73" s="14">
        <f t="shared" si="97"/>
        <v>69.516578973599849</v>
      </c>
      <c r="DR73" s="22">
        <f t="shared" si="70"/>
        <v>629.80578837901965</v>
      </c>
      <c r="DS73" s="62">
        <f t="shared" si="71"/>
        <v>896.21133251602919</v>
      </c>
      <c r="DT73" s="62">
        <f ca="1">AVERAGE(OFFSET($DS$3,0,0,'Données projet'!$E$14+1,1))-AVERAGE(OFFSET($H$3,0,0,'Données projet'!$E$14+1,1))</f>
        <v>500.25828825677058</v>
      </c>
      <c r="DU73" s="62">
        <f t="shared" si="98"/>
        <v>313.56299786481338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28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0.84597694897209197</v>
      </c>
      <c r="EC73" s="23">
        <f>EXP(-LN(2)/2)*EC72+(1-EXP(-LN(2)/2))/(LN(2)/2)*DW73*DZ73*VLOOKUP('Données projet'!$B$14,Paramètres!$A$1:$I$89,3,0)*0.475*44/12</f>
        <v>2.3965759411513717E-5</v>
      </c>
      <c r="ED73" s="24">
        <f t="shared" si="72"/>
        <v>0.84600091473150352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302</v>
      </c>
      <c r="EH73" s="13">
        <f>VLOOKUP(A73,'Données projet'!$A$191:$I$211,9,0)</f>
        <v>8.1999999999999993</v>
      </c>
      <c r="EI73" s="13">
        <f t="array" ref="EI73">INDEX(EH:EH,MIN(IF(ISNUMBER(EH73:EH269),ROW(EH73:EH269),"")))</f>
        <v>8.1999999999999993</v>
      </c>
      <c r="EJ73" s="13">
        <f>IF('Données projet'!$A$192&gt;35,EJ72+EI73-ER72,IF(A73&lt;'Données projet'!$A$192,$EG$205^A73,IF(A73='Données projet'!$A$192,'Données projet'!$B$192,EJ72+EI73-ER72)))</f>
        <v>301.99999999999994</v>
      </c>
      <c r="EK73" s="18">
        <f>EJ73*VLOOKUP('Données projet'!$B$15,Paramètres!$A$1:$I$89,3,0)*VLOOKUP('Données projet'!$B$15,Paramètres!$A$1:$I$89,5,0)</f>
        <v>325.07279999999992</v>
      </c>
      <c r="EL73" s="14">
        <f t="shared" si="99"/>
        <v>76.407880238933714</v>
      </c>
      <c r="EM73" s="22">
        <f t="shared" si="73"/>
        <v>699.24551808280933</v>
      </c>
      <c r="EN73" s="62">
        <f t="shared" si="74"/>
        <v>965.65106221981887</v>
      </c>
      <c r="EO73" s="62">
        <f ca="1">AVERAGE(OFFSET($EN$3,0,0,'Données projet'!$E$15+1,1))-AVERAGE(OFFSET($H$3,0,0,'Données projet'!$E$15+1,1))</f>
        <v>548.17046467409421</v>
      </c>
      <c r="EP73" s="62">
        <f t="shared" si="100"/>
        <v>341.9250949809848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28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0.94149047546894093</v>
      </c>
      <c r="EX73" s="23">
        <f>EXP(-LN(2)/2)*EX72+(1-EXP(-LN(2)/2))/(LN(2)/2)*ER73*EU73*VLOOKUP('Données projet'!$B$15,Paramètres!$A$1:$I$89,3,0)*0.475*44/12</f>
        <v>2.6671570957974922E-5</v>
      </c>
      <c r="EY73" s="24">
        <f t="shared" si="75"/>
        <v>0.94151714703989886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817.940456546929</v>
      </c>
      <c r="S74" s="62">
        <f ca="1">AVERAGE(OFFSET($R$3,0,0,'Données projet'!$E$9+1,1))-AVERAGE(OFFSET($H$3,0,0,'Données projet'!$E$9+1,1))</f>
        <v>472.83070477639035</v>
      </c>
      <c r="T74" s="62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2.929560996486579</v>
      </c>
      <c r="AB74" s="23">
        <f>EXP(-LN(2)/2)*AB73+(1-EXP(-LN(2)/2))/(LN(2)/2)*V74*Y74*VLOOKUP('Données projet'!$B$9,Paramètres!$A$1:$I$89,3,0)*0.475*44/12</f>
        <v>1.0054400212411848E-5</v>
      </c>
      <c r="AC74" s="24">
        <f t="shared" si="57"/>
        <v>2.9295710508867914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285.54239999999999</v>
      </c>
      <c r="AK74" s="14">
        <f t="shared" si="89"/>
        <v>68.136937829389524</v>
      </c>
      <c r="AL74" s="22">
        <f t="shared" si="58"/>
        <v>615.99151338618674</v>
      </c>
      <c r="AM74" s="62">
        <f t="shared" si="59"/>
        <v>882.86419446423474</v>
      </c>
      <c r="AN74" s="62">
        <f ca="1">AVERAGE(OFFSET($AM$3,0,0,'Données projet'!$E$10+1,1))-AVERAGE(OFFSET($H$3,0,0,'Données projet'!$E$10+1,1))</f>
        <v>520.80494930257237</v>
      </c>
      <c r="AO74" s="62">
        <f t="shared" si="90"/>
        <v>325.72635759450861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3.2831287029590976</v>
      </c>
      <c r="AW74" s="23">
        <f>EXP(-LN(2)/2)*AW73+(1-EXP(-LN(2)/2))/(LN(2)/2)*AQ74*AT74*VLOOKUP('Données projet'!$B$10,Paramètres!$A$1:$I$89,3,0)*0.475*44/12</f>
        <v>1.1267862307013259E-5</v>
      </c>
      <c r="AX74" s="23">
        <f t="shared" si="60"/>
        <v>3.2831399708214049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6.3550942286383367E-14</v>
      </c>
      <c r="BF74" s="14">
        <f t="shared" si="91"/>
        <v>1.0064464192543978E-12</v>
      </c>
      <c r="BG74" s="22">
        <f t="shared" si="61"/>
        <v>1.8635787380168604E-12</v>
      </c>
      <c r="BH74" s="62">
        <f t="shared" si="62"/>
        <v>266.87268107804982</v>
      </c>
      <c r="BI74" s="62">
        <f ca="1">AVERAGE(OFFSET($BH$3,0,0,'Données projet'!$E$11+1,1))-AVERAGE(OFFSET($H$3,0,0,'Données projet'!$E$11+1,1))</f>
        <v>321.60602866722138</v>
      </c>
      <c r="BJ74" s="62">
        <f t="shared" si="92"/>
        <v>375.18886653687389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5.6854149388021957</v>
      </c>
      <c r="BQ74" s="23">
        <f>EXP(-LN(2)/25)*BQ73+(1-EXP(-LN(2)/25))/(LN(2)/25)*Calculateur!BL74*Calculateur!BN74*VLOOKUP('Données projet'!$B$11,Paramètres!$A$1:$I$89,3,0)*0.475*44/12</f>
        <v>5.1247487110046359</v>
      </c>
      <c r="BR74" s="23">
        <f>EXP(-LN(2)/2)*BR73+(1-EXP(-LN(2)/2))/(LN(2)/2)*BL74*BO74*VLOOKUP('Données projet'!$B$11,Paramètres!$A$1:$I$89,3,0)*0.475*44/12</f>
        <v>4.9375397885238319E-6</v>
      </c>
      <c r="BS74" s="24">
        <f t="shared" si="63"/>
        <v>10.81016858734662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2.8421709430404007E-14</v>
      </c>
      <c r="BZ74" s="14">
        <f>BY74*VLOOKUP('Données projet'!$B$12,Paramètres!$A$1:$I$89,3,0)*VLOOKUP('Données projet'!$B$12,Paramètres!$A$1:$I$89,5,0)</f>
        <v>1.5518253349000589E-14</v>
      </c>
      <c r="CA74" s="14">
        <f t="shared" si="93"/>
        <v>2.8958815659671149E-13</v>
      </c>
      <c r="CB74" s="22">
        <f t="shared" si="64"/>
        <v>5.3139366398878183E-13</v>
      </c>
      <c r="CC74" s="62">
        <f t="shared" si="65"/>
        <v>266.87268107804846</v>
      </c>
      <c r="CD74" s="62">
        <f ca="1">AVERAGE(OFFSET($CC$3,0,0,'Données projet'!$E$12+1,1))-AVERAGE(OFFSET($H$3,0,0,'Données projet'!$E$12+1,1))</f>
        <v>182.44246264133781</v>
      </c>
      <c r="CE74" s="62">
        <f t="shared" si="94"/>
        <v>262.5818213397049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1.9131399150122979</v>
      </c>
      <c r="CL74" s="23">
        <f>EXP(-LN(2)/25)*CL73+(1-EXP(-LN(2)/25))/(LN(2)/25)*Calculateur!CG74*Calculateur!CI74*VLOOKUP('Données projet'!$B$12,Paramètres!$A$1:$I$89,3,0)*0.475*44/12</f>
        <v>5.8072780688519536</v>
      </c>
      <c r="CM74" s="23">
        <f>EXP(-LN(2)/2)*CM73+(1-EXP(-LN(2)/2))/(LN(2)/2)*CG74*CJ74*VLOOKUP('Données projet'!$B$12,Paramètres!$A$1:$I$89,3,0)*0.475*44/12</f>
        <v>2.0355572363400207E-9</v>
      </c>
      <c r="CN74" s="24">
        <f t="shared" si="66"/>
        <v>7.7204179858998092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17</v>
      </c>
      <c r="CT74" s="13">
        <f>IF('Données projet'!$A$140&gt;35,CT73+CS74-DB73,IF(A74&lt;'Données projet'!$A$140,$CQ$205^A74,IF(A74='Données projet'!$A$140,'Données projet'!$B$140,CT73+CS74-DB73)))</f>
        <v>468.99999999999989</v>
      </c>
      <c r="CU74" s="18">
        <f>CT74*VLOOKUP('Données projet'!$B$13,Paramètres!$A$1:$I$89,3,0)*VLOOKUP('Données projet'!$B$13,Paramètres!$A$1:$I$89,5,0)</f>
        <v>219.49199999999993</v>
      </c>
      <c r="CV74" s="14">
        <f t="shared" si="95"/>
        <v>54.004459579686618</v>
      </c>
      <c r="CW74" s="22">
        <f t="shared" si="67"/>
        <v>476.33966710128726</v>
      </c>
      <c r="CX74" s="62">
        <f t="shared" si="68"/>
        <v>743.21234817933521</v>
      </c>
      <c r="CY74" s="62">
        <f ca="1">AVERAGE(OFFSET($CX$3,0,0,'Données projet'!$E$13+1,1))-AVERAGE(OFFSET($H$3,0,0,'Données projet'!$E$13+1,1))</f>
        <v>426.87921482911719</v>
      </c>
      <c r="CZ74" s="62">
        <f t="shared" si="96"/>
        <v>313.49594674441835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281.59999999999997</v>
      </c>
      <c r="DP74" s="18">
        <f>DO74*VLOOKUP('Données projet'!$B$14,Paramètres!$A$1:$I$89,3,0)*VLOOKUP('Données projet'!$B$14,Paramètres!$A$1:$I$89,5,0)</f>
        <v>272.36351999999999</v>
      </c>
      <c r="DQ74" s="14">
        <f t="shared" si="97"/>
        <v>65.350613162347059</v>
      </c>
      <c r="DR74" s="22">
        <f t="shared" si="70"/>
        <v>588.18544859108772</v>
      </c>
      <c r="DS74" s="62">
        <f t="shared" si="71"/>
        <v>855.05812966913572</v>
      </c>
      <c r="DT74" s="62">
        <f ca="1">AVERAGE(OFFSET($DS$3,0,0,'Données projet'!$E$14+1,1))-AVERAGE(OFFSET($H$3,0,0,'Données projet'!$E$14+1,1))</f>
        <v>500.25828825677058</v>
      </c>
      <c r="DU74" s="62">
        <f t="shared" si="98"/>
        <v>313.56299786481338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0.82284366481445592</v>
      </c>
      <c r="EC74" s="23">
        <f>EXP(-LN(2)/2)*EC73+(1-EXP(-LN(2)/2))/(LN(2)/2)*DW74*DZ74*VLOOKUP('Données projet'!$B$14,Paramètres!$A$1:$I$89,3,0)*0.475*44/12</f>
        <v>1.6946350996166671E-5</v>
      </c>
      <c r="ED74" s="24">
        <f t="shared" si="72"/>
        <v>0.82286061116545206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7.6</v>
      </c>
      <c r="EJ74" s="13">
        <f>IF('Données projet'!$A$192&gt;35,EJ73+EI74-ER73,IF(A74&lt;'Données projet'!$A$192,$EG$205^A74,IF(A74='Données projet'!$A$192,'Données projet'!$B$192,EJ73+EI74-ER73)))</f>
        <v>281.59999999999997</v>
      </c>
      <c r="EK74" s="18">
        <f>EJ74*VLOOKUP('Données projet'!$B$15,Paramètres!$A$1:$I$89,3,0)*VLOOKUP('Données projet'!$B$15,Paramètres!$A$1:$I$89,5,0)</f>
        <v>303.11424</v>
      </c>
      <c r="EL74" s="14">
        <f t="shared" si="99"/>
        <v>71.828934878193564</v>
      </c>
      <c r="EM74" s="22">
        <f t="shared" si="73"/>
        <v>653.02602957952047</v>
      </c>
      <c r="EN74" s="62">
        <f t="shared" si="74"/>
        <v>919.89871065756847</v>
      </c>
      <c r="EO74" s="62">
        <f ca="1">AVERAGE(OFFSET($EN$3,0,0,'Données projet'!$E$15+1,1))-AVERAGE(OFFSET($H$3,0,0,'Données projet'!$E$15+1,1))</f>
        <v>548.17046467409421</v>
      </c>
      <c r="EP74" s="62">
        <f t="shared" si="100"/>
        <v>341.9250949809848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0.91574536890641045</v>
      </c>
      <c r="EX74" s="23">
        <f>EXP(-LN(2)/2)*EX73+(1-EXP(-LN(2)/2))/(LN(2)/2)*ER74*EU74*VLOOKUP('Données projet'!$B$15,Paramètres!$A$1:$I$89,3,0)*0.475*44/12</f>
        <v>1.8859648689282249E-5</v>
      </c>
      <c r="EY74" s="24">
        <f t="shared" si="75"/>
        <v>0.91576422855509976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832.93097979380696</v>
      </c>
      <c r="S75" s="62">
        <f ca="1">AVERAGE(OFFSET($R$3,0,0,'Données projet'!$E$9+1,1))-AVERAGE(OFFSET($H$3,0,0,'Données projet'!$E$9+1,1))</f>
        <v>472.83070477639035</v>
      </c>
      <c r="T75" s="62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2.8494519969787362</v>
      </c>
      <c r="AB75" s="23">
        <f>EXP(-LN(2)/2)*AB74+(1-EXP(-LN(2)/2))/(LN(2)/2)*V75*Y75*VLOOKUP('Données projet'!$B$9,Paramètres!$A$1:$I$89,3,0)*0.475*44/12</f>
        <v>7.1095345709598816E-6</v>
      </c>
      <c r="AC75" s="24">
        <f t="shared" si="57"/>
        <v>2.849459106513307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293.24880000000002</v>
      </c>
      <c r="AK75" s="14">
        <f t="shared" si="89"/>
        <v>69.759283249126327</v>
      </c>
      <c r="AL75" s="22">
        <f t="shared" si="58"/>
        <v>632.23907832556176</v>
      </c>
      <c r="AM75" s="62">
        <f t="shared" si="59"/>
        <v>899.57079256308293</v>
      </c>
      <c r="AN75" s="62">
        <f ca="1">AVERAGE(OFFSET($AM$3,0,0,'Données projet'!$E$10+1,1))-AVERAGE(OFFSET($H$3,0,0,'Données projet'!$E$10+1,1))</f>
        <v>520.80494930257237</v>
      </c>
      <c r="AO75" s="62">
        <f t="shared" si="90"/>
        <v>325.72635759450861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3.1933513759244465</v>
      </c>
      <c r="AW75" s="23">
        <f>EXP(-LN(2)/2)*AW74+(1-EXP(-LN(2)/2))/(LN(2)/2)*AQ75*AT75*VLOOKUP('Données projet'!$B$10,Paramètres!$A$1:$I$89,3,0)*0.475*44/12</f>
        <v>7.9675818467653707E-6</v>
      </c>
      <c r="AX75" s="23">
        <f t="shared" si="60"/>
        <v>3.1933593435062932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6.3550942286383367E-14</v>
      </c>
      <c r="BF75" s="14">
        <f t="shared" si="91"/>
        <v>1.0064464192543978E-12</v>
      </c>
      <c r="BG75" s="22">
        <f t="shared" si="61"/>
        <v>1.8635787380168604E-12</v>
      </c>
      <c r="BH75" s="62">
        <f t="shared" si="62"/>
        <v>267.33171423752299</v>
      </c>
      <c r="BI75" s="62">
        <f ca="1">AVERAGE(OFFSET($BH$3,0,0,'Données projet'!$E$11+1,1))-AVERAGE(OFFSET($H$3,0,0,'Données projet'!$E$11+1,1))</f>
        <v>321.60602866722138</v>
      </c>
      <c r="BJ75" s="62">
        <f t="shared" si="92"/>
        <v>375.18886653687389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5.5739274196129847</v>
      </c>
      <c r="BQ75" s="23">
        <f>EXP(-LN(2)/25)*BQ74+(1-EXP(-LN(2)/25))/(LN(2)/25)*Calculateur!BL75*Calculateur!BN75*VLOOKUP('Données projet'!$B$11,Paramètres!$A$1:$I$89,3,0)*0.475*44/12</f>
        <v>4.9846121880033918</v>
      </c>
      <c r="BR75" s="23">
        <f>EXP(-LN(2)/2)*BR74+(1-EXP(-LN(2)/2))/(LN(2)/2)*BL75*BO75*VLOOKUP('Données projet'!$B$11,Paramètres!$A$1:$I$89,3,0)*0.475*44/12</f>
        <v>3.4913678668435934E-6</v>
      </c>
      <c r="BS75" s="24">
        <f t="shared" si="63"/>
        <v>10.558543098984243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2.8421709430404007E-14</v>
      </c>
      <c r="BZ75" s="14">
        <f>BY75*VLOOKUP('Données projet'!$B$12,Paramètres!$A$1:$I$89,3,0)*VLOOKUP('Données projet'!$B$12,Paramètres!$A$1:$I$89,5,0)</f>
        <v>1.5518253349000589E-14</v>
      </c>
      <c r="CA75" s="14">
        <f t="shared" si="93"/>
        <v>2.8958815659671149E-13</v>
      </c>
      <c r="CB75" s="22">
        <f t="shared" si="64"/>
        <v>5.3139366398878183E-13</v>
      </c>
      <c r="CC75" s="62">
        <f t="shared" si="65"/>
        <v>267.33171423752162</v>
      </c>
      <c r="CD75" s="62">
        <f ca="1">AVERAGE(OFFSET($CC$3,0,0,'Données projet'!$E$12+1,1))-AVERAGE(OFFSET($H$3,0,0,'Données projet'!$E$12+1,1))</f>
        <v>182.44246264133781</v>
      </c>
      <c r="CE75" s="62">
        <f t="shared" si="94"/>
        <v>262.5818213397049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1.875624408179033</v>
      </c>
      <c r="CL75" s="23">
        <f>EXP(-LN(2)/25)*CL74+(1-EXP(-LN(2)/25))/(LN(2)/25)*Calculateur!CG75*Calculateur!CI75*VLOOKUP('Données projet'!$B$12,Paramètres!$A$1:$I$89,3,0)*0.475*44/12</f>
        <v>5.6484777446677157</v>
      </c>
      <c r="CM75" s="23">
        <f>EXP(-LN(2)/2)*CM74+(1-EXP(-LN(2)/2))/(LN(2)/2)*CG75*CJ75*VLOOKUP('Données projet'!$B$12,Paramètres!$A$1:$I$89,3,0)*0.475*44/12</f>
        <v>1.4393563253093765E-9</v>
      </c>
      <c r="CN75" s="24">
        <f t="shared" si="66"/>
        <v>7.5241021542861048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17</v>
      </c>
      <c r="CT75" s="13">
        <f>IF('Données projet'!$A$140&gt;35,CT74+CS75-DB74,IF(A75&lt;'Données projet'!$A$140,$CQ$205^A75,IF(A75='Données projet'!$A$140,'Données projet'!$B$140,CT74+CS75-DB74)))</f>
        <v>485.99999999999989</v>
      </c>
      <c r="CU75" s="18">
        <f>CT75*VLOOKUP('Données projet'!$B$13,Paramètres!$A$1:$I$89,3,0)*VLOOKUP('Données projet'!$B$13,Paramètres!$A$1:$I$89,5,0)</f>
        <v>227.44799999999995</v>
      </c>
      <c r="CV75" s="14">
        <f t="shared" si="95"/>
        <v>55.730521649800686</v>
      </c>
      <c r="CW75" s="22">
        <f t="shared" si="67"/>
        <v>493.20259187340275</v>
      </c>
      <c r="CX75" s="62">
        <f t="shared" si="68"/>
        <v>760.53430611092381</v>
      </c>
      <c r="CY75" s="62">
        <f ca="1">AVERAGE(OFFSET($CX$3,0,0,'Données projet'!$E$13+1,1))-AVERAGE(OFFSET($H$3,0,0,'Données projet'!$E$13+1,1))</f>
        <v>426.87921482911719</v>
      </c>
      <c r="CZ75" s="62">
        <f t="shared" si="96"/>
        <v>313.49594674441835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289.2</v>
      </c>
      <c r="DP75" s="18">
        <f>DO75*VLOOKUP('Données projet'!$B$14,Paramètres!$A$1:$I$89,3,0)*VLOOKUP('Données projet'!$B$14,Paramètres!$A$1:$I$89,5,0)</f>
        <v>279.71424000000002</v>
      </c>
      <c r="DQ75" s="14">
        <f t="shared" si="97"/>
        <v>66.906615990158315</v>
      </c>
      <c r="DR75" s="22">
        <f t="shared" si="70"/>
        <v>603.69799084952581</v>
      </c>
      <c r="DS75" s="62">
        <f t="shared" si="71"/>
        <v>871.02970508704698</v>
      </c>
      <c r="DT75" s="62">
        <f ca="1">AVERAGE(OFFSET($DS$3,0,0,'Données projet'!$E$14+1,1))-AVERAGE(OFFSET($H$3,0,0,'Données projet'!$E$14+1,1))</f>
        <v>500.25828825677058</v>
      </c>
      <c r="DU75" s="62">
        <f t="shared" si="98"/>
        <v>313.56299786481338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0.80034296152863693</v>
      </c>
      <c r="EC75" s="23">
        <f>EXP(-LN(2)/2)*EC74+(1-EXP(-LN(2)/2))/(LN(2)/2)*DW75*DZ75*VLOOKUP('Données projet'!$B$14,Paramètres!$A$1:$I$89,3,0)*0.475*44/12</f>
        <v>1.1982879705756858E-5</v>
      </c>
      <c r="ED75" s="24">
        <f t="shared" si="72"/>
        <v>0.80035494440834265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7.6</v>
      </c>
      <c r="EJ75" s="13">
        <f>IF('Données projet'!$A$192&gt;35,EJ74+EI75-ER74,IF(A75&lt;'Données projet'!$A$192,$EG$205^A75,IF(A75='Données projet'!$A$192,'Données projet'!$B$192,EJ74+EI75-ER74)))</f>
        <v>289.2</v>
      </c>
      <c r="EK75" s="18">
        <f>EJ75*VLOOKUP('Données projet'!$B$15,Paramètres!$A$1:$I$89,3,0)*VLOOKUP('Données projet'!$B$15,Paramètres!$A$1:$I$89,5,0)</f>
        <v>311.29487999999998</v>
      </c>
      <c r="EL75" s="14">
        <f t="shared" si="99"/>
        <v>73.539187014795203</v>
      </c>
      <c r="EM75" s="22">
        <f t="shared" si="73"/>
        <v>670.25266671743498</v>
      </c>
      <c r="EN75" s="62">
        <f t="shared" si="74"/>
        <v>937.58438095495603</v>
      </c>
      <c r="EO75" s="62">
        <f ca="1">AVERAGE(OFFSET($EN$3,0,0,'Données projet'!$E$15+1,1))-AVERAGE(OFFSET($H$3,0,0,'Données projet'!$E$15+1,1))</f>
        <v>548.17046467409421</v>
      </c>
      <c r="EP75" s="62">
        <f t="shared" si="100"/>
        <v>341.9250949809848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0.89070426363670863</v>
      </c>
      <c r="EX75" s="23">
        <f>EXP(-LN(2)/2)*EX74+(1-EXP(-LN(2)/2))/(LN(2)/2)*ER75*EU75*VLOOKUP('Données projet'!$B$15,Paramètres!$A$1:$I$89,3,0)*0.475*44/12</f>
        <v>1.3335785478987461E-5</v>
      </c>
      <c r="EY75" s="24">
        <f t="shared" si="75"/>
        <v>0.89071759942218764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847.90573543037658</v>
      </c>
      <c r="S76" s="62">
        <f ca="1">AVERAGE(OFFSET($R$3,0,0,'Données projet'!$E$9+1,1))-AVERAGE(OFFSET($H$3,0,0,'Données projet'!$E$9+1,1))</f>
        <v>472.83070477639035</v>
      </c>
      <c r="T76" s="62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2.7715335822751848</v>
      </c>
      <c r="AB76" s="23">
        <f>EXP(-LN(2)/2)*AB75+(1-EXP(-LN(2)/2))/(LN(2)/2)*V76*Y76*VLOOKUP('Données projet'!$B$9,Paramètres!$A$1:$I$89,3,0)*0.475*44/12</f>
        <v>5.027200106205924E-6</v>
      </c>
      <c r="AC76" s="24">
        <f t="shared" si="57"/>
        <v>2.7715386094752912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300.95520000000005</v>
      </c>
      <c r="AK76" s="14">
        <f t="shared" si="89"/>
        <v>71.376673021759785</v>
      </c>
      <c r="AL76" s="22">
        <f t="shared" si="58"/>
        <v>648.4780121795651</v>
      </c>
      <c r="AM76" s="62">
        <f t="shared" si="59"/>
        <v>916.26079637748694</v>
      </c>
      <c r="AN76" s="62">
        <f ca="1">AVERAGE(OFFSET($AM$3,0,0,'Données projet'!$E$10+1,1))-AVERAGE(OFFSET($H$3,0,0,'Données projet'!$E$10+1,1))</f>
        <v>520.80494930257237</v>
      </c>
      <c r="AO76" s="62">
        <f t="shared" si="90"/>
        <v>325.72635759450861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3.1060290146187421</v>
      </c>
      <c r="AW76" s="23">
        <f>EXP(-LN(2)/2)*AW75+(1-EXP(-LN(2)/2))/(LN(2)/2)*AQ76*AT76*VLOOKUP('Données projet'!$B$10,Paramètres!$A$1:$I$89,3,0)*0.475*44/12</f>
        <v>5.6339311535066293E-6</v>
      </c>
      <c r="AX76" s="23">
        <f t="shared" si="60"/>
        <v>3.1060346485498957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6.3550942286383367E-14</v>
      </c>
      <c r="BF76" s="14">
        <f t="shared" si="91"/>
        <v>1.0064464192543978E-12</v>
      </c>
      <c r="BG76" s="22">
        <f t="shared" si="61"/>
        <v>1.8635787380168604E-12</v>
      </c>
      <c r="BH76" s="62">
        <f t="shared" si="62"/>
        <v>267.78278419792366</v>
      </c>
      <c r="BI76" s="62">
        <f ca="1">AVERAGE(OFFSET($BH$3,0,0,'Données projet'!$E$11+1,1))-AVERAGE(OFFSET($H$3,0,0,'Données projet'!$E$11+1,1))</f>
        <v>321.60602866722138</v>
      </c>
      <c r="BJ76" s="62">
        <f t="shared" si="92"/>
        <v>375.18886653687389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5.4646261026744014</v>
      </c>
      <c r="BQ76" s="23">
        <f>EXP(-LN(2)/25)*BQ75+(1-EXP(-LN(2)/25))/(LN(2)/25)*Calculateur!BL76*Calculateur!BN76*VLOOKUP('Données projet'!$B$11,Paramètres!$A$1:$I$89,3,0)*0.475*44/12</f>
        <v>4.8483077055930766</v>
      </c>
      <c r="BR76" s="23">
        <f>EXP(-LN(2)/2)*BR75+(1-EXP(-LN(2)/2))/(LN(2)/2)*BL76*BO76*VLOOKUP('Données projet'!$B$11,Paramètres!$A$1:$I$89,3,0)*0.475*44/12</f>
        <v>2.468769894261916E-6</v>
      </c>
      <c r="BS76" s="24">
        <f t="shared" si="63"/>
        <v>10.312936277037371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2.8421709430404007E-14</v>
      </c>
      <c r="BZ76" s="14">
        <f>BY76*VLOOKUP('Données projet'!$B$12,Paramètres!$A$1:$I$89,3,0)*VLOOKUP('Données projet'!$B$12,Paramètres!$A$1:$I$89,5,0)</f>
        <v>1.5518253349000589E-14</v>
      </c>
      <c r="CA76" s="14">
        <f t="shared" si="93"/>
        <v>2.8958815659671149E-13</v>
      </c>
      <c r="CB76" s="22">
        <f t="shared" si="64"/>
        <v>5.3139366398878183E-13</v>
      </c>
      <c r="CC76" s="62">
        <f t="shared" si="65"/>
        <v>267.7827841979223</v>
      </c>
      <c r="CD76" s="62">
        <f ca="1">AVERAGE(OFFSET($CC$3,0,0,'Données projet'!$E$12+1,1))-AVERAGE(OFFSET($H$3,0,0,'Données projet'!$E$12+1,1))</f>
        <v>182.44246264133781</v>
      </c>
      <c r="CE76" s="62">
        <f t="shared" si="94"/>
        <v>262.5818213397049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1.8388445575525687</v>
      </c>
      <c r="CL76" s="23">
        <f>EXP(-LN(2)/25)*CL75+(1-EXP(-LN(2)/25))/(LN(2)/25)*Calculateur!CG76*Calculateur!CI76*VLOOKUP('Données projet'!$B$12,Paramètres!$A$1:$I$89,3,0)*0.475*44/12</f>
        <v>5.4940198236992419</v>
      </c>
      <c r="CM76" s="23">
        <f>EXP(-LN(2)/2)*CM75+(1-EXP(-LN(2)/2))/(LN(2)/2)*CG76*CJ76*VLOOKUP('Données projet'!$B$12,Paramètres!$A$1:$I$89,3,0)*0.475*44/12</f>
        <v>1.0177786181700104E-9</v>
      </c>
      <c r="CN76" s="24">
        <f t="shared" si="66"/>
        <v>7.3328643822695891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17</v>
      </c>
      <c r="CT76" s="13">
        <f>IF('Données projet'!$A$140&gt;35,CT75+CS76-DB75,IF(A76&lt;'Données projet'!$A$140,$CQ$205^A76,IF(A76='Données projet'!$A$140,'Données projet'!$B$140,CT75+CS76-DB75)))</f>
        <v>502.99999999999989</v>
      </c>
      <c r="CU76" s="18">
        <f>CT76*VLOOKUP('Données projet'!$B$13,Paramètres!$A$1:$I$89,3,0)*VLOOKUP('Données projet'!$B$13,Paramètres!$A$1:$I$89,5,0)</f>
        <v>235.40399999999994</v>
      </c>
      <c r="CV76" s="14">
        <f t="shared" si="95"/>
        <v>57.449568653781753</v>
      </c>
      <c r="CW76" s="22">
        <f t="shared" si="67"/>
        <v>510.05329873866975</v>
      </c>
      <c r="CX76" s="62">
        <f t="shared" si="68"/>
        <v>777.83608293659154</v>
      </c>
      <c r="CY76" s="62">
        <f ca="1">AVERAGE(OFFSET($CX$3,0,0,'Données projet'!$E$13+1,1))-AVERAGE(OFFSET($H$3,0,0,'Données projet'!$E$13+1,1))</f>
        <v>426.87921482911719</v>
      </c>
      <c r="CZ76" s="62">
        <f t="shared" si="96"/>
        <v>313.49594674441835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296.8</v>
      </c>
      <c r="DP76" s="18">
        <f>DO76*VLOOKUP('Données projet'!$B$14,Paramètres!$A$1:$I$89,3,0)*VLOOKUP('Données projet'!$B$14,Paramètres!$A$1:$I$89,5,0)</f>
        <v>287.06496000000004</v>
      </c>
      <c r="DQ76" s="14">
        <f t="shared" si="97"/>
        <v>68.457865822206315</v>
      </c>
      <c r="DR76" s="22">
        <f t="shared" si="70"/>
        <v>619.20225497367608</v>
      </c>
      <c r="DS76" s="62">
        <f t="shared" si="71"/>
        <v>886.98503917159792</v>
      </c>
      <c r="DT76" s="62">
        <f ca="1">AVERAGE(OFFSET($DS$3,0,0,'Données projet'!$E$14+1,1))-AVERAGE(OFFSET($H$3,0,0,'Données projet'!$E$14+1,1))</f>
        <v>500.25828825677058</v>
      </c>
      <c r="DU76" s="62">
        <f t="shared" si="98"/>
        <v>313.56299786481338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0.77845754115742927</v>
      </c>
      <c r="EC76" s="23">
        <f>EXP(-LN(2)/2)*EC75+(1-EXP(-LN(2)/2))/(LN(2)/2)*DW76*DZ76*VLOOKUP('Données projet'!$B$14,Paramètres!$A$1:$I$89,3,0)*0.475*44/12</f>
        <v>8.4731754980833356E-6</v>
      </c>
      <c r="ED76" s="24">
        <f t="shared" si="72"/>
        <v>0.77846601433292739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7.6</v>
      </c>
      <c r="EJ76" s="13">
        <f>IF('Données projet'!$A$192&gt;35,EJ75+EI76-ER75,IF(A76&lt;'Données projet'!$A$192,$EG$205^A76,IF(A76='Données projet'!$A$192,'Données projet'!$B$192,EJ75+EI76-ER75)))</f>
        <v>296.8</v>
      </c>
      <c r="EK76" s="18">
        <f>EJ76*VLOOKUP('Données projet'!$B$15,Paramètres!$A$1:$I$89,3,0)*VLOOKUP('Données projet'!$B$15,Paramètres!$A$1:$I$89,5,0)</f>
        <v>319.47552000000002</v>
      </c>
      <c r="EL76" s="14">
        <f t="shared" si="99"/>
        <v>75.244214982768241</v>
      </c>
      <c r="EM76" s="22">
        <f t="shared" si="73"/>
        <v>687.47020509498805</v>
      </c>
      <c r="EN76" s="62">
        <f t="shared" si="74"/>
        <v>955.25298929290989</v>
      </c>
      <c r="EO76" s="62">
        <f ca="1">AVERAGE(OFFSET($EN$3,0,0,'Données projet'!$E$15+1,1))-AVERAGE(OFFSET($H$3,0,0,'Données projet'!$E$15+1,1))</f>
        <v>548.17046467409421</v>
      </c>
      <c r="EP76" s="62">
        <f t="shared" si="100"/>
        <v>341.9250949809848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0.86634790870746137</v>
      </c>
      <c r="EX76" s="23">
        <f>EXP(-LN(2)/2)*EX75+(1-EXP(-LN(2)/2))/(LN(2)/2)*ER76*EU76*VLOOKUP('Données projet'!$B$15,Paramètres!$A$1:$I$89,3,0)*0.475*44/12</f>
        <v>9.4298243446411244E-6</v>
      </c>
      <c r="EY76" s="24">
        <f t="shared" si="75"/>
        <v>0.86635733853180596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862.86508442263937</v>
      </c>
      <c r="S77" s="62">
        <f ca="1">AVERAGE(OFFSET($R$3,0,0,'Données projet'!$E$9+1,1))-AVERAGE(OFFSET($H$3,0,0,'Données projet'!$E$9+1,1))</f>
        <v>472.83070477639035</v>
      </c>
      <c r="T77" s="62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2.6957458507192533</v>
      </c>
      <c r="AB77" s="23">
        <f>EXP(-LN(2)/2)*AB76+(1-EXP(-LN(2)/2))/(LN(2)/2)*V77*Y77*VLOOKUP('Données projet'!$B$9,Paramètres!$A$1:$I$89,3,0)*0.475*44/12</f>
        <v>3.5547672854799408E-6</v>
      </c>
      <c r="AC77" s="24">
        <f t="shared" si="57"/>
        <v>2.6957494054865387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308.66160000000008</v>
      </c>
      <c r="AK77" s="14">
        <f t="shared" si="89"/>
        <v>72.98924863505313</v>
      </c>
      <c r="AL77" s="22">
        <f t="shared" si="58"/>
        <v>664.70856137271755</v>
      </c>
      <c r="AM77" s="62">
        <f t="shared" si="59"/>
        <v>932.93459047566841</v>
      </c>
      <c r="AN77" s="62">
        <f ca="1">AVERAGE(OFFSET($AM$3,0,0,'Données projet'!$E$10+1,1))-AVERAGE(OFFSET($H$3,0,0,'Données projet'!$E$10+1,1))</f>
        <v>520.80494930257237</v>
      </c>
      <c r="AO77" s="62">
        <f t="shared" si="90"/>
        <v>325.72635759450861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3.0210944878750259</v>
      </c>
      <c r="AW77" s="23">
        <f>EXP(-LN(2)/2)*AW76+(1-EXP(-LN(2)/2))/(LN(2)/2)*AQ77*AT77*VLOOKUP('Données projet'!$B$10,Paramètres!$A$1:$I$89,3,0)*0.475*44/12</f>
        <v>3.9837909233826853E-6</v>
      </c>
      <c r="AX77" s="23">
        <f t="shared" si="60"/>
        <v>3.0210984716659492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6.3550942286383367E-14</v>
      </c>
      <c r="BF77" s="14">
        <f t="shared" si="91"/>
        <v>1.0064464192543978E-12</v>
      </c>
      <c r="BG77" s="22">
        <f t="shared" si="61"/>
        <v>1.8635787380168604E-12</v>
      </c>
      <c r="BH77" s="62">
        <f t="shared" si="62"/>
        <v>268.22602910295274</v>
      </c>
      <c r="BI77" s="62">
        <f ca="1">AVERAGE(OFFSET($BH$3,0,0,'Données projet'!$E$11+1,1))-AVERAGE(OFFSET($H$3,0,0,'Données projet'!$E$11+1,1))</f>
        <v>321.60602866722138</v>
      </c>
      <c r="BJ77" s="62">
        <f t="shared" si="92"/>
        <v>375.18886653687389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5.3574681178937631</v>
      </c>
      <c r="BQ77" s="23">
        <f>EXP(-LN(2)/25)*BQ76+(1-EXP(-LN(2)/25))/(LN(2)/25)*Calculateur!BL77*Calculateur!BN77*VLOOKUP('Données projet'!$B$11,Paramètres!$A$1:$I$89,3,0)*0.475*44/12</f>
        <v>4.7157304764222125</v>
      </c>
      <c r="BR77" s="23">
        <f>EXP(-LN(2)/2)*BR76+(1-EXP(-LN(2)/2))/(LN(2)/2)*BL77*BO77*VLOOKUP('Données projet'!$B$11,Paramètres!$A$1:$I$89,3,0)*0.475*44/12</f>
        <v>1.7456839334217967E-6</v>
      </c>
      <c r="BS77" s="24">
        <f t="shared" si="63"/>
        <v>10.073200339999909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2.8421709430404007E-14</v>
      </c>
      <c r="BZ77" s="14">
        <f>BY77*VLOOKUP('Données projet'!$B$12,Paramètres!$A$1:$I$89,3,0)*VLOOKUP('Données projet'!$B$12,Paramètres!$A$1:$I$89,5,0)</f>
        <v>1.5518253349000589E-14</v>
      </c>
      <c r="CA77" s="14">
        <f t="shared" si="93"/>
        <v>2.8958815659671149E-13</v>
      </c>
      <c r="CB77" s="22">
        <f t="shared" si="64"/>
        <v>5.3139366398878183E-13</v>
      </c>
      <c r="CC77" s="62">
        <f t="shared" si="65"/>
        <v>268.22602910295137</v>
      </c>
      <c r="CD77" s="62">
        <f ca="1">AVERAGE(OFFSET($CC$3,0,0,'Données projet'!$E$12+1,1))-AVERAGE(OFFSET($H$3,0,0,'Données projet'!$E$12+1,1))</f>
        <v>182.44246264133781</v>
      </c>
      <c r="CE77" s="62">
        <f t="shared" si="94"/>
        <v>262.5818213397049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1.8027859373633957</v>
      </c>
      <c r="CL77" s="23">
        <f>EXP(-LN(2)/25)*CL76+(1-EXP(-LN(2)/25))/(LN(2)/25)*Calculateur!CG77*Calculateur!CI77*VLOOKUP('Données projet'!$B$12,Paramètres!$A$1:$I$89,3,0)*0.475*44/12</f>
        <v>5.3437855627022399</v>
      </c>
      <c r="CM77" s="23">
        <f>EXP(-LN(2)/2)*CM76+(1-EXP(-LN(2)/2))/(LN(2)/2)*CG77*CJ77*VLOOKUP('Données projet'!$B$12,Paramètres!$A$1:$I$89,3,0)*0.475*44/12</f>
        <v>7.1967816265468823E-10</v>
      </c>
      <c r="CN77" s="24">
        <f t="shared" si="66"/>
        <v>7.1465715007853143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17</v>
      </c>
      <c r="CT77" s="13">
        <f>IF('Données projet'!$A$140&gt;35,CT76+CS77-DB76,IF(A77&lt;'Données projet'!$A$140,$CQ$205^A77,IF(A77='Données projet'!$A$140,'Données projet'!$B$140,CT76+CS77-DB76)))</f>
        <v>519.99999999999989</v>
      </c>
      <c r="CU77" s="18">
        <f>CT77*VLOOKUP('Données projet'!$B$13,Paramètres!$A$1:$I$89,3,0)*VLOOKUP('Données projet'!$B$13,Paramètres!$A$1:$I$89,5,0)</f>
        <v>243.35999999999996</v>
      </c>
      <c r="CV77" s="14">
        <f t="shared" si="95"/>
        <v>59.161864860837127</v>
      </c>
      <c r="CW77" s="22">
        <f t="shared" si="67"/>
        <v>526.89224796595784</v>
      </c>
      <c r="CX77" s="62">
        <f t="shared" si="68"/>
        <v>795.1182770689087</v>
      </c>
      <c r="CY77" s="62">
        <f ca="1">AVERAGE(OFFSET($CX$3,0,0,'Données projet'!$E$13+1,1))-AVERAGE(OFFSET($H$3,0,0,'Données projet'!$E$13+1,1))</f>
        <v>426.87921482911719</v>
      </c>
      <c r="CZ77" s="62">
        <f t="shared" si="96"/>
        <v>313.49594674441835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304.40000000000003</v>
      </c>
      <c r="DP77" s="18">
        <f>DO77*VLOOKUP('Données projet'!$B$14,Paramètres!$A$1:$I$89,3,0)*VLOOKUP('Données projet'!$B$14,Paramètres!$A$1:$I$89,5,0)</f>
        <v>294.41568000000001</v>
      </c>
      <c r="DQ77" s="14">
        <f t="shared" si="97"/>
        <v>70.004498360393455</v>
      </c>
      <c r="DR77" s="22">
        <f t="shared" si="70"/>
        <v>634.69847731101868</v>
      </c>
      <c r="DS77" s="62">
        <f t="shared" si="71"/>
        <v>902.92450641396954</v>
      </c>
      <c r="DT77" s="62">
        <f ca="1">AVERAGE(OFFSET($DS$3,0,0,'Données projet'!$E$14+1,1))-AVERAGE(OFFSET($H$3,0,0,'Données projet'!$E$14+1,1))</f>
        <v>500.25828825677058</v>
      </c>
      <c r="DU77" s="62">
        <f t="shared" si="98"/>
        <v>313.56299786481338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0.75717057875717642</v>
      </c>
      <c r="EC77" s="23">
        <f>EXP(-LN(2)/2)*EC76+(1-EXP(-LN(2)/2))/(LN(2)/2)*DW77*DZ77*VLOOKUP('Données projet'!$B$14,Paramètres!$A$1:$I$89,3,0)*0.475*44/12</f>
        <v>5.9914398528784291E-6</v>
      </c>
      <c r="ED77" s="24">
        <f t="shared" si="72"/>
        <v>0.75717657019702933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7.6</v>
      </c>
      <c r="EJ77" s="13">
        <f>IF('Données projet'!$A$192&gt;35,EJ76+EI77-ER76,IF(A77&lt;'Données projet'!$A$192,$EG$205^A77,IF(A77='Données projet'!$A$192,'Données projet'!$B$192,EJ76+EI77-ER76)))</f>
        <v>304.40000000000003</v>
      </c>
      <c r="EK77" s="18">
        <f>EJ77*VLOOKUP('Données projet'!$B$15,Paramètres!$A$1:$I$89,3,0)*VLOOKUP('Données projet'!$B$15,Paramètres!$A$1:$I$89,5,0)</f>
        <v>327.65616</v>
      </c>
      <c r="EL77" s="14">
        <f t="shared" si="99"/>
        <v>76.94416793638409</v>
      </c>
      <c r="EM77" s="22">
        <f t="shared" si="73"/>
        <v>704.67890448920218</v>
      </c>
      <c r="EN77" s="62">
        <f t="shared" si="74"/>
        <v>972.90493359215304</v>
      </c>
      <c r="EO77" s="62">
        <f ca="1">AVERAGE(OFFSET($EN$3,0,0,'Données projet'!$E$15+1,1))-AVERAGE(OFFSET($H$3,0,0,'Données projet'!$E$15+1,1))</f>
        <v>548.17046467409421</v>
      </c>
      <c r="EP77" s="62">
        <f t="shared" si="100"/>
        <v>341.9250949809848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0.84265757958459941</v>
      </c>
      <c r="EX77" s="23">
        <f>EXP(-LN(2)/2)*EX76+(1-EXP(-LN(2)/2))/(LN(2)/2)*ER77*EU77*VLOOKUP('Données projet'!$B$15,Paramètres!$A$1:$I$89,3,0)*0.475*44/12</f>
        <v>6.6678927394937306E-6</v>
      </c>
      <c r="EY77" s="24">
        <f t="shared" si="75"/>
        <v>0.84266424747733892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877.80937357948528</v>
      </c>
      <c r="S78" s="62">
        <f ca="1">AVERAGE(OFFSET($R$3,0,0,'Données projet'!$E$9+1,1))-AVERAGE(OFFSET($H$3,0,0,'Données projet'!$E$9+1,1))</f>
        <v>472.83070477639035</v>
      </c>
      <c r="T78" s="62">
        <f t="shared" si="88"/>
        <v>297.32483725004136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2.6220305386682221</v>
      </c>
      <c r="AB78" s="23">
        <f>EXP(-LN(2)/2)*AB77+(1-EXP(-LN(2)/2))/(LN(2)/2)*V78*Y78*VLOOKUP('Données projet'!$B$9,Paramètres!$A$1:$I$89,3,0)*0.475*44/12</f>
        <v>2.513600053102962E-6</v>
      </c>
      <c r="AC78" s="24">
        <f t="shared" si="57"/>
        <v>2.6220330522682751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316.36800000000005</v>
      </c>
      <c r="AK78" s="14">
        <f t="shared" si="89"/>
        <v>74.597144109003438</v>
      </c>
      <c r="AL78" s="22">
        <f t="shared" si="58"/>
        <v>680.93095932318113</v>
      </c>
      <c r="AM78" s="62">
        <f t="shared" si="59"/>
        <v>949.59254402300598</v>
      </c>
      <c r="AN78" s="62">
        <f ca="1">AVERAGE(OFFSET($AM$3,0,0,'Données projet'!$E$10+1,1))-AVERAGE(OFFSET($H$3,0,0,'Données projet'!$E$10+1,1))</f>
        <v>520.80494930257237</v>
      </c>
      <c r="AO78" s="62">
        <f t="shared" si="90"/>
        <v>325.72635759450861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2.938482500231629</v>
      </c>
      <c r="AW78" s="23">
        <f>EXP(-LN(2)/2)*AW77+(1-EXP(-LN(2)/2))/(LN(2)/2)*AQ78*AT78*VLOOKUP('Données projet'!$B$10,Paramètres!$A$1:$I$89,3,0)*0.475*44/12</f>
        <v>2.8169655767533146E-6</v>
      </c>
      <c r="AX78" s="23">
        <f t="shared" si="60"/>
        <v>2.9384853171972058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6.3550942286383367E-14</v>
      </c>
      <c r="BF78" s="14">
        <f t="shared" si="91"/>
        <v>1.0064464192543978E-12</v>
      </c>
      <c r="BG78" s="22">
        <f t="shared" si="61"/>
        <v>1.8635787380168604E-12</v>
      </c>
      <c r="BH78" s="62">
        <f t="shared" si="62"/>
        <v>268.66158469982668</v>
      </c>
      <c r="BI78" s="62">
        <f ca="1">AVERAGE(OFFSET($BH$3,0,0,'Données projet'!$E$11+1,1))-AVERAGE(OFFSET($H$3,0,0,'Données projet'!$E$11+1,1))</f>
        <v>321.60602866722138</v>
      </c>
      <c r="BJ78" s="62">
        <f t="shared" si="92"/>
        <v>375.18886653687389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5.2524114358347562</v>
      </c>
      <c r="BQ78" s="23">
        <f>EXP(-LN(2)/25)*BQ77+(1-EXP(-LN(2)/25))/(LN(2)/25)*Calculateur!BL78*Calculateur!BN78*VLOOKUP('Données projet'!$B$11,Paramètres!$A$1:$I$89,3,0)*0.475*44/12</f>
        <v>4.5867785785549593</v>
      </c>
      <c r="BR78" s="23">
        <f>EXP(-LN(2)/2)*BR77+(1-EXP(-LN(2)/2))/(LN(2)/2)*BL78*BO78*VLOOKUP('Données projet'!$B$11,Paramètres!$A$1:$I$89,3,0)*0.475*44/12</f>
        <v>1.234384947130958E-6</v>
      </c>
      <c r="BS78" s="24">
        <f t="shared" si="63"/>
        <v>9.8391912487746609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2.8421709430404007E-14</v>
      </c>
      <c r="BZ78" s="14">
        <f>BY78*VLOOKUP('Données projet'!$B$12,Paramètres!$A$1:$I$89,3,0)*VLOOKUP('Données projet'!$B$12,Paramètres!$A$1:$I$89,5,0)</f>
        <v>1.5518253349000589E-14</v>
      </c>
      <c r="CA78" s="14">
        <f t="shared" si="93"/>
        <v>2.8958815659671149E-13</v>
      </c>
      <c r="CB78" s="22">
        <f t="shared" si="64"/>
        <v>5.3139366398878183E-13</v>
      </c>
      <c r="CC78" s="62">
        <f t="shared" si="65"/>
        <v>268.66158469982531</v>
      </c>
      <c r="CD78" s="62">
        <f ca="1">AVERAGE(OFFSET($CC$3,0,0,'Données projet'!$E$12+1,1))-AVERAGE(OFFSET($H$3,0,0,'Données projet'!$E$12+1,1))</f>
        <v>182.44246264133781</v>
      </c>
      <c r="CE78" s="62">
        <f t="shared" si="94"/>
        <v>262.5818213397049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1.7674344047225456</v>
      </c>
      <c r="CL78" s="23">
        <f>EXP(-LN(2)/25)*CL77+(1-EXP(-LN(2)/25))/(LN(2)/25)*Calculateur!CG78*Calculateur!CI78*VLOOKUP('Données projet'!$B$12,Paramètres!$A$1:$I$89,3,0)*0.475*44/12</f>
        <v>5.197659465472678</v>
      </c>
      <c r="CM78" s="23">
        <f>EXP(-LN(2)/2)*CM77+(1-EXP(-LN(2)/2))/(LN(2)/2)*CG78*CJ78*VLOOKUP('Données projet'!$B$12,Paramètres!$A$1:$I$89,3,0)*0.475*44/12</f>
        <v>5.0888930908500519E-10</v>
      </c>
      <c r="CN78" s="24">
        <f t="shared" si="66"/>
        <v>6.9650938707041128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17</v>
      </c>
      <c r="CT78" s="13">
        <f>IF('Données projet'!$A$140&gt;35,CT77+CS78-DB77,IF(A78&lt;'Données projet'!$A$140,$CQ$205^A78,IF(A78='Données projet'!$A$140,'Données projet'!$B$140,CT77+CS78-DB77)))</f>
        <v>536.99999999999989</v>
      </c>
      <c r="CU78" s="18">
        <f>CT78*VLOOKUP('Données projet'!$B$13,Paramètres!$A$1:$I$89,3,0)*VLOOKUP('Données projet'!$B$13,Paramètres!$A$1:$I$89,5,0)</f>
        <v>251.31599999999997</v>
      </c>
      <c r="CV78" s="14">
        <f t="shared" si="95"/>
        <v>60.86765628024984</v>
      </c>
      <c r="CW78" s="22">
        <f t="shared" si="67"/>
        <v>543.71986802143499</v>
      </c>
      <c r="CX78" s="62">
        <f t="shared" si="68"/>
        <v>812.38145272125985</v>
      </c>
      <c r="CY78" s="62">
        <f ca="1">AVERAGE(OFFSET($CX$3,0,0,'Données projet'!$E$13+1,1))-AVERAGE(OFFSET($H$3,0,0,'Données projet'!$E$13+1,1))</f>
        <v>426.87921482911719</v>
      </c>
      <c r="CZ78" s="62">
        <f t="shared" si="96"/>
        <v>313.49594674441835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312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312.00000000000006</v>
      </c>
      <c r="DP78" s="18">
        <f>DO78*VLOOKUP('Données projet'!$B$14,Paramètres!$A$1:$I$89,3,0)*VLOOKUP('Données projet'!$B$14,Paramètres!$A$1:$I$89,5,0)</f>
        <v>301.76640000000003</v>
      </c>
      <c r="DQ78" s="14">
        <f t="shared" si="97"/>
        <v>71.546642144235364</v>
      </c>
      <c r="DR78" s="22">
        <f t="shared" si="70"/>
        <v>650.18688173454336</v>
      </c>
      <c r="DS78" s="62">
        <f t="shared" si="71"/>
        <v>918.84846643436822</v>
      </c>
      <c r="DT78" s="62">
        <f ca="1">AVERAGE(OFFSET($DS$3,0,0,'Données projet'!$E$14+1,1))-AVERAGE(OFFSET($H$3,0,0,'Données projet'!$E$14+1,1))</f>
        <v>500.25828825677058</v>
      </c>
      <c r="DU78" s="62">
        <f t="shared" si="98"/>
        <v>313.56299786481338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0.73646570946319123</v>
      </c>
      <c r="EC78" s="23">
        <f>EXP(-LN(2)/2)*EC77+(1-EXP(-LN(2)/2))/(LN(2)/2)*DW78*DZ78*VLOOKUP('Données projet'!$B$14,Paramètres!$A$1:$I$89,3,0)*0.475*44/12</f>
        <v>4.2365877490416678E-6</v>
      </c>
      <c r="ED78" s="24">
        <f t="shared" si="72"/>
        <v>0.73646994605094029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312</v>
      </c>
      <c r="EH78" s="13">
        <f>VLOOKUP(A78,'Données projet'!$A$191:$I$211,9,0)</f>
        <v>7.6</v>
      </c>
      <c r="EI78" s="13">
        <f t="array" ref="EI78">INDEX(EH:EH,MIN(IF(ISNUMBER(EH78:EH274),ROW(EH78:EH274),"")))</f>
        <v>7.6</v>
      </c>
      <c r="EJ78" s="13">
        <f>IF('Données projet'!$A$192&gt;35,EJ77+EI78-ER77,IF(A78&lt;'Données projet'!$A$192,$EG$205^A78,IF(A78='Données projet'!$A$192,'Données projet'!$B$192,EJ77+EI78-ER77)))</f>
        <v>312.00000000000006</v>
      </c>
      <c r="EK78" s="18">
        <f>EJ78*VLOOKUP('Données projet'!$B$15,Paramètres!$A$1:$I$89,3,0)*VLOOKUP('Données projet'!$B$15,Paramètres!$A$1:$I$89,5,0)</f>
        <v>335.83680000000004</v>
      </c>
      <c r="EL78" s="14">
        <f t="shared" si="99"/>
        <v>78.639187157507763</v>
      </c>
      <c r="EM78" s="22">
        <f t="shared" si="73"/>
        <v>721.87901096599273</v>
      </c>
      <c r="EN78" s="62">
        <f t="shared" si="74"/>
        <v>990.54059566581759</v>
      </c>
      <c r="EO78" s="62">
        <f ca="1">AVERAGE(OFFSET($EN$3,0,0,'Données projet'!$E$15+1,1))-AVERAGE(OFFSET($H$3,0,0,'Données projet'!$E$15+1,1))</f>
        <v>548.17046467409421</v>
      </c>
      <c r="EP78" s="62">
        <f t="shared" si="100"/>
        <v>341.9250949809848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0.81961506375742232</v>
      </c>
      <c r="EX78" s="23">
        <f>EXP(-LN(2)/2)*EX77+(1-EXP(-LN(2)/2))/(LN(2)/2)*ER78*EU78*VLOOKUP('Données projet'!$B$15,Paramètres!$A$1:$I$89,3,0)*0.475*44/12</f>
        <v>4.7149121723205622E-6</v>
      </c>
      <c r="EY78" s="24">
        <f t="shared" si="75"/>
        <v>0.81961977866959468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838.51161983006114</v>
      </c>
      <c r="S79" s="62">
        <f ca="1">AVERAGE(OFFSET($R$3,0,0,'Données projet'!$E$9+1,1))-AVERAGE(OFFSET($H$3,0,0,'Données projet'!$E$9+1,1))</f>
        <v>472.83070477639035</v>
      </c>
      <c r="T79" s="62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2.5503309757017463</v>
      </c>
      <c r="AB79" s="23">
        <f>EXP(-LN(2)/2)*AB78+(1-EXP(-LN(2)/2))/(LN(2)/2)*V79*Y79*VLOOKUP('Données projet'!$B$9,Paramètres!$A$1:$I$89,3,0)*0.475*44/12</f>
        <v>1.7773836427399704E-6</v>
      </c>
      <c r="AC79" s="24">
        <f t="shared" si="57"/>
        <v>2.5503327530853892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2">
        <f t="shared" si="59"/>
        <v>905.60289286067382</v>
      </c>
      <c r="AN79" s="62">
        <f ca="1">AVERAGE(OFFSET($AM$3,0,0,'Données projet'!$E$10+1,1))-AVERAGE(OFFSET($H$3,0,0,'Données projet'!$E$10+1,1))</f>
        <v>520.80494930257237</v>
      </c>
      <c r="AO79" s="62">
        <f t="shared" si="90"/>
        <v>325.72635759450861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2.8581295417347166</v>
      </c>
      <c r="AW79" s="23">
        <f>EXP(-LN(2)/2)*AW78+(1-EXP(-LN(2)/2))/(LN(2)/2)*AQ79*AT79*VLOOKUP('Données projet'!$B$10,Paramètres!$A$1:$I$89,3,0)*0.475*44/12</f>
        <v>1.9918954616913427E-6</v>
      </c>
      <c r="AX79" s="23">
        <f t="shared" si="60"/>
        <v>2.8581315336301785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6.3550942286383367E-14</v>
      </c>
      <c r="BF79" s="14">
        <f t="shared" si="91"/>
        <v>1.0064464192543978E-12</v>
      </c>
      <c r="BG79" s="22">
        <f t="shared" si="61"/>
        <v>1.8635787380168604E-12</v>
      </c>
      <c r="BH79" s="62">
        <f t="shared" si="62"/>
        <v>269.08958438085131</v>
      </c>
      <c r="BI79" s="62">
        <f ca="1">AVERAGE(OFFSET($BH$3,0,0,'Données projet'!$E$11+1,1))-AVERAGE(OFFSET($H$3,0,0,'Données projet'!$E$11+1,1))</f>
        <v>321.60602866722138</v>
      </c>
      <c r="BJ79" s="62">
        <f t="shared" si="92"/>
        <v>375.18886653687389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5.1494148512326783</v>
      </c>
      <c r="BQ79" s="23">
        <f>EXP(-LN(2)/25)*BQ78+(1-EXP(-LN(2)/25))/(LN(2)/25)*Calculateur!BL79*Calculateur!BN79*VLOOKUP('Données projet'!$B$11,Paramètres!$A$1:$I$89,3,0)*0.475*44/12</f>
        <v>4.4613528771161715</v>
      </c>
      <c r="BR79" s="23">
        <f>EXP(-LN(2)/2)*BR78+(1-EXP(-LN(2)/2))/(LN(2)/2)*BL79*BO79*VLOOKUP('Données projet'!$B$11,Paramètres!$A$1:$I$89,3,0)*0.475*44/12</f>
        <v>8.7284196671089835E-7</v>
      </c>
      <c r="BS79" s="24">
        <f t="shared" si="63"/>
        <v>9.6107686011908182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2.8421709430404007E-14</v>
      </c>
      <c r="BZ79" s="14">
        <f>BY79*VLOOKUP('Données projet'!$B$12,Paramètres!$A$1:$I$89,3,0)*VLOOKUP('Données projet'!$B$12,Paramètres!$A$1:$I$89,5,0)</f>
        <v>1.5518253349000589E-14</v>
      </c>
      <c r="CA79" s="14">
        <f t="shared" si="93"/>
        <v>2.8958815659671149E-13</v>
      </c>
      <c r="CB79" s="22">
        <f t="shared" si="64"/>
        <v>5.3139366398878183E-13</v>
      </c>
      <c r="CC79" s="62">
        <f t="shared" si="65"/>
        <v>269.08958438084994</v>
      </c>
      <c r="CD79" s="62">
        <f ca="1">AVERAGE(OFFSET($CC$3,0,0,'Données projet'!$E$12+1,1))-AVERAGE(OFFSET($H$3,0,0,'Données projet'!$E$12+1,1))</f>
        <v>182.44246264133781</v>
      </c>
      <c r="CE79" s="62">
        <f t="shared" si="94"/>
        <v>262.5818213397049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1.732776094074477</v>
      </c>
      <c r="CL79" s="23">
        <f>EXP(-LN(2)/25)*CL78+(1-EXP(-LN(2)/25))/(LN(2)/25)*Calculateur!CG79*Calculateur!CI79*VLOOKUP('Données projet'!$B$12,Paramètres!$A$1:$I$89,3,0)*0.475*44/12</f>
        <v>5.0555291940562954</v>
      </c>
      <c r="CM79" s="23">
        <f>EXP(-LN(2)/2)*CM78+(1-EXP(-LN(2)/2))/(LN(2)/2)*CG79*CJ79*VLOOKUP('Données projet'!$B$12,Paramètres!$A$1:$I$89,3,0)*0.475*44/12</f>
        <v>3.5983908132734411E-10</v>
      </c>
      <c r="CN79" s="24">
        <f t="shared" si="66"/>
        <v>6.7883052884906112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17</v>
      </c>
      <c r="CT79" s="13">
        <f>IF('Données projet'!$A$140&gt;35,CT78+CS79-DB78,IF(A79&lt;'Données projet'!$A$140,$CQ$205^A79,IF(A79='Données projet'!$A$140,'Données projet'!$B$140,CT78+CS79-DB78)))</f>
        <v>553.99999999999989</v>
      </c>
      <c r="CU79" s="18">
        <f>CT79*VLOOKUP('Données projet'!$B$13,Paramètres!$A$1:$I$89,3,0)*VLOOKUP('Données projet'!$B$13,Paramètres!$A$1:$I$89,5,0)</f>
        <v>259.27199999999993</v>
      </c>
      <c r="CV79" s="14">
        <f t="shared" si="95"/>
        <v>62.567172460757938</v>
      </c>
      <c r="CW79" s="22">
        <f t="shared" si="67"/>
        <v>560.53655870248667</v>
      </c>
      <c r="CX79" s="62">
        <f t="shared" si="68"/>
        <v>829.62614308333605</v>
      </c>
      <c r="CY79" s="62">
        <f ca="1">AVERAGE(OFFSET($CX$3,0,0,'Données projet'!$E$13+1,1))-AVERAGE(OFFSET($H$3,0,0,'Données projet'!$E$13+1,1))</f>
        <v>426.87921482911719</v>
      </c>
      <c r="CZ79" s="62">
        <f t="shared" si="96"/>
        <v>313.49594674441835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281.64864000000006</v>
      </c>
      <c r="DQ79" s="14">
        <f t="shared" si="97"/>
        <v>67.315294774697747</v>
      </c>
      <c r="DR79" s="22">
        <f t="shared" si="70"/>
        <v>607.77885306593191</v>
      </c>
      <c r="DS79" s="62">
        <f t="shared" si="71"/>
        <v>876.8684374467814</v>
      </c>
      <c r="DT79" s="62">
        <f ca="1">AVERAGE(OFFSET($DS$3,0,0,'Données projet'!$E$14+1,1))-AVERAGE(OFFSET($H$3,0,0,'Données projet'!$E$14+1,1))</f>
        <v>500.25828825677058</v>
      </c>
      <c r="DU79" s="62">
        <f t="shared" si="98"/>
        <v>313.56299786481338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0.71632701590887182</v>
      </c>
      <c r="EC79" s="23">
        <f>EXP(-LN(2)/2)*EC78+(1-EXP(-LN(2)/2))/(LN(2)/2)*DW79*DZ79*VLOOKUP('Données projet'!$B$14,Paramètres!$A$1:$I$89,3,0)*0.475*44/12</f>
        <v>2.9957199264392146E-6</v>
      </c>
      <c r="ED79" s="24">
        <f t="shared" si="72"/>
        <v>0.71633001162879828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7.2</v>
      </c>
      <c r="EJ79" s="13">
        <f>IF('Données projet'!$A$192&gt;35,EJ78+EI79-ER78,IF(A79&lt;'Données projet'!$A$192,$EG$205^A79,IF(A79='Données projet'!$A$192,'Données projet'!$B$192,EJ78+EI79-ER78)))</f>
        <v>291.20000000000005</v>
      </c>
      <c r="EK79" s="18">
        <f>EJ79*VLOOKUP('Données projet'!$B$15,Paramètres!$A$1:$I$89,3,0)*VLOOKUP('Données projet'!$B$15,Paramètres!$A$1:$I$89,5,0)</f>
        <v>313.44768000000005</v>
      </c>
      <c r="EL79" s="14">
        <f t="shared" si="99"/>
        <v>73.988378849122171</v>
      </c>
      <c r="EM79" s="22">
        <f t="shared" si="73"/>
        <v>674.78446916222117</v>
      </c>
      <c r="EN79" s="62">
        <f t="shared" si="74"/>
        <v>943.87405354307066</v>
      </c>
      <c r="EO79" s="62">
        <f ca="1">AVERAGE(OFFSET($EN$3,0,0,'Données projet'!$E$15+1,1))-AVERAGE(OFFSET($H$3,0,0,'Données projet'!$E$15+1,1))</f>
        <v>548.17046467409421</v>
      </c>
      <c r="EP79" s="62">
        <f t="shared" si="100"/>
        <v>341.9250949809848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0.79720264673729269</v>
      </c>
      <c r="EX79" s="23">
        <f>EXP(-LN(2)/2)*EX78+(1-EXP(-LN(2)/2))/(LN(2)/2)*ER79*EU79*VLOOKUP('Données projet'!$B$15,Paramètres!$A$1:$I$89,3,0)*0.475*44/12</f>
        <v>3.3339463697468653E-6</v>
      </c>
      <c r="EY79" s="24">
        <f t="shared" si="75"/>
        <v>0.79720598068366244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852.68975517110448</v>
      </c>
      <c r="S80" s="62">
        <f ca="1">AVERAGE(OFFSET($R$3,0,0,'Données projet'!$E$9+1,1))-AVERAGE(OFFSET($H$3,0,0,'Données projet'!$E$9+1,1))</f>
        <v>472.83070477639035</v>
      </c>
      <c r="T80" s="62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2.4805920410551048</v>
      </c>
      <c r="AB80" s="23">
        <f>EXP(-LN(2)/2)*AB79+(1-EXP(-LN(2)/2))/(LN(2)/2)*V80*Y80*VLOOKUP('Données projet'!$B$9,Paramètres!$A$1:$I$89,3,0)*0.475*44/12</f>
        <v>1.256800026551481E-6</v>
      </c>
      <c r="AC80" s="24">
        <f t="shared" si="57"/>
        <v>2.4805932978551315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2">
        <f t="shared" si="59"/>
        <v>921.40581789956354</v>
      </c>
      <c r="AN80" s="62">
        <f ca="1">AVERAGE(OFFSET($AM$3,0,0,'Données projet'!$E$10+1,1))-AVERAGE(OFFSET($H$3,0,0,'Données projet'!$E$10+1,1))</f>
        <v>520.80494930257237</v>
      </c>
      <c r="AO80" s="62">
        <f t="shared" si="90"/>
        <v>325.72635759450861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2.7799738391134805</v>
      </c>
      <c r="AW80" s="23">
        <f>EXP(-LN(2)/2)*AW79+(1-EXP(-LN(2)/2))/(LN(2)/2)*AQ80*AT80*VLOOKUP('Données projet'!$B$10,Paramètres!$A$1:$I$89,3,0)*0.475*44/12</f>
        <v>1.4084827883766573E-6</v>
      </c>
      <c r="AX80" s="23">
        <f t="shared" si="60"/>
        <v>2.7799752475962687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6.3550942286383367E-14</v>
      </c>
      <c r="BF80" s="14">
        <f t="shared" si="91"/>
        <v>1.0064464192543978E-12</v>
      </c>
      <c r="BG80" s="22">
        <f t="shared" si="61"/>
        <v>1.8635787380168604E-12</v>
      </c>
      <c r="BH80" s="62">
        <f t="shared" si="62"/>
        <v>269.51015922427416</v>
      </c>
      <c r="BI80" s="62">
        <f ca="1">AVERAGE(OFFSET($BH$3,0,0,'Données projet'!$E$11+1,1))-AVERAGE(OFFSET($H$3,0,0,'Données projet'!$E$11+1,1))</f>
        <v>321.60602866722138</v>
      </c>
      <c r="BJ80" s="62">
        <f t="shared" si="92"/>
        <v>375.18886653687389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5.0484379668329336</v>
      </c>
      <c r="BQ80" s="23">
        <f>EXP(-LN(2)/25)*BQ79+(1-EXP(-LN(2)/25))/(LN(2)/25)*Calculateur!BL80*Calculateur!BN80*VLOOKUP('Données projet'!$B$11,Paramètres!$A$1:$I$89,3,0)*0.475*44/12</f>
        <v>4.3393569480790788</v>
      </c>
      <c r="BR80" s="23">
        <f>EXP(-LN(2)/2)*BR79+(1-EXP(-LN(2)/2))/(LN(2)/2)*BL80*BO80*VLOOKUP('Données projet'!$B$11,Paramètres!$A$1:$I$89,3,0)*0.475*44/12</f>
        <v>6.1719247356547899E-7</v>
      </c>
      <c r="BS80" s="24">
        <f t="shared" si="63"/>
        <v>9.3877955321044855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2.8421709430404007E-14</v>
      </c>
      <c r="BZ80" s="14">
        <f>BY80*VLOOKUP('Données projet'!$B$12,Paramètres!$A$1:$I$89,3,0)*VLOOKUP('Données projet'!$B$12,Paramètres!$A$1:$I$89,5,0)</f>
        <v>1.5518253349000589E-14</v>
      </c>
      <c r="CA80" s="14">
        <f t="shared" si="93"/>
        <v>2.8958815659671149E-13</v>
      </c>
      <c r="CB80" s="22">
        <f t="shared" si="64"/>
        <v>5.3139366398878183E-13</v>
      </c>
      <c r="CC80" s="62">
        <f t="shared" si="65"/>
        <v>269.5101592242728</v>
      </c>
      <c r="CD80" s="62">
        <f ca="1">AVERAGE(OFFSET($CC$3,0,0,'Données projet'!$E$12+1,1))-AVERAGE(OFFSET($H$3,0,0,'Données projet'!$E$12+1,1))</f>
        <v>182.44246264133781</v>
      </c>
      <c r="CE80" s="62">
        <f t="shared" si="94"/>
        <v>262.5818213397049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1.6987974117587348</v>
      </c>
      <c r="CL80" s="23">
        <f>EXP(-LN(2)/25)*CL79+(1-EXP(-LN(2)/25))/(LN(2)/25)*Calculateur!CG80*Calculateur!CI80*VLOOKUP('Données projet'!$B$12,Paramètres!$A$1:$I$89,3,0)*0.475*44/12</f>
        <v>4.9172854823861005</v>
      </c>
      <c r="CM80" s="23">
        <f>EXP(-LN(2)/2)*CM79+(1-EXP(-LN(2)/2))/(LN(2)/2)*CG80*CJ80*VLOOKUP('Données projet'!$B$12,Paramètres!$A$1:$I$89,3,0)*0.475*44/12</f>
        <v>2.5444465454250259E-10</v>
      </c>
      <c r="CN80" s="24">
        <f t="shared" si="66"/>
        <v>6.6160828943992795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17</v>
      </c>
      <c r="CT80" s="13">
        <f>IF('Données projet'!$A$140&gt;35,CT79+CS80-DB79,IF(A80&lt;'Données projet'!$A$140,$CQ$205^A80,IF(A80='Données projet'!$A$140,'Données projet'!$B$140,CT79+CS80-DB79)))</f>
        <v>570.99999999999989</v>
      </c>
      <c r="CU80" s="18">
        <f>CT80*VLOOKUP('Données projet'!$B$13,Paramètres!$A$1:$I$89,3,0)*VLOOKUP('Données projet'!$B$13,Paramètres!$A$1:$I$89,5,0)</f>
        <v>267.22799999999995</v>
      </c>
      <c r="CV80" s="14">
        <f t="shared" si="95"/>
        <v>64.260628062866161</v>
      </c>
      <c r="CW80" s="22">
        <f t="shared" si="67"/>
        <v>577.34269387615848</v>
      </c>
      <c r="CX80" s="62">
        <f t="shared" si="68"/>
        <v>846.85285310043082</v>
      </c>
      <c r="CY80" s="62">
        <f ca="1">AVERAGE(OFFSET($CX$3,0,0,'Données projet'!$E$13+1,1))-AVERAGE(OFFSET($H$3,0,0,'Données projet'!$E$13+1,1))</f>
        <v>426.87921482911719</v>
      </c>
      <c r="CZ80" s="62">
        <f t="shared" si="96"/>
        <v>313.49594674441835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288.61248000000001</v>
      </c>
      <c r="DQ80" s="14">
        <f t="shared" si="97"/>
        <v>68.783851967051476</v>
      </c>
      <c r="DR80" s="22">
        <f t="shared" si="70"/>
        <v>622.4652781759479</v>
      </c>
      <c r="DS80" s="62">
        <f t="shared" si="71"/>
        <v>891.97543740022024</v>
      </c>
      <c r="DT80" s="62">
        <f ca="1">AVERAGE(OFFSET($DS$3,0,0,'Données projet'!$E$14+1,1))-AVERAGE(OFFSET($H$3,0,0,'Données projet'!$E$14+1,1))</f>
        <v>500.25828825677058</v>
      </c>
      <c r="DU80" s="62">
        <f t="shared" si="98"/>
        <v>313.56299786481338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0.69673901598884314</v>
      </c>
      <c r="EC80" s="23">
        <f>EXP(-LN(2)/2)*EC79+(1-EXP(-LN(2)/2))/(LN(2)/2)*DW80*DZ80*VLOOKUP('Données projet'!$B$14,Paramètres!$A$1:$I$89,3,0)*0.475*44/12</f>
        <v>2.1182938745208339E-6</v>
      </c>
      <c r="ED80" s="24">
        <f t="shared" si="72"/>
        <v>0.69674113428271767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7.2</v>
      </c>
      <c r="EJ80" s="13">
        <f>IF('Données projet'!$A$192&gt;35,EJ79+EI80-ER79,IF(A80&lt;'Données projet'!$A$192,$EG$205^A80,IF(A80='Données projet'!$A$192,'Données projet'!$B$192,EJ79+EI80-ER79)))</f>
        <v>298.40000000000003</v>
      </c>
      <c r="EK80" s="18">
        <f>EJ80*VLOOKUP('Données projet'!$B$15,Paramètres!$A$1:$I$89,3,0)*VLOOKUP('Données projet'!$B$15,Paramètres!$A$1:$I$89,5,0)</f>
        <v>321.19776000000002</v>
      </c>
      <c r="EL80" s="14">
        <f t="shared" si="99"/>
        <v>75.602516709962615</v>
      </c>
      <c r="EM80" s="22">
        <f t="shared" si="73"/>
        <v>691.09381526985146</v>
      </c>
      <c r="EN80" s="62">
        <f t="shared" si="74"/>
        <v>960.6039744941238</v>
      </c>
      <c r="EO80" s="62">
        <f ca="1">AVERAGE(OFFSET($EN$3,0,0,'Données projet'!$E$15+1,1))-AVERAGE(OFFSET($H$3,0,0,'Données projet'!$E$15+1,1))</f>
        <v>548.17046467409421</v>
      </c>
      <c r="EP80" s="62">
        <f t="shared" si="100"/>
        <v>341.9250949809848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0.7754030984391963</v>
      </c>
      <c r="EX80" s="23">
        <f>EXP(-LN(2)/2)*EX79+(1-EXP(-LN(2)/2))/(LN(2)/2)*ER80*EU80*VLOOKUP('Données projet'!$B$15,Paramètres!$A$1:$I$89,3,0)*0.475*44/12</f>
        <v>2.3574560861602811E-6</v>
      </c>
      <c r="EY80" s="24">
        <f t="shared" si="75"/>
        <v>0.77540545589528242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472.83070477639035</v>
      </c>
      <c r="T81" s="62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2.412760121243787</v>
      </c>
      <c r="AB81" s="23">
        <f>EXP(-LN(2)/2)*AB80+(1-EXP(-LN(2)/2))/(LN(2)/2)*V81*Y81*VLOOKUP('Données projet'!$B$9,Paramètres!$A$1:$I$89,3,0)*0.475*44/12</f>
        <v>8.886918213699852E-7</v>
      </c>
      <c r="AC81" s="24">
        <f t="shared" si="57"/>
        <v>2.4127610099356085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2">
        <f t="shared" si="59"/>
        <v>937.19396675505538</v>
      </c>
      <c r="AN81" s="62">
        <f ca="1">AVERAGE(OFFSET($AM$3,0,0,'Données projet'!$E$10+1,1))-AVERAGE(OFFSET($H$3,0,0,'Données projet'!$E$10+1,1))</f>
        <v>520.80494930257237</v>
      </c>
      <c r="AO81" s="62">
        <f t="shared" si="90"/>
        <v>325.72635759450861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2.7039553082904519</v>
      </c>
      <c r="AW81" s="23">
        <f>EXP(-LN(2)/2)*AW80+(1-EXP(-LN(2)/2))/(LN(2)/2)*AQ81*AT81*VLOOKUP('Données projet'!$B$10,Paramètres!$A$1:$I$89,3,0)*0.475*44/12</f>
        <v>9.9594773084567133E-7</v>
      </c>
      <c r="AX81" s="23">
        <f t="shared" si="60"/>
        <v>2.7039563042381829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6.3550942286383367E-14</v>
      </c>
      <c r="BF81" s="14">
        <f t="shared" si="91"/>
        <v>1.0064464192543978E-12</v>
      </c>
      <c r="BG81" s="22">
        <f t="shared" si="61"/>
        <v>1.8635787380168604E-12</v>
      </c>
      <c r="BH81" s="62">
        <f t="shared" si="62"/>
        <v>269.9234380344281</v>
      </c>
      <c r="BI81" s="62">
        <f ca="1">AVERAGE(OFFSET($BH$3,0,0,'Données projet'!$E$11+1,1))-AVERAGE(OFFSET($H$3,0,0,'Données projet'!$E$11+1,1))</f>
        <v>321.60602866722138</v>
      </c>
      <c r="BJ81" s="62">
        <f t="shared" si="92"/>
        <v>375.18886653687389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4.9494411775464497</v>
      </c>
      <c r="BQ81" s="23">
        <f>EXP(-LN(2)/25)*BQ80+(1-EXP(-LN(2)/25))/(LN(2)/25)*Calculateur!BL81*Calculateur!BN81*VLOOKUP('Données projet'!$B$11,Paramètres!$A$1:$I$89,3,0)*0.475*44/12</f>
        <v>4.2206970041369924</v>
      </c>
      <c r="BR81" s="23">
        <f>EXP(-LN(2)/2)*BR80+(1-EXP(-LN(2)/2))/(LN(2)/2)*BL81*BO81*VLOOKUP('Données projet'!$B$11,Paramètres!$A$1:$I$89,3,0)*0.475*44/12</f>
        <v>4.3642098335544918E-7</v>
      </c>
      <c r="BS81" s="24">
        <f t="shared" si="63"/>
        <v>9.1701386181044242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2.8421709430404007E-14</v>
      </c>
      <c r="BZ81" s="14">
        <f>BY81*VLOOKUP('Données projet'!$B$12,Paramètres!$A$1:$I$89,3,0)*VLOOKUP('Données projet'!$B$12,Paramètres!$A$1:$I$89,5,0)</f>
        <v>1.5518253349000589E-14</v>
      </c>
      <c r="CA81" s="14">
        <f t="shared" si="93"/>
        <v>2.8958815659671149E-13</v>
      </c>
      <c r="CB81" s="22">
        <f t="shared" si="64"/>
        <v>5.3139366398878183E-13</v>
      </c>
      <c r="CC81" s="62">
        <f t="shared" si="65"/>
        <v>269.92343803442674</v>
      </c>
      <c r="CD81" s="62">
        <f ca="1">AVERAGE(OFFSET($CC$3,0,0,'Données projet'!$E$12+1,1))-AVERAGE(OFFSET($H$3,0,0,'Données projet'!$E$12+1,1))</f>
        <v>182.44246264133781</v>
      </c>
      <c r="CE81" s="62">
        <f t="shared" si="94"/>
        <v>262.5818213397049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1.6654850306782545</v>
      </c>
      <c r="CL81" s="23">
        <f>EXP(-LN(2)/25)*CL80+(1-EXP(-LN(2)/25))/(LN(2)/25)*Calculateur!CG81*Calculateur!CI81*VLOOKUP('Données projet'!$B$12,Paramètres!$A$1:$I$89,3,0)*0.475*44/12</f>
        <v>4.782822052281448</v>
      </c>
      <c r="CM81" s="23">
        <f>EXP(-LN(2)/2)*CM80+(1-EXP(-LN(2)/2))/(LN(2)/2)*CG81*CJ81*VLOOKUP('Données projet'!$B$12,Paramètres!$A$1:$I$89,3,0)*0.475*44/12</f>
        <v>1.7991954066367206E-10</v>
      </c>
      <c r="CN81" s="24">
        <f t="shared" si="66"/>
        <v>6.4483070831396221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17</v>
      </c>
      <c r="CT81" s="13">
        <f>IF('Données projet'!$A$140&gt;35,CT80+CS81-DB80,IF(A81&lt;'Données projet'!$A$140,$CQ$205^A81,IF(A81='Données projet'!$A$140,'Données projet'!$B$140,CT80+CS81-DB80)))</f>
        <v>587.99999999999989</v>
      </c>
      <c r="CU81" s="18">
        <f>CT81*VLOOKUP('Données projet'!$B$13,Paramètres!$A$1:$I$89,3,0)*VLOOKUP('Données projet'!$B$13,Paramètres!$A$1:$I$89,5,0)</f>
        <v>275.18399999999997</v>
      </c>
      <c r="CV81" s="14">
        <f t="shared" si="95"/>
        <v>65.948224238651079</v>
      </c>
      <c r="CW81" s="22">
        <f t="shared" si="67"/>
        <v>594.13862388231712</v>
      </c>
      <c r="CX81" s="62">
        <f t="shared" si="68"/>
        <v>864.06206191674335</v>
      </c>
      <c r="CY81" s="62">
        <f ca="1">AVERAGE(OFFSET($CX$3,0,0,'Données projet'!$E$13+1,1))-AVERAGE(OFFSET($H$3,0,0,'Données projet'!$E$13+1,1))</f>
        <v>426.87921482911719</v>
      </c>
      <c r="CZ81" s="62">
        <f t="shared" si="96"/>
        <v>313.49594674441835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295.57632000000001</v>
      </c>
      <c r="DQ81" s="14">
        <f t="shared" si="97"/>
        <v>70.24828996461811</v>
      </c>
      <c r="DR81" s="22">
        <f t="shared" si="70"/>
        <v>637.1445290217099</v>
      </c>
      <c r="DS81" s="62">
        <f t="shared" si="71"/>
        <v>907.06796705613613</v>
      </c>
      <c r="DT81" s="62">
        <f ca="1">AVERAGE(OFFSET($DS$3,0,0,'Données projet'!$E$14+1,1))-AVERAGE(OFFSET($H$3,0,0,'Données projet'!$E$14+1,1))</f>
        <v>500.25828825677058</v>
      </c>
      <c r="DU81" s="62">
        <f t="shared" si="98"/>
        <v>313.56299786481338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0.67768665095671576</v>
      </c>
      <c r="EC81" s="23">
        <f>EXP(-LN(2)/2)*EC80+(1-EXP(-LN(2)/2))/(LN(2)/2)*DW81*DZ81*VLOOKUP('Données projet'!$B$14,Paramètres!$A$1:$I$89,3,0)*0.475*44/12</f>
        <v>1.4978599632196073E-6</v>
      </c>
      <c r="ED81" s="24">
        <f t="shared" si="72"/>
        <v>0.67768814881667894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7.2</v>
      </c>
      <c r="EJ81" s="13">
        <f>IF('Données projet'!$A$192&gt;35,EJ80+EI81-ER80,IF(A81&lt;'Données projet'!$A$192,$EG$205^A81,IF(A81='Données projet'!$A$192,'Données projet'!$B$192,EJ80+EI81-ER80)))</f>
        <v>305.60000000000002</v>
      </c>
      <c r="EK81" s="18">
        <f>EJ81*VLOOKUP('Données projet'!$B$15,Paramètres!$A$1:$I$89,3,0)*VLOOKUP('Données projet'!$B$15,Paramètres!$A$1:$I$89,5,0)</f>
        <v>328.94784000000004</v>
      </c>
      <c r="EL81" s="14">
        <f t="shared" si="99"/>
        <v>77.212127032960666</v>
      </c>
      <c r="EM81" s="22">
        <f t="shared" si="73"/>
        <v>707.39527591573994</v>
      </c>
      <c r="EN81" s="62">
        <f t="shared" si="74"/>
        <v>977.31871395016617</v>
      </c>
      <c r="EO81" s="62">
        <f ca="1">AVERAGE(OFFSET($EN$3,0,0,'Données projet'!$E$15+1,1))-AVERAGE(OFFSET($H$3,0,0,'Données projet'!$E$15+1,1))</f>
        <v>548.17046467409421</v>
      </c>
      <c r="EP81" s="62">
        <f t="shared" si="100"/>
        <v>341.9250949809848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0.75419965993569971</v>
      </c>
      <c r="EX81" s="23">
        <f>EXP(-LN(2)/2)*EX80+(1-EXP(-LN(2)/2))/(LN(2)/2)*ER81*EU81*VLOOKUP('Données projet'!$B$15,Paramètres!$A$1:$I$89,3,0)*0.475*44/12</f>
        <v>1.6669731848734326E-6</v>
      </c>
      <c r="EY81" s="24">
        <f t="shared" si="75"/>
        <v>0.75420132690888453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881.00415088284853</v>
      </c>
      <c r="S82" s="62">
        <f ca="1">AVERAGE(OFFSET($R$3,0,0,'Données projet'!$E$9+1,1))-AVERAGE(OFFSET($H$3,0,0,'Données projet'!$E$9+1,1))</f>
        <v>472.83070477639035</v>
      </c>
      <c r="T82" s="62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2.3467830688468352</v>
      </c>
      <c r="AB82" s="23">
        <f>EXP(-LN(2)/2)*AB81+(1-EXP(-LN(2)/2))/(LN(2)/2)*V82*Y82*VLOOKUP('Données projet'!$B$9,Paramètres!$A$1:$I$89,3,0)*0.475*44/12</f>
        <v>6.2840001327574049E-7</v>
      </c>
      <c r="AC82" s="24">
        <f t="shared" si="57"/>
        <v>2.3467836972468485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2">
        <f t="shared" si="59"/>
        <v>952.96766251176473</v>
      </c>
      <c r="AN82" s="62">
        <f ca="1">AVERAGE(OFFSET($AM$3,0,0,'Données projet'!$E$10+1,1))-AVERAGE(OFFSET($H$3,0,0,'Données projet'!$E$10+1,1))</f>
        <v>520.80494930257237</v>
      </c>
      <c r="AO82" s="62">
        <f t="shared" si="90"/>
        <v>325.72635759450861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2.6300155081904197</v>
      </c>
      <c r="AW82" s="23">
        <f>EXP(-LN(2)/2)*AW81+(1-EXP(-LN(2)/2))/(LN(2)/2)*AQ82*AT82*VLOOKUP('Données projet'!$B$10,Paramètres!$A$1:$I$89,3,0)*0.475*44/12</f>
        <v>7.0424139418832866E-7</v>
      </c>
      <c r="AX82" s="23">
        <f t="shared" si="60"/>
        <v>2.6300162124318138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6.3550942286383367E-14</v>
      </c>
      <c r="BF82" s="14">
        <f t="shared" si="91"/>
        <v>1.0064464192543978E-12</v>
      </c>
      <c r="BG82" s="22">
        <f t="shared" si="61"/>
        <v>1.8635787380168604E-12</v>
      </c>
      <c r="BH82" s="62">
        <f t="shared" si="62"/>
        <v>270.32954738117883</v>
      </c>
      <c r="BI82" s="62">
        <f ca="1">AVERAGE(OFFSET($BH$3,0,0,'Données projet'!$E$11+1,1))-AVERAGE(OFFSET($H$3,0,0,'Données projet'!$E$11+1,1))</f>
        <v>321.60602866722138</v>
      </c>
      <c r="BJ82" s="62">
        <f t="shared" si="92"/>
        <v>375.18886653687389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4.8523856549157944</v>
      </c>
      <c r="BQ82" s="23">
        <f>EXP(-LN(2)/25)*BQ81+(1-EXP(-LN(2)/25))/(LN(2)/25)*Calculateur!BL82*Calculateur!BN82*VLOOKUP('Données projet'!$B$11,Paramètres!$A$1:$I$89,3,0)*0.475*44/12</f>
        <v>4.1052818226020573</v>
      </c>
      <c r="BR82" s="23">
        <f>EXP(-LN(2)/2)*BR81+(1-EXP(-LN(2)/2))/(LN(2)/2)*BL82*BO82*VLOOKUP('Données projet'!$B$11,Paramètres!$A$1:$I$89,3,0)*0.475*44/12</f>
        <v>3.085962367827395E-7</v>
      </c>
      <c r="BS82" s="24">
        <f t="shared" si="63"/>
        <v>8.9576677861140883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2.8421709430404007E-14</v>
      </c>
      <c r="BZ82" s="14">
        <f>BY82*VLOOKUP('Données projet'!$B$12,Paramètres!$A$1:$I$89,3,0)*VLOOKUP('Données projet'!$B$12,Paramètres!$A$1:$I$89,5,0)</f>
        <v>1.5518253349000589E-14</v>
      </c>
      <c r="CA82" s="14">
        <f t="shared" si="93"/>
        <v>2.8958815659671149E-13</v>
      </c>
      <c r="CB82" s="22">
        <f t="shared" si="64"/>
        <v>5.3139366398878183E-13</v>
      </c>
      <c r="CC82" s="62">
        <f t="shared" si="65"/>
        <v>270.32954738117746</v>
      </c>
      <c r="CD82" s="62">
        <f ca="1">AVERAGE(OFFSET($CC$3,0,0,'Données projet'!$E$12+1,1))-AVERAGE(OFFSET($H$3,0,0,'Données projet'!$E$12+1,1))</f>
        <v>182.44246264133781</v>
      </c>
      <c r="CE82" s="62">
        <f t="shared" si="94"/>
        <v>262.5818213397049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1.6328258850722162</v>
      </c>
      <c r="CL82" s="23">
        <f>EXP(-LN(2)/25)*CL81+(1-EXP(-LN(2)/25))/(LN(2)/25)*Calculateur!CG82*Calculateur!CI82*VLOOKUP('Données projet'!$B$12,Paramètres!$A$1:$I$89,3,0)*0.475*44/12</f>
        <v>4.6520355317441311</v>
      </c>
      <c r="CM82" s="23">
        <f>EXP(-LN(2)/2)*CM81+(1-EXP(-LN(2)/2))/(LN(2)/2)*CG82*CJ82*VLOOKUP('Données projet'!$B$12,Paramètres!$A$1:$I$89,3,0)*0.475*44/12</f>
        <v>1.272223272712513E-10</v>
      </c>
      <c r="CN82" s="24">
        <f t="shared" si="66"/>
        <v>6.2848614169435697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17</v>
      </c>
      <c r="CT82" s="13">
        <f>IF('Données projet'!$A$140&gt;35,CT81+CS82-DB81,IF(A82&lt;'Données projet'!$A$140,$CQ$205^A82,IF(A82='Données projet'!$A$140,'Données projet'!$B$140,CT81+CS82-DB81)))</f>
        <v>604.99999999999989</v>
      </c>
      <c r="CU82" s="18">
        <f>CT82*VLOOKUP('Données projet'!$B$13,Paramètres!$A$1:$I$89,3,0)*VLOOKUP('Données projet'!$B$13,Paramètres!$A$1:$I$89,5,0)</f>
        <v>283.13999999999993</v>
      </c>
      <c r="CV82" s="14">
        <f t="shared" si="95"/>
        <v>67.630149847511944</v>
      </c>
      <c r="CW82" s="22">
        <f t="shared" si="67"/>
        <v>610.92467765108313</v>
      </c>
      <c r="CX82" s="62">
        <f t="shared" si="68"/>
        <v>881.25422503226014</v>
      </c>
      <c r="CY82" s="62">
        <f ca="1">AVERAGE(OFFSET($CX$3,0,0,'Données projet'!$E$13+1,1))-AVERAGE(OFFSET($H$3,0,0,'Données projet'!$E$13+1,1))</f>
        <v>426.87921482911719</v>
      </c>
      <c r="CZ82" s="62">
        <f t="shared" si="96"/>
        <v>313.49594674441835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302.54016000000001</v>
      </c>
      <c r="DQ82" s="14">
        <f t="shared" si="97"/>
        <v>71.708716984815311</v>
      </c>
      <c r="DR82" s="22">
        <f t="shared" si="70"/>
        <v>651.81679408188654</v>
      </c>
      <c r="DS82" s="62">
        <f t="shared" si="71"/>
        <v>922.14634146306344</v>
      </c>
      <c r="DT82" s="62">
        <f ca="1">AVERAGE(OFFSET($DS$3,0,0,'Données projet'!$E$14+1,1))-AVERAGE(OFFSET($H$3,0,0,'Données projet'!$E$14+1,1))</f>
        <v>500.25828825677058</v>
      </c>
      <c r="DU82" s="62">
        <f t="shared" si="98"/>
        <v>313.56299786481338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0.6591552738483123</v>
      </c>
      <c r="EC82" s="23">
        <f>EXP(-LN(2)/2)*EC81+(1-EXP(-LN(2)/2))/(LN(2)/2)*DW82*DZ82*VLOOKUP('Données projet'!$B$14,Paramètres!$A$1:$I$89,3,0)*0.475*44/12</f>
        <v>1.059146937260417E-6</v>
      </c>
      <c r="ED82" s="24">
        <f t="shared" si="72"/>
        <v>0.65915633299524956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7.2</v>
      </c>
      <c r="EJ82" s="13">
        <f>IF('Données projet'!$A$192&gt;35,EJ81+EI82-ER81,IF(A82&lt;'Données projet'!$A$192,$EG$205^A82,IF(A82='Données projet'!$A$192,'Données projet'!$B$192,EJ81+EI82-ER81)))</f>
        <v>312.8</v>
      </c>
      <c r="EK82" s="18">
        <f>EJ82*VLOOKUP('Données projet'!$B$15,Paramètres!$A$1:$I$89,3,0)*VLOOKUP('Données projet'!$B$15,Paramètres!$A$1:$I$89,5,0)</f>
        <v>336.69792000000001</v>
      </c>
      <c r="EL82" s="14">
        <f t="shared" si="99"/>
        <v>78.817328763317647</v>
      </c>
      <c r="EM82" s="22">
        <f t="shared" si="73"/>
        <v>723.6890582627783</v>
      </c>
      <c r="EN82" s="62">
        <f t="shared" si="74"/>
        <v>994.0186056439552</v>
      </c>
      <c r="EO82" s="62">
        <f ca="1">AVERAGE(OFFSET($EN$3,0,0,'Données projet'!$E$15+1,1))-AVERAGE(OFFSET($H$3,0,0,'Données projet'!$E$15+1,1))</f>
        <v>548.17046467409421</v>
      </c>
      <c r="EP82" s="62">
        <f t="shared" si="100"/>
        <v>341.9250949809848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0.7335760305731216</v>
      </c>
      <c r="EX82" s="23">
        <f>EXP(-LN(2)/2)*EX81+(1-EXP(-LN(2)/2))/(LN(2)/2)*ER82*EU82*VLOOKUP('Données projet'!$B$15,Paramètres!$A$1:$I$89,3,0)*0.475*44/12</f>
        <v>1.1787280430801406E-6</v>
      </c>
      <c r="EY82" s="24">
        <f t="shared" si="75"/>
        <v>0.73357720930116466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895.14100893618843</v>
      </c>
      <c r="S83" s="62">
        <f ca="1">AVERAGE(OFFSET($R$3,0,0,'Données projet'!$E$9+1,1))-AVERAGE(OFFSET($H$3,0,0,'Données projet'!$E$9+1,1))</f>
        <v>472.83070477639035</v>
      </c>
      <c r="T83" s="62">
        <f t="shared" si="88"/>
        <v>297.32483725004136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2.2826101624172606</v>
      </c>
      <c r="AB83" s="23">
        <f>EXP(-LN(2)/2)*AB82+(1-EXP(-LN(2)/2))/(LN(2)/2)*V83*Y83*VLOOKUP('Données projet'!$B$9,Paramètres!$A$1:$I$89,3,0)*0.475*44/12</f>
        <v>4.443459106849926E-7</v>
      </c>
      <c r="AC83" s="24">
        <f t="shared" si="57"/>
        <v>2.2826106067631713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2">
        <f t="shared" si="59"/>
        <v>968.72721649564119</v>
      </c>
      <c r="AN83" s="62">
        <f ca="1">AVERAGE(OFFSET($AM$3,0,0,'Données projet'!$E$10+1,1))-AVERAGE(OFFSET($H$3,0,0,'Données projet'!$E$10+1,1))</f>
        <v>520.80494930257237</v>
      </c>
      <c r="AO83" s="62">
        <f t="shared" si="90"/>
        <v>325.72635759450861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2.5580975958124483</v>
      </c>
      <c r="AW83" s="23">
        <f>EXP(-LN(2)/2)*AW82+(1-EXP(-LN(2)/2))/(LN(2)/2)*AQ83*AT83*VLOOKUP('Données projet'!$B$10,Paramètres!$A$1:$I$89,3,0)*0.475*44/12</f>
        <v>4.9797386542283567E-7</v>
      </c>
      <c r="AX83" s="23">
        <f t="shared" si="60"/>
        <v>2.5580980937863136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6.3550942286383367E-14</v>
      </c>
      <c r="BF83" s="14">
        <f t="shared" si="91"/>
        <v>1.0064464192543978E-12</v>
      </c>
      <c r="BG83" s="22">
        <f t="shared" si="61"/>
        <v>1.8635787380168604E-12</v>
      </c>
      <c r="BH83" s="62">
        <f t="shared" si="62"/>
        <v>270.72861163868799</v>
      </c>
      <c r="BI83" s="62">
        <f ca="1">AVERAGE(OFFSET($BH$3,0,0,'Données projet'!$E$11+1,1))-AVERAGE(OFFSET($H$3,0,0,'Données projet'!$E$11+1,1))</f>
        <v>321.60602866722138</v>
      </c>
      <c r="BJ83" s="62">
        <f t="shared" si="92"/>
        <v>375.18886653687389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4.757233331885903</v>
      </c>
      <c r="BQ83" s="23">
        <f>EXP(-LN(2)/25)*BQ82+(1-EXP(-LN(2)/25))/(LN(2)/25)*Calculateur!BL83*Calculateur!BN83*VLOOKUP('Données projet'!$B$11,Paramètres!$A$1:$I$89,3,0)*0.475*44/12</f>
        <v>3.9930226752756157</v>
      </c>
      <c r="BR83" s="23">
        <f>EXP(-LN(2)/2)*BR82+(1-EXP(-LN(2)/2))/(LN(2)/2)*BL83*BO83*VLOOKUP('Données projet'!$B$11,Paramètres!$A$1:$I$89,3,0)*0.475*44/12</f>
        <v>2.1821049167772459E-7</v>
      </c>
      <c r="BS83" s="24">
        <f t="shared" si="63"/>
        <v>8.7502562253720093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2.8421709430404007E-14</v>
      </c>
      <c r="BZ83" s="14">
        <f>BY83*VLOOKUP('Données projet'!$B$12,Paramètres!$A$1:$I$89,3,0)*VLOOKUP('Données projet'!$B$12,Paramètres!$A$1:$I$89,5,0)</f>
        <v>1.5518253349000589E-14</v>
      </c>
      <c r="CA83" s="14">
        <f t="shared" si="93"/>
        <v>2.8958815659671149E-13</v>
      </c>
      <c r="CB83" s="22">
        <f t="shared" si="64"/>
        <v>5.3139366398878183E-13</v>
      </c>
      <c r="CC83" s="62">
        <f t="shared" si="65"/>
        <v>270.72861163868663</v>
      </c>
      <c r="CD83" s="62">
        <f ca="1">AVERAGE(OFFSET($CC$3,0,0,'Données projet'!$E$12+1,1))-AVERAGE(OFFSET($H$3,0,0,'Données projet'!$E$12+1,1))</f>
        <v>182.44246264133781</v>
      </c>
      <c r="CE83" s="62">
        <f t="shared" si="94"/>
        <v>262.5818213397049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1.6008071653914004</v>
      </c>
      <c r="CL83" s="23">
        <f>EXP(-LN(2)/25)*CL82+(1-EXP(-LN(2)/25))/(LN(2)/25)*Calculateur!CG83*Calculateur!CI83*VLOOKUP('Données projet'!$B$12,Paramètres!$A$1:$I$89,3,0)*0.475*44/12</f>
        <v>4.5248253754886711</v>
      </c>
      <c r="CM83" s="23">
        <f>EXP(-LN(2)/2)*CM82+(1-EXP(-LN(2)/2))/(LN(2)/2)*CG83*CJ83*VLOOKUP('Données projet'!$B$12,Paramètres!$A$1:$I$89,3,0)*0.475*44/12</f>
        <v>8.9959770331836028E-11</v>
      </c>
      <c r="CN83" s="24">
        <f t="shared" si="66"/>
        <v>6.1256325409700318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622</v>
      </c>
      <c r="CR83" s="13">
        <f>VLOOKUP(A83,'Données projet'!$A$139:$I$159,9,0)</f>
        <v>17</v>
      </c>
      <c r="CS83" s="13">
        <f t="array" ref="CS83">INDEX(CR:CR,MIN(IF(ISNUMBER(CR83:CR279),ROW(CR83:CR279),"")))</f>
        <v>17</v>
      </c>
      <c r="CT83" s="13">
        <f>IF('Données projet'!$A$140&gt;35,CT82+CS83-DB82,IF(A83&lt;'Données projet'!$A$140,$CQ$205^A83,IF(A83='Données projet'!$A$140,'Données projet'!$B$140,CT82+CS83-DB82)))</f>
        <v>621.99999999999989</v>
      </c>
      <c r="CU83" s="18">
        <f>CT83*VLOOKUP('Données projet'!$B$13,Paramètres!$A$1:$I$89,3,0)*VLOOKUP('Données projet'!$B$13,Paramètres!$A$1:$I$89,5,0)</f>
        <v>291.09599999999995</v>
      </c>
      <c r="CV83" s="14">
        <f t="shared" si="95"/>
        <v>69.306582531434373</v>
      </c>
      <c r="CW83" s="22">
        <f t="shared" si="67"/>
        <v>627.7011645755814</v>
      </c>
      <c r="CX83" s="62">
        <f t="shared" si="68"/>
        <v>898.42977621426758</v>
      </c>
      <c r="CY83" s="62">
        <f ca="1">AVERAGE(OFFSET($CX$3,0,0,'Données projet'!$E$13+1,1))-AVERAGE(OFFSET($H$3,0,0,'Données projet'!$E$13+1,1))</f>
        <v>426.87921482911719</v>
      </c>
      <c r="CZ83" s="62">
        <f t="shared" si="96"/>
        <v>313.49594674441835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124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309.50400000000002</v>
      </c>
      <c r="DQ83" s="14">
        <f t="shared" si="97"/>
        <v>73.165235978896504</v>
      </c>
      <c r="DR83" s="22">
        <f t="shared" si="70"/>
        <v>666.48225266324471</v>
      </c>
      <c r="DS83" s="62">
        <f t="shared" si="71"/>
        <v>937.21086430193077</v>
      </c>
      <c r="DT83" s="62">
        <f ca="1">AVERAGE(OFFSET($DS$3,0,0,'Données projet'!$E$14+1,1))-AVERAGE(OFFSET($H$3,0,0,'Données projet'!$E$14+1,1))</f>
        <v>500.25828825677058</v>
      </c>
      <c r="DU83" s="62">
        <f t="shared" si="98"/>
        <v>313.56299786481338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28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0.64113063822146088</v>
      </c>
      <c r="EC83" s="23">
        <f>EXP(-LN(2)/2)*EC82+(1-EXP(-LN(2)/2))/(LN(2)/2)*DW83*DZ83*VLOOKUP('Données projet'!$B$14,Paramètres!$A$1:$I$89,3,0)*0.475*44/12</f>
        <v>7.4892998160980364E-7</v>
      </c>
      <c r="ED83" s="24">
        <f t="shared" si="72"/>
        <v>0.64113138715144247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320</v>
      </c>
      <c r="EH83" s="13">
        <f>VLOOKUP(A83,'Données projet'!$A$191:$I$211,9,0)</f>
        <v>7.2</v>
      </c>
      <c r="EI83" s="13">
        <f t="array" ref="EI83">INDEX(EH:EH,MIN(IF(ISNUMBER(EH83:EH279),ROW(EH83:EH279),"")))</f>
        <v>7.2</v>
      </c>
      <c r="EJ83" s="13">
        <f>IF('Données projet'!$A$192&gt;35,EJ82+EI83-ER82,IF(A83&lt;'Données projet'!$A$192,$EG$205^A83,IF(A83='Données projet'!$A$192,'Données projet'!$B$192,EJ82+EI83-ER82)))</f>
        <v>320</v>
      </c>
      <c r="EK83" s="18">
        <f>EJ83*VLOOKUP('Données projet'!$B$15,Paramètres!$A$1:$I$89,3,0)*VLOOKUP('Données projet'!$B$15,Paramètres!$A$1:$I$89,5,0)</f>
        <v>344.44799999999998</v>
      </c>
      <c r="EL83" s="14">
        <f t="shared" si="99"/>
        <v>80.418235058027051</v>
      </c>
      <c r="EM83" s="22">
        <f t="shared" si="73"/>
        <v>739.9753593927303</v>
      </c>
      <c r="EN83" s="62">
        <f t="shared" si="74"/>
        <v>1010.7039710314164</v>
      </c>
      <c r="EO83" s="62">
        <f ca="1">AVERAGE(OFFSET($EN$3,0,0,'Données projet'!$E$15+1,1))-AVERAGE(OFFSET($H$3,0,0,'Données projet'!$E$15+1,1))</f>
        <v>548.17046467409421</v>
      </c>
      <c r="EP83" s="62">
        <f t="shared" si="100"/>
        <v>341.9250949809848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28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0.71351635544001279</v>
      </c>
      <c r="EX83" s="23">
        <f>EXP(-LN(2)/2)*EX82+(1-EXP(-LN(2)/2))/(LN(2)/2)*ER83*EU83*VLOOKUP('Données projet'!$B$15,Paramètres!$A$1:$I$89,3,0)*0.475*44/12</f>
        <v>8.3348659243671632E-7</v>
      </c>
      <c r="EY83" s="24">
        <f t="shared" si="75"/>
        <v>0.71351718892660521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855.06445788744873</v>
      </c>
      <c r="S84" s="62">
        <f ca="1">AVERAGE(OFFSET($R$3,0,0,'Données projet'!$E$9+1,1))-AVERAGE(OFFSET($H$3,0,0,'Données projet'!$E$9+1,1))</f>
        <v>472.83070477639035</v>
      </c>
      <c r="T84" s="62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2.2201920674887092</v>
      </c>
      <c r="AB84" s="23">
        <f>EXP(-LN(2)/2)*AB83+(1-EXP(-LN(2)/2))/(LN(2)/2)*V84*Y84*VLOOKUP('Données projet'!$B$9,Paramètres!$A$1:$I$89,3,0)*0.475*44/12</f>
        <v>3.1420000663787025E-7</v>
      </c>
      <c r="AC84" s="24">
        <f t="shared" si="57"/>
        <v>2.2201923816887157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302.98320000000007</v>
      </c>
      <c r="AK84" s="14">
        <f t="shared" si="89"/>
        <v>71.801496173397709</v>
      </c>
      <c r="AL84" s="22">
        <f t="shared" si="58"/>
        <v>652.75001250200114</v>
      </c>
      <c r="AM84" s="62">
        <f t="shared" si="59"/>
        <v>923.87076552550252</v>
      </c>
      <c r="AN84" s="62">
        <f ca="1">AVERAGE(OFFSET($AM$3,0,0,'Données projet'!$E$10+1,1))-AVERAGE(OFFSET($H$3,0,0,'Données projet'!$E$10+1,1))</f>
        <v>520.80494930257237</v>
      </c>
      <c r="AO84" s="62">
        <f t="shared" si="90"/>
        <v>325.72635759450861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2.488146282530451</v>
      </c>
      <c r="AW84" s="23">
        <f>EXP(-LN(2)/2)*AW83+(1-EXP(-LN(2)/2))/(LN(2)/2)*AQ84*AT84*VLOOKUP('Données projet'!$B$10,Paramètres!$A$1:$I$89,3,0)*0.475*44/12</f>
        <v>3.5212069709416433E-7</v>
      </c>
      <c r="AX84" s="23">
        <f t="shared" si="60"/>
        <v>2.488146634651148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6.3550942286383367E-14</v>
      </c>
      <c r="BF84" s="14">
        <f t="shared" si="91"/>
        <v>1.0064464192543978E-12</v>
      </c>
      <c r="BG84" s="22">
        <f t="shared" si="61"/>
        <v>1.8635787380168604E-12</v>
      </c>
      <c r="BH84" s="62">
        <f t="shared" si="62"/>
        <v>271.12075302350331</v>
      </c>
      <c r="BI84" s="62">
        <f ca="1">AVERAGE(OFFSET($BH$3,0,0,'Données projet'!$E$11+1,1))-AVERAGE(OFFSET($H$3,0,0,'Données projet'!$E$11+1,1))</f>
        <v>321.60602866722138</v>
      </c>
      <c r="BJ84" s="62">
        <f t="shared" si="92"/>
        <v>375.18886653687389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4.6639468878734416</v>
      </c>
      <c r="BQ84" s="23">
        <f>EXP(-LN(2)/25)*BQ83+(1-EXP(-LN(2)/25))/(LN(2)/25)*Calculateur!BL84*Calculateur!BN84*VLOOKUP('Données projet'!$B$11,Paramètres!$A$1:$I$89,3,0)*0.475*44/12</f>
        <v>3.8838332602362677</v>
      </c>
      <c r="BR84" s="23">
        <f>EXP(-LN(2)/2)*BR83+(1-EXP(-LN(2)/2))/(LN(2)/2)*BL84*BO84*VLOOKUP('Données projet'!$B$11,Paramètres!$A$1:$I$89,3,0)*0.475*44/12</f>
        <v>1.5429811839136975E-7</v>
      </c>
      <c r="BS84" s="24">
        <f t="shared" si="63"/>
        <v>8.547780302407828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2.8421709430404007E-14</v>
      </c>
      <c r="BZ84" s="14">
        <f>BY84*VLOOKUP('Données projet'!$B$12,Paramètres!$A$1:$I$89,3,0)*VLOOKUP('Données projet'!$B$12,Paramètres!$A$1:$I$89,5,0)</f>
        <v>1.5518253349000589E-14</v>
      </c>
      <c r="CA84" s="14">
        <f t="shared" si="93"/>
        <v>2.8958815659671149E-13</v>
      </c>
      <c r="CB84" s="22">
        <f t="shared" si="64"/>
        <v>5.3139366398878183E-13</v>
      </c>
      <c r="CC84" s="62">
        <f t="shared" si="65"/>
        <v>271.12075302350195</v>
      </c>
      <c r="CD84" s="62">
        <f ca="1">AVERAGE(OFFSET($CC$3,0,0,'Données projet'!$E$12+1,1))-AVERAGE(OFFSET($H$3,0,0,'Données projet'!$E$12+1,1))</f>
        <v>182.44246264133781</v>
      </c>
      <c r="CE84" s="62">
        <f t="shared" si="94"/>
        <v>262.5818213397049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1.5694163132740349</v>
      </c>
      <c r="CL84" s="23">
        <f>EXP(-LN(2)/25)*CL83+(1-EXP(-LN(2)/25))/(LN(2)/25)*Calculateur!CG84*Calculateur!CI84*VLOOKUP('Données projet'!$B$12,Paramètres!$A$1:$I$89,3,0)*0.475*44/12</f>
        <v>4.4010937876457081</v>
      </c>
      <c r="CM84" s="23">
        <f>EXP(-LN(2)/2)*CM83+(1-EXP(-LN(2)/2))/(LN(2)/2)*CG84*CJ84*VLOOKUP('Données projet'!$B$12,Paramètres!$A$1:$I$89,3,0)*0.475*44/12</f>
        <v>6.3611163635625648E-11</v>
      </c>
      <c r="CN84" s="24">
        <f t="shared" si="66"/>
        <v>5.9705101009833541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17.5</v>
      </c>
      <c r="CT84" s="13">
        <f>IF('Données projet'!$A$140&gt;35,CT83+CS84-DB83,IF(A84&lt;'Données projet'!$A$140,$CQ$205^A84,IF(A84='Données projet'!$A$140,'Données projet'!$B$140,CT83+CS84-DB83)))</f>
        <v>515.49999999999989</v>
      </c>
      <c r="CU84" s="18">
        <f>CT84*VLOOKUP('Données projet'!$B$13,Paramètres!$A$1:$I$89,3,0)*VLOOKUP('Données projet'!$B$13,Paramètres!$A$1:$I$89,5,0)</f>
        <v>241.25399999999996</v>
      </c>
      <c r="CV84" s="14">
        <f t="shared" si="95"/>
        <v>58.70925280391986</v>
      </c>
      <c r="CW84" s="22">
        <f t="shared" si="67"/>
        <v>522.43599863349357</v>
      </c>
      <c r="CX84" s="62">
        <f t="shared" si="68"/>
        <v>793.55675165699495</v>
      </c>
      <c r="CY84" s="62">
        <f ca="1">AVERAGE(OFFSET($CX$3,0,0,'Données projet'!$E$13+1,1))-AVERAGE(OFFSET($H$3,0,0,'Données projet'!$E$13+1,1))</f>
        <v>426.87921482911719</v>
      </c>
      <c r="CZ84" s="62">
        <f t="shared" si="96"/>
        <v>313.49594674441835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6.8</v>
      </c>
      <c r="DO84" s="13">
        <f>IF('Données projet'!$A$166&gt;35,DO83+DN84-DW83,IF(A84&lt;'Données projet'!$A$166,$DL$205^A84,IF(A84='Données projet'!$A$166,'Données projet'!$B$166,DO83+DN84-DW83)))</f>
        <v>298.8</v>
      </c>
      <c r="DP84" s="18">
        <f>DO84*VLOOKUP('Données projet'!$B$14,Paramètres!$A$1:$I$89,3,0)*VLOOKUP('Données projet'!$B$14,Paramètres!$A$1:$I$89,5,0)</f>
        <v>288.99936000000002</v>
      </c>
      <c r="DQ84" s="14">
        <f t="shared" si="97"/>
        <v>68.86531667529006</v>
      </c>
      <c r="DR84" s="22">
        <f t="shared" si="70"/>
        <v>623.2809785427969</v>
      </c>
      <c r="DS84" s="62">
        <f t="shared" si="71"/>
        <v>894.40173156629839</v>
      </c>
      <c r="DT84" s="62">
        <f ca="1">AVERAGE(OFFSET($DS$3,0,0,'Données projet'!$E$14+1,1))-AVERAGE(OFFSET($H$3,0,0,'Données projet'!$E$14+1,1))</f>
        <v>500.25828825677058</v>
      </c>
      <c r="DU84" s="62">
        <f t="shared" si="98"/>
        <v>313.56299786481338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0.62359888720370005</v>
      </c>
      <c r="EC84" s="23">
        <f>EXP(-LN(2)/2)*EC83+(1-EXP(-LN(2)/2))/(LN(2)/2)*DW84*DZ84*VLOOKUP('Données projet'!$B$14,Paramètres!$A$1:$I$89,3,0)*0.475*44/12</f>
        <v>5.2957346863020848E-7</v>
      </c>
      <c r="ED84" s="24">
        <f t="shared" si="72"/>
        <v>0.62359941677716868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6.8</v>
      </c>
      <c r="EJ84" s="13">
        <f>IF('Données projet'!$A$192&gt;35,EJ83+EI84-ER83,IF(A84&lt;'Données projet'!$A$192,$EG$205^A84,IF(A84='Données projet'!$A$192,'Données projet'!$B$192,EJ83+EI84-ER83)))</f>
        <v>298.8</v>
      </c>
      <c r="EK84" s="18">
        <f>EJ84*VLOOKUP('Données projet'!$B$15,Paramètres!$A$1:$I$89,3,0)*VLOOKUP('Données projet'!$B$15,Paramètres!$A$1:$I$89,5,0)</f>
        <v>321.62832000000003</v>
      </c>
      <c r="EL84" s="14">
        <f t="shared" si="99"/>
        <v>75.692057158625346</v>
      </c>
      <c r="EM84" s="22">
        <f t="shared" si="73"/>
        <v>691.99965688460588</v>
      </c>
      <c r="EN84" s="62">
        <f t="shared" si="74"/>
        <v>963.12040990810738</v>
      </c>
      <c r="EO84" s="62">
        <f ca="1">AVERAGE(OFFSET($EN$3,0,0,'Données projet'!$E$15+1,1))-AVERAGE(OFFSET($H$3,0,0,'Données projet'!$E$15+1,1))</f>
        <v>548.17046467409421</v>
      </c>
      <c r="EP84" s="62">
        <f t="shared" si="100"/>
        <v>341.9250949809848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0.69400521317831132</v>
      </c>
      <c r="EX84" s="23">
        <f>EXP(-LN(2)/2)*EX83+(1-EXP(-LN(2)/2))/(LN(2)/2)*ER84*EU84*VLOOKUP('Données projet'!$B$15,Paramètres!$A$1:$I$89,3,0)*0.475*44/12</f>
        <v>5.8936402154007028E-7</v>
      </c>
      <c r="EY84" s="24">
        <f t="shared" si="75"/>
        <v>0.69400580254233291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868.436484365365</v>
      </c>
      <c r="S85" s="62">
        <f ca="1">AVERAGE(OFFSET($R$3,0,0,'Données projet'!$E$9+1,1))-AVERAGE(OFFSET($H$3,0,0,'Données projet'!$E$9+1,1))</f>
        <v>472.83070477639035</v>
      </c>
      <c r="T85" s="62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2.1594807986484041</v>
      </c>
      <c r="AB85" s="23">
        <f>EXP(-LN(2)/2)*AB84+(1-EXP(-LN(2)/2))/(LN(2)/2)*V85*Y85*VLOOKUP('Données projet'!$B$9,Paramètres!$A$1:$I$89,3,0)*0.475*44/12</f>
        <v>2.221729553424963E-7</v>
      </c>
      <c r="AC85" s="24">
        <f t="shared" si="57"/>
        <v>2.1594810208213593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309.87840000000006</v>
      </c>
      <c r="AK85" s="14">
        <f t="shared" si="89"/>
        <v>73.243434672131556</v>
      </c>
      <c r="AL85" s="22">
        <f t="shared" si="58"/>
        <v>667.27052872062916</v>
      </c>
      <c r="AM85" s="62">
        <f t="shared" si="59"/>
        <v>938.77662035261619</v>
      </c>
      <c r="AN85" s="62">
        <f ca="1">AVERAGE(OFFSET($AM$3,0,0,'Données projet'!$E$10+1,1))-AVERAGE(OFFSET($H$3,0,0,'Données projet'!$E$10+1,1))</f>
        <v>520.80494930257237</v>
      </c>
      <c r="AO85" s="62">
        <f t="shared" si="90"/>
        <v>325.72635759450861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2.4201077915887295</v>
      </c>
      <c r="AW85" s="23">
        <f>EXP(-LN(2)/2)*AW84+(1-EXP(-LN(2)/2))/(LN(2)/2)*AQ85*AT85*VLOOKUP('Données projet'!$B$10,Paramètres!$A$1:$I$89,3,0)*0.475*44/12</f>
        <v>2.4898693271141783E-7</v>
      </c>
      <c r="AX85" s="23">
        <f t="shared" si="60"/>
        <v>2.4201080405756623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6.3550942286383367E-14</v>
      </c>
      <c r="BF85" s="14">
        <f t="shared" si="91"/>
        <v>1.0064464192543978E-12</v>
      </c>
      <c r="BG85" s="22">
        <f t="shared" si="61"/>
        <v>1.8635787380168604E-12</v>
      </c>
      <c r="BH85" s="62">
        <f t="shared" si="62"/>
        <v>271.50609163198891</v>
      </c>
      <c r="BI85" s="62">
        <f ca="1">AVERAGE(OFFSET($BH$3,0,0,'Données projet'!$E$11+1,1))-AVERAGE(OFFSET($H$3,0,0,'Données projet'!$E$11+1,1))</f>
        <v>321.60602866722138</v>
      </c>
      <c r="BJ85" s="62">
        <f t="shared" si="92"/>
        <v>375.18886653687389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4.5724897341289514</v>
      </c>
      <c r="BQ85" s="23">
        <f>EXP(-LN(2)/25)*BQ84+(1-EXP(-LN(2)/25))/(LN(2)/25)*Calculateur!BL85*Calculateur!BN85*VLOOKUP('Données projet'!$B$11,Paramètres!$A$1:$I$89,3,0)*0.475*44/12</f>
        <v>3.7776296354931924</v>
      </c>
      <c r="BR85" s="23">
        <f>EXP(-LN(2)/2)*BR84+(1-EXP(-LN(2)/2))/(LN(2)/2)*BL85*BO85*VLOOKUP('Données projet'!$B$11,Paramètres!$A$1:$I$89,3,0)*0.475*44/12</f>
        <v>1.0910524583886229E-7</v>
      </c>
      <c r="BS85" s="24">
        <f t="shared" si="63"/>
        <v>8.3501194787273896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2.8421709430404007E-14</v>
      </c>
      <c r="BZ85" s="14">
        <f>BY85*VLOOKUP('Données projet'!$B$12,Paramètres!$A$1:$I$89,3,0)*VLOOKUP('Données projet'!$B$12,Paramètres!$A$1:$I$89,5,0)</f>
        <v>1.5518253349000589E-14</v>
      </c>
      <c r="CA85" s="14">
        <f t="shared" si="93"/>
        <v>2.8958815659671149E-13</v>
      </c>
      <c r="CB85" s="22">
        <f t="shared" si="64"/>
        <v>5.3139366398878183E-13</v>
      </c>
      <c r="CC85" s="62">
        <f t="shared" si="65"/>
        <v>271.50609163198754</v>
      </c>
      <c r="CD85" s="62">
        <f ca="1">AVERAGE(OFFSET($CC$3,0,0,'Données projet'!$E$12+1,1))-AVERAGE(OFFSET($H$3,0,0,'Données projet'!$E$12+1,1))</f>
        <v>182.44246264133781</v>
      </c>
      <c r="CE85" s="62">
        <f t="shared" si="94"/>
        <v>262.5818213397049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1.5386410166201616</v>
      </c>
      <c r="CL85" s="23">
        <f>EXP(-LN(2)/25)*CL84+(1-EXP(-LN(2)/25))/(LN(2)/25)*Calculateur!CG85*Calculateur!CI85*VLOOKUP('Données projet'!$B$12,Paramètres!$A$1:$I$89,3,0)*0.475*44/12</f>
        <v>4.2807456465790725</v>
      </c>
      <c r="CM85" s="23">
        <f>EXP(-LN(2)/2)*CM84+(1-EXP(-LN(2)/2))/(LN(2)/2)*CG85*CJ85*VLOOKUP('Données projet'!$B$12,Paramètres!$A$1:$I$89,3,0)*0.475*44/12</f>
        <v>4.4979885165918014E-11</v>
      </c>
      <c r="CN85" s="24">
        <f t="shared" si="66"/>
        <v>5.8193866632442139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17.5</v>
      </c>
      <c r="CT85" s="13">
        <f>IF('Données projet'!$A$140&gt;35,CT84+CS85-DB84,IF(A85&lt;'Données projet'!$A$140,$CQ$205^A85,IF(A85='Données projet'!$A$140,'Données projet'!$B$140,CT84+CS85-DB84)))</f>
        <v>532.99999999999989</v>
      </c>
      <c r="CU85" s="18">
        <f>CT85*VLOOKUP('Données projet'!$B$13,Paramètres!$A$1:$I$89,3,0)*VLOOKUP('Données projet'!$B$13,Paramètres!$A$1:$I$89,5,0)</f>
        <v>249.44399999999993</v>
      </c>
      <c r="CV85" s="14">
        <f t="shared" si="95"/>
        <v>60.466866397117599</v>
      </c>
      <c r="CW85" s="22">
        <f t="shared" si="67"/>
        <v>539.76142564164627</v>
      </c>
      <c r="CX85" s="62">
        <f t="shared" si="68"/>
        <v>811.2675172736333</v>
      </c>
      <c r="CY85" s="62">
        <f ca="1">AVERAGE(OFFSET($CX$3,0,0,'Données projet'!$E$13+1,1))-AVERAGE(OFFSET($H$3,0,0,'Données projet'!$E$13+1,1))</f>
        <v>426.87921482911719</v>
      </c>
      <c r="CZ85" s="62">
        <f t="shared" si="96"/>
        <v>313.49594674441835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6.8</v>
      </c>
      <c r="DO85" s="13">
        <f>IF('Données projet'!$A$166&gt;35,DO84+DN85-DW84,IF(A85&lt;'Données projet'!$A$166,$DL$205^A85,IF(A85='Données projet'!$A$166,'Données projet'!$B$166,DO84+DN85-DW84)))</f>
        <v>305.60000000000002</v>
      </c>
      <c r="DP85" s="18">
        <f>DO85*VLOOKUP('Données projet'!$B$14,Paramètres!$A$1:$I$89,3,0)*VLOOKUP('Données projet'!$B$14,Paramètres!$A$1:$I$89,5,0)</f>
        <v>295.57632000000001</v>
      </c>
      <c r="DQ85" s="14">
        <f t="shared" si="97"/>
        <v>70.24828996461811</v>
      </c>
      <c r="DR85" s="22">
        <f t="shared" si="70"/>
        <v>637.1445290217099</v>
      </c>
      <c r="DS85" s="62">
        <f t="shared" si="71"/>
        <v>908.65062065369693</v>
      </c>
      <c r="DT85" s="62">
        <f ca="1">AVERAGE(OFFSET($DS$3,0,0,'Données projet'!$E$14+1,1))-AVERAGE(OFFSET($H$3,0,0,'Données projet'!$E$14+1,1))</f>
        <v>500.25828825677058</v>
      </c>
      <c r="DU85" s="62">
        <f t="shared" si="98"/>
        <v>313.56299786481338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0.60654654283947462</v>
      </c>
      <c r="EC85" s="23">
        <f>EXP(-LN(2)/2)*EC84+(1-EXP(-LN(2)/2))/(LN(2)/2)*DW85*DZ85*VLOOKUP('Données projet'!$B$14,Paramètres!$A$1:$I$89,3,0)*0.475*44/12</f>
        <v>3.7446499080490182E-7</v>
      </c>
      <c r="ED85" s="24">
        <f t="shared" si="72"/>
        <v>0.60654691730446542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6.8</v>
      </c>
      <c r="EJ85" s="13">
        <f>IF('Données projet'!$A$192&gt;35,EJ84+EI85-ER84,IF(A85&lt;'Données projet'!$A$192,$EG$205^A85,IF(A85='Données projet'!$A$192,'Données projet'!$B$192,EJ84+EI85-ER84)))</f>
        <v>305.60000000000002</v>
      </c>
      <c r="EK85" s="18">
        <f>EJ85*VLOOKUP('Données projet'!$B$15,Paramètres!$A$1:$I$89,3,0)*VLOOKUP('Données projet'!$B$15,Paramètres!$A$1:$I$89,5,0)</f>
        <v>328.94784000000004</v>
      </c>
      <c r="EL85" s="14">
        <f t="shared" si="99"/>
        <v>77.212127032960666</v>
      </c>
      <c r="EM85" s="22">
        <f t="shared" si="73"/>
        <v>707.39527591573994</v>
      </c>
      <c r="EN85" s="62">
        <f t="shared" si="74"/>
        <v>978.90136754772698</v>
      </c>
      <c r="EO85" s="62">
        <f ca="1">AVERAGE(OFFSET($EN$3,0,0,'Données projet'!$E$15+1,1))-AVERAGE(OFFSET($H$3,0,0,'Données projet'!$E$15+1,1))</f>
        <v>548.17046467409421</v>
      </c>
      <c r="EP85" s="62">
        <f t="shared" si="100"/>
        <v>341.9250949809848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0.67502760412780238</v>
      </c>
      <c r="EX85" s="23">
        <f>EXP(-LN(2)/2)*EX84+(1-EXP(-LN(2)/2))/(LN(2)/2)*ER85*EU85*VLOOKUP('Données projet'!$B$15,Paramètres!$A$1:$I$89,3,0)*0.475*44/12</f>
        <v>4.1674329621835816E-7</v>
      </c>
      <c r="EY85" s="24">
        <f t="shared" si="75"/>
        <v>0.67502802087109859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881.79595158362997</v>
      </c>
      <c r="S86" s="62">
        <f ca="1">AVERAGE(OFFSET($R$3,0,0,'Données projet'!$E$9+1,1))-AVERAGE(OFFSET($H$3,0,0,'Données projet'!$E$9+1,1))</f>
        <v>472.83070477639035</v>
      </c>
      <c r="T86" s="62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2.1004296826472038</v>
      </c>
      <c r="AB86" s="23">
        <f>EXP(-LN(2)/2)*AB85+(1-EXP(-LN(2)/2))/(LN(2)/2)*V86*Y86*VLOOKUP('Données projet'!$B$9,Paramètres!$A$1:$I$89,3,0)*0.475*44/12</f>
        <v>1.5710000331893512E-7</v>
      </c>
      <c r="AC86" s="24">
        <f t="shared" si="57"/>
        <v>2.100429839747207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316.77360000000004</v>
      </c>
      <c r="AK86" s="14">
        <f t="shared" si="89"/>
        <v>74.681642981668006</v>
      </c>
      <c r="AL86" s="22">
        <f t="shared" si="58"/>
        <v>681.78454819307183</v>
      </c>
      <c r="AM86" s="62">
        <f t="shared" si="59"/>
        <v>953.66929367017531</v>
      </c>
      <c r="AN86" s="62">
        <f ca="1">AVERAGE(OFFSET($AM$3,0,0,'Données projet'!$E$10+1,1))-AVERAGE(OFFSET($H$3,0,0,'Données projet'!$E$10+1,1))</f>
        <v>520.80494930257237</v>
      </c>
      <c r="AO86" s="62">
        <f t="shared" si="90"/>
        <v>325.72635759450861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2.353929816759798</v>
      </c>
      <c r="AW86" s="23">
        <f>EXP(-LN(2)/2)*AW85+(1-EXP(-LN(2)/2))/(LN(2)/2)*AQ86*AT86*VLOOKUP('Données projet'!$B$10,Paramètres!$A$1:$I$89,3,0)*0.475*44/12</f>
        <v>1.7606034854708216E-7</v>
      </c>
      <c r="AX86" s="23">
        <f t="shared" si="60"/>
        <v>2.3539299928201465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6.3550942286383367E-14</v>
      </c>
      <c r="BF86" s="14">
        <f t="shared" si="91"/>
        <v>1.0064464192543978E-12</v>
      </c>
      <c r="BG86" s="22">
        <f t="shared" si="61"/>
        <v>1.8635787380168604E-12</v>
      </c>
      <c r="BH86" s="62">
        <f t="shared" si="62"/>
        <v>271.88474547710535</v>
      </c>
      <c r="BI86" s="62">
        <f ca="1">AVERAGE(OFFSET($BH$3,0,0,'Données projet'!$E$11+1,1))-AVERAGE(OFFSET($H$3,0,0,'Données projet'!$E$11+1,1))</f>
        <v>321.60602866722138</v>
      </c>
      <c r="BJ86" s="62">
        <f t="shared" si="92"/>
        <v>375.18886653687389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4.4828259993860353</v>
      </c>
      <c r="BQ86" s="23">
        <f>EXP(-LN(2)/25)*BQ85+(1-EXP(-LN(2)/25))/(LN(2)/25)*Calculateur!BL86*Calculateur!BN86*VLOOKUP('Données projet'!$B$11,Paramètres!$A$1:$I$89,3,0)*0.475*44/12</f>
        <v>3.6743301544537226</v>
      </c>
      <c r="BR86" s="23">
        <f>EXP(-LN(2)/2)*BR85+(1-EXP(-LN(2)/2))/(LN(2)/2)*BL86*BO86*VLOOKUP('Données projet'!$B$11,Paramètres!$A$1:$I$89,3,0)*0.475*44/12</f>
        <v>7.7149059195684874E-8</v>
      </c>
      <c r="BS86" s="24">
        <f t="shared" si="63"/>
        <v>8.1571562309888161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2.8421709430404007E-14</v>
      </c>
      <c r="BZ86" s="14">
        <f>BY86*VLOOKUP('Données projet'!$B$12,Paramètres!$A$1:$I$89,3,0)*VLOOKUP('Données projet'!$B$12,Paramètres!$A$1:$I$89,5,0)</f>
        <v>1.5518253349000589E-14</v>
      </c>
      <c r="CA86" s="14">
        <f t="shared" si="93"/>
        <v>2.8958815659671149E-13</v>
      </c>
      <c r="CB86" s="22">
        <f t="shared" si="64"/>
        <v>5.3139366398878183E-13</v>
      </c>
      <c r="CC86" s="62">
        <f t="shared" si="65"/>
        <v>271.88474547710399</v>
      </c>
      <c r="CD86" s="62">
        <f ca="1">AVERAGE(OFFSET($CC$3,0,0,'Données projet'!$E$12+1,1))-AVERAGE(OFFSET($H$3,0,0,'Données projet'!$E$12+1,1))</f>
        <v>182.44246264133781</v>
      </c>
      <c r="CE86" s="62">
        <f t="shared" si="94"/>
        <v>262.5818213397049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1.5084692047625934</v>
      </c>
      <c r="CL86" s="23">
        <f>EXP(-LN(2)/25)*CL85+(1-EXP(-LN(2)/25))/(LN(2)/25)*Calculateur!CG86*Calculateur!CI86*VLOOKUP('Données projet'!$B$12,Paramètres!$A$1:$I$89,3,0)*0.475*44/12</f>
        <v>4.1636884317587377</v>
      </c>
      <c r="CM86" s="23">
        <f>EXP(-LN(2)/2)*CM85+(1-EXP(-LN(2)/2))/(LN(2)/2)*CG86*CJ86*VLOOKUP('Données projet'!$B$12,Paramètres!$A$1:$I$89,3,0)*0.475*44/12</f>
        <v>3.1805581817812824E-11</v>
      </c>
      <c r="CN86" s="24">
        <f t="shared" si="66"/>
        <v>5.6721576365531368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17.5</v>
      </c>
      <c r="CT86" s="13">
        <f>IF('Données projet'!$A$140&gt;35,CT85+CS86-DB85,IF(A86&lt;'Données projet'!$A$140,$CQ$205^A86,IF(A86='Données projet'!$A$140,'Données projet'!$B$140,CT85+CS86-DB85)))</f>
        <v>550.49999999999989</v>
      </c>
      <c r="CU86" s="18">
        <f>CT86*VLOOKUP('Données projet'!$B$13,Paramètres!$A$1:$I$89,3,0)*VLOOKUP('Données projet'!$B$13,Paramètres!$A$1:$I$89,5,0)</f>
        <v>257.63399999999996</v>
      </c>
      <c r="CV86" s="14">
        <f t="shared" si="95"/>
        <v>62.217774353261795</v>
      </c>
      <c r="CW86" s="22">
        <f t="shared" si="67"/>
        <v>557.07517366526417</v>
      </c>
      <c r="CX86" s="62">
        <f t="shared" si="68"/>
        <v>828.95991914236765</v>
      </c>
      <c r="CY86" s="62">
        <f ca="1">AVERAGE(OFFSET($CX$3,0,0,'Données projet'!$E$13+1,1))-AVERAGE(OFFSET($H$3,0,0,'Données projet'!$E$13+1,1))</f>
        <v>426.87921482911719</v>
      </c>
      <c r="CZ86" s="62">
        <f t="shared" si="96"/>
        <v>313.49594674441835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6.8</v>
      </c>
      <c r="DO86" s="13">
        <f>IF('Données projet'!$A$166&gt;35,DO85+DN86-DW85,IF(A86&lt;'Données projet'!$A$166,$DL$205^A86,IF(A86='Données projet'!$A$166,'Données projet'!$B$166,DO85+DN86-DW85)))</f>
        <v>312.40000000000003</v>
      </c>
      <c r="DP86" s="18">
        <f>DO86*VLOOKUP('Données projet'!$B$14,Paramètres!$A$1:$I$89,3,0)*VLOOKUP('Données projet'!$B$14,Paramètres!$A$1:$I$89,5,0)</f>
        <v>302.15328000000005</v>
      </c>
      <c r="DQ86" s="14">
        <f t="shared" si="97"/>
        <v>71.627685603423203</v>
      </c>
      <c r="DR86" s="22">
        <f t="shared" si="70"/>
        <v>651.00184842596218</v>
      </c>
      <c r="DS86" s="62">
        <f t="shared" si="71"/>
        <v>922.88659390306566</v>
      </c>
      <c r="DT86" s="62">
        <f ca="1">AVERAGE(OFFSET($DS$3,0,0,'Données projet'!$E$14+1,1))-AVERAGE(OFFSET($H$3,0,0,'Données projet'!$E$14+1,1))</f>
        <v>500.25828825677058</v>
      </c>
      <c r="DU86" s="62">
        <f t="shared" si="98"/>
        <v>313.56299786481338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0.58996049572863274</v>
      </c>
      <c r="EC86" s="23">
        <f>EXP(-LN(2)/2)*EC85+(1-EXP(-LN(2)/2))/(LN(2)/2)*DW86*DZ86*VLOOKUP('Données projet'!$B$14,Paramètres!$A$1:$I$89,3,0)*0.475*44/12</f>
        <v>2.6478673431510424E-7</v>
      </c>
      <c r="ED86" s="24">
        <f t="shared" si="72"/>
        <v>0.58996076051536706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6.8</v>
      </c>
      <c r="EJ86" s="13">
        <f>IF('Données projet'!$A$192&gt;35,EJ85+EI86-ER85,IF(A86&lt;'Données projet'!$A$192,$EG$205^A86,IF(A86='Données projet'!$A$192,'Données projet'!$B$192,EJ85+EI86-ER85)))</f>
        <v>312.40000000000003</v>
      </c>
      <c r="EK86" s="18">
        <f>EJ86*VLOOKUP('Données projet'!$B$15,Paramètres!$A$1:$I$89,3,0)*VLOOKUP('Données projet'!$B$15,Paramètres!$A$1:$I$89,5,0)</f>
        <v>336.26736000000005</v>
      </c>
      <c r="EL86" s="14">
        <f t="shared" si="99"/>
        <v>78.728264597957192</v>
      </c>
      <c r="EM86" s="22">
        <f t="shared" si="73"/>
        <v>722.78404617477554</v>
      </c>
      <c r="EN86" s="62">
        <f t="shared" si="74"/>
        <v>994.66879165187902</v>
      </c>
      <c r="EO86" s="62">
        <f ca="1">AVERAGE(OFFSET($EN$3,0,0,'Données projet'!$E$15+1,1))-AVERAGE(OFFSET($H$3,0,0,'Données projet'!$E$15+1,1))</f>
        <v>548.17046467409421</v>
      </c>
      <c r="EP86" s="62">
        <f t="shared" si="100"/>
        <v>341.9250949809848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0.65656893879476874</v>
      </c>
      <c r="EX86" s="23">
        <f>EXP(-LN(2)/2)*EX85+(1-EXP(-LN(2)/2))/(LN(2)/2)*ER86*EU86*VLOOKUP('Données projet'!$B$15,Paramètres!$A$1:$I$89,3,0)*0.475*44/12</f>
        <v>2.9468201077003514E-7</v>
      </c>
      <c r="EY86" s="24">
        <f t="shared" si="75"/>
        <v>0.65656923347677953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895.14311810401523</v>
      </c>
      <c r="S87" s="62">
        <f ca="1">AVERAGE(OFFSET($R$3,0,0,'Données projet'!$E$9+1,1))-AVERAGE(OFFSET($H$3,0,0,'Données projet'!$E$9+1,1))</f>
        <v>472.83070477639035</v>
      </c>
      <c r="T87" s="62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2.0429933225184196</v>
      </c>
      <c r="AB87" s="23">
        <f>EXP(-LN(2)/2)*AB86+(1-EXP(-LN(2)/2))/(LN(2)/2)*V87*Y87*VLOOKUP('Données projet'!$B$9,Paramètres!$A$1:$I$89,3,0)*0.475*44/12</f>
        <v>1.1108647767124815E-7</v>
      </c>
      <c r="AC87" s="24">
        <f t="shared" si="57"/>
        <v>2.0429934336048974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323.66880000000009</v>
      </c>
      <c r="AK87" s="14">
        <f t="shared" si="89"/>
        <v>76.11621164769852</v>
      </c>
      <c r="AL87" s="22">
        <f t="shared" si="58"/>
        <v>696.29222861974176</v>
      </c>
      <c r="AM87" s="62">
        <f t="shared" si="59"/>
        <v>968.54905914429207</v>
      </c>
      <c r="AN87" s="62">
        <f ca="1">AVERAGE(OFFSET($AM$3,0,0,'Données projet'!$E$10+1,1))-AVERAGE(OFFSET($H$3,0,0,'Données projet'!$E$10+1,1))</f>
        <v>520.80494930257237</v>
      </c>
      <c r="AO87" s="62">
        <f t="shared" si="90"/>
        <v>325.72635759450861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2.2895614821327124</v>
      </c>
      <c r="AW87" s="23">
        <f>EXP(-LN(2)/2)*AW86+(1-EXP(-LN(2)/2))/(LN(2)/2)*AQ87*AT87*VLOOKUP('Données projet'!$B$10,Paramètres!$A$1:$I$89,3,0)*0.475*44/12</f>
        <v>1.2449346635570892E-7</v>
      </c>
      <c r="AX87" s="23">
        <f t="shared" si="60"/>
        <v>2.2895616066261786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6.3550942286383367E-14</v>
      </c>
      <c r="BF87" s="14">
        <f t="shared" si="91"/>
        <v>1.0064464192543978E-12</v>
      </c>
      <c r="BG87" s="22">
        <f t="shared" si="61"/>
        <v>1.8635787380168604E-12</v>
      </c>
      <c r="BH87" s="62">
        <f t="shared" si="62"/>
        <v>272.25683052455219</v>
      </c>
      <c r="BI87" s="62">
        <f ca="1">AVERAGE(OFFSET($BH$3,0,0,'Données projet'!$E$11+1,1))-AVERAGE(OFFSET($H$3,0,0,'Données projet'!$E$11+1,1))</f>
        <v>321.60602866722138</v>
      </c>
      <c r="BJ87" s="62">
        <f t="shared" si="92"/>
        <v>375.18886653687389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4.3949205157919495</v>
      </c>
      <c r="BQ87" s="23">
        <f>EXP(-LN(2)/25)*BQ86+(1-EXP(-LN(2)/25))/(LN(2)/25)*Calculateur!BL87*Calculateur!BN87*VLOOKUP('Données projet'!$B$11,Paramètres!$A$1:$I$89,3,0)*0.475*44/12</f>
        <v>3.5738554031555605</v>
      </c>
      <c r="BR87" s="23">
        <f>EXP(-LN(2)/2)*BR86+(1-EXP(-LN(2)/2))/(LN(2)/2)*BL87*BO87*VLOOKUP('Données projet'!$B$11,Paramètres!$A$1:$I$89,3,0)*0.475*44/12</f>
        <v>5.4552622919431147E-8</v>
      </c>
      <c r="BS87" s="24">
        <f t="shared" si="63"/>
        <v>7.9687759735001329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2.8421709430404007E-14</v>
      </c>
      <c r="BZ87" s="14">
        <f>BY87*VLOOKUP('Données projet'!$B$12,Paramètres!$A$1:$I$89,3,0)*VLOOKUP('Données projet'!$B$12,Paramètres!$A$1:$I$89,5,0)</f>
        <v>1.5518253349000589E-14</v>
      </c>
      <c r="CA87" s="14">
        <f t="shared" si="93"/>
        <v>2.8958815659671149E-13</v>
      </c>
      <c r="CB87" s="22">
        <f t="shared" si="64"/>
        <v>5.3139366398878183E-13</v>
      </c>
      <c r="CC87" s="62">
        <f t="shared" si="65"/>
        <v>272.25683052455082</v>
      </c>
      <c r="CD87" s="62">
        <f ca="1">AVERAGE(OFFSET($CC$3,0,0,'Données projet'!$E$12+1,1))-AVERAGE(OFFSET($H$3,0,0,'Données projet'!$E$12+1,1))</f>
        <v>182.44246264133781</v>
      </c>
      <c r="CE87" s="62">
        <f t="shared" si="94"/>
        <v>262.5818213397049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1.4788890437325639</v>
      </c>
      <c r="CL87" s="23">
        <f>EXP(-LN(2)/25)*CL86+(1-EXP(-LN(2)/25))/(LN(2)/25)*Calculateur!CG87*Calculateur!CI87*VLOOKUP('Données projet'!$B$12,Paramètres!$A$1:$I$89,3,0)*0.475*44/12</f>
        <v>4.0498321526334369</v>
      </c>
      <c r="CM87" s="23">
        <f>EXP(-LN(2)/2)*CM86+(1-EXP(-LN(2)/2))/(LN(2)/2)*CG87*CJ87*VLOOKUP('Données projet'!$B$12,Paramètres!$A$1:$I$89,3,0)*0.475*44/12</f>
        <v>2.2489942582959007E-11</v>
      </c>
      <c r="CN87" s="24">
        <f t="shared" si="66"/>
        <v>5.5287211963884904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17.5</v>
      </c>
      <c r="CT87" s="13">
        <f>IF('Données projet'!$A$140&gt;35,CT86+CS87-DB86,IF(A87&lt;'Données projet'!$A$140,$CQ$205^A87,IF(A87='Données projet'!$A$140,'Données projet'!$B$140,CT86+CS87-DB86)))</f>
        <v>567.99999999999989</v>
      </c>
      <c r="CU87" s="18">
        <f>CT87*VLOOKUP('Données projet'!$B$13,Paramètres!$A$1:$I$89,3,0)*VLOOKUP('Données projet'!$B$13,Paramètres!$A$1:$I$89,5,0)</f>
        <v>265.82399999999996</v>
      </c>
      <c r="CV87" s="14">
        <f t="shared" si="95"/>
        <v>63.962214293903529</v>
      </c>
      <c r="CW87" s="22">
        <f t="shared" si="67"/>
        <v>574.37765656188185</v>
      </c>
      <c r="CX87" s="62">
        <f t="shared" si="68"/>
        <v>846.63448708643216</v>
      </c>
      <c r="CY87" s="62">
        <f ca="1">AVERAGE(OFFSET($CX$3,0,0,'Données projet'!$E$13+1,1))-AVERAGE(OFFSET($H$3,0,0,'Données projet'!$E$13+1,1))</f>
        <v>426.87921482911719</v>
      </c>
      <c r="CZ87" s="62">
        <f t="shared" si="96"/>
        <v>313.49594674441835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6.8</v>
      </c>
      <c r="DO87" s="13">
        <f>IF('Données projet'!$A$166&gt;35,DO86+DN87-DW86,IF(A87&lt;'Données projet'!$A$166,$DL$205^A87,IF(A87='Données projet'!$A$166,'Données projet'!$B$166,DO86+DN87-DW86)))</f>
        <v>319.20000000000005</v>
      </c>
      <c r="DP87" s="18">
        <f>DO87*VLOOKUP('Données projet'!$B$14,Paramètres!$A$1:$I$89,3,0)*VLOOKUP('Données projet'!$B$14,Paramètres!$A$1:$I$89,5,0)</f>
        <v>308.73024000000004</v>
      </c>
      <c r="DQ87" s="14">
        <f t="shared" si="97"/>
        <v>73.003590434710574</v>
      </c>
      <c r="DR87" s="22">
        <f t="shared" si="70"/>
        <v>664.85308800712107</v>
      </c>
      <c r="DS87" s="62">
        <f t="shared" si="71"/>
        <v>937.10991853167138</v>
      </c>
      <c r="DT87" s="62">
        <f ca="1">AVERAGE(OFFSET($DS$3,0,0,'Données projet'!$E$14+1,1))-AVERAGE(OFFSET($H$3,0,0,'Données projet'!$E$14+1,1))</f>
        <v>500.25828825677058</v>
      </c>
      <c r="DU87" s="62">
        <f t="shared" si="98"/>
        <v>313.56299786481338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0.5738279949482592</v>
      </c>
      <c r="EC87" s="23">
        <f>EXP(-LN(2)/2)*EC86+(1-EXP(-LN(2)/2))/(LN(2)/2)*DW87*DZ87*VLOOKUP('Données projet'!$B$14,Paramètres!$A$1:$I$89,3,0)*0.475*44/12</f>
        <v>1.8723249540245091E-7</v>
      </c>
      <c r="ED87" s="24">
        <f t="shared" si="72"/>
        <v>0.5738281821807546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6.8</v>
      </c>
      <c r="EJ87" s="13">
        <f>IF('Données projet'!$A$192&gt;35,EJ86+EI87-ER86,IF(A87&lt;'Données projet'!$A$192,$EG$205^A87,IF(A87='Données projet'!$A$192,'Données projet'!$B$192,EJ86+EI87-ER86)))</f>
        <v>319.20000000000005</v>
      </c>
      <c r="EK87" s="18">
        <f>EJ87*VLOOKUP('Données projet'!$B$15,Paramètres!$A$1:$I$89,3,0)*VLOOKUP('Données projet'!$B$15,Paramètres!$A$1:$I$89,5,0)</f>
        <v>343.58688000000006</v>
      </c>
      <c r="EL87" s="14">
        <f t="shared" si="99"/>
        <v>80.240565305520732</v>
      </c>
      <c r="EM87" s="22">
        <f t="shared" si="73"/>
        <v>738.1661339071153</v>
      </c>
      <c r="EN87" s="62">
        <f t="shared" si="74"/>
        <v>1010.4229644316656</v>
      </c>
      <c r="EO87" s="62">
        <f ca="1">AVERAGE(OFFSET($EN$3,0,0,'Données projet'!$E$15+1,1))-AVERAGE(OFFSET($H$3,0,0,'Données projet'!$E$15+1,1))</f>
        <v>548.17046467409421</v>
      </c>
      <c r="EP87" s="62">
        <f t="shared" si="100"/>
        <v>341.9250949809848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0.63861502663596592</v>
      </c>
      <c r="EX87" s="23">
        <f>EXP(-LN(2)/2)*EX86+(1-EXP(-LN(2)/2))/(LN(2)/2)*ER87*EU87*VLOOKUP('Données projet'!$B$15,Paramètres!$A$1:$I$89,3,0)*0.475*44/12</f>
        <v>2.0837164810917908E-7</v>
      </c>
      <c r="EY87" s="24">
        <f t="shared" si="75"/>
        <v>0.63861523500761408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908.47823405393478</v>
      </c>
      <c r="S88" s="62">
        <f ca="1">AVERAGE(OFFSET($R$3,0,0,'Données projet'!$E$9+1,1))-AVERAGE(OFFSET($H$3,0,0,'Données projet'!$E$9+1,1))</f>
        <v>472.83070477639035</v>
      </c>
      <c r="T88" s="62">
        <f t="shared" si="88"/>
        <v>297.32483725004136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1.987127562677804</v>
      </c>
      <c r="AB88" s="23">
        <f>EXP(-LN(2)/2)*AB87+(1-EXP(-LN(2)/2))/(LN(2)/2)*V88*Y88*VLOOKUP('Données projet'!$B$9,Paramètres!$A$1:$I$89,3,0)*0.475*44/12</f>
        <v>7.8550001659467562E-8</v>
      </c>
      <c r="AC88" s="24">
        <f t="shared" si="57"/>
        <v>1.9871276412278056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330.56400000000008</v>
      </c>
      <c r="AK88" s="14">
        <f t="shared" si="89"/>
        <v>77.547227137682853</v>
      </c>
      <c r="AL88" s="22">
        <f t="shared" si="58"/>
        <v>710.79372059813113</v>
      </c>
      <c r="AM88" s="62">
        <f t="shared" si="59"/>
        <v>983.4161813264127</v>
      </c>
      <c r="AN88" s="62">
        <f ca="1">AVERAGE(OFFSET($AM$3,0,0,'Données projet'!$E$10+1,1))-AVERAGE(OFFSET($H$3,0,0,'Données projet'!$E$10+1,1))</f>
        <v>520.80494930257237</v>
      </c>
      <c r="AO88" s="62">
        <f t="shared" si="90"/>
        <v>325.72635759450861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2.2269533030009878</v>
      </c>
      <c r="AW88" s="23">
        <f>EXP(-LN(2)/2)*AW87+(1-EXP(-LN(2)/2))/(LN(2)/2)*AQ88*AT88*VLOOKUP('Données projet'!$B$10,Paramètres!$A$1:$I$89,3,0)*0.475*44/12</f>
        <v>8.8030174273541082E-8</v>
      </c>
      <c r="AX88" s="23">
        <f t="shared" si="60"/>
        <v>2.2269533910311621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6.3550942286383367E-14</v>
      </c>
      <c r="BF88" s="14">
        <f t="shared" si="91"/>
        <v>1.0064464192543978E-12</v>
      </c>
      <c r="BG88" s="22">
        <f t="shared" si="61"/>
        <v>1.8635787380168604E-12</v>
      </c>
      <c r="BH88" s="62">
        <f t="shared" si="62"/>
        <v>272.62246072828339</v>
      </c>
      <c r="BI88" s="62">
        <f ca="1">AVERAGE(OFFSET($BH$3,0,0,'Données projet'!$E$11+1,1))-AVERAGE(OFFSET($H$3,0,0,'Données projet'!$E$11+1,1))</f>
        <v>321.60602866722138</v>
      </c>
      <c r="BJ88" s="62">
        <f t="shared" si="92"/>
        <v>375.18886653687389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4.3087388051140936</v>
      </c>
      <c r="BQ88" s="23">
        <f>EXP(-LN(2)/25)*BQ87+(1-EXP(-LN(2)/25))/(LN(2)/25)*Calculateur!BL88*Calculateur!BN88*VLOOKUP('Données projet'!$B$11,Paramètres!$A$1:$I$89,3,0)*0.475*44/12</f>
        <v>3.4761281392153842</v>
      </c>
      <c r="BR88" s="23">
        <f>EXP(-LN(2)/2)*BR87+(1-EXP(-LN(2)/2))/(LN(2)/2)*BL88*BO88*VLOOKUP('Données projet'!$B$11,Paramètres!$A$1:$I$89,3,0)*0.475*44/12</f>
        <v>3.8574529597842437E-8</v>
      </c>
      <c r="BS88" s="24">
        <f t="shared" si="63"/>
        <v>7.7848669829040071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2.8421709430404007E-14</v>
      </c>
      <c r="BZ88" s="14">
        <f>BY88*VLOOKUP('Données projet'!$B$12,Paramètres!$A$1:$I$89,3,0)*VLOOKUP('Données projet'!$B$12,Paramètres!$A$1:$I$89,5,0)</f>
        <v>1.5518253349000589E-14</v>
      </c>
      <c r="CA88" s="14">
        <f t="shared" si="93"/>
        <v>2.8958815659671149E-13</v>
      </c>
      <c r="CB88" s="22">
        <f t="shared" si="64"/>
        <v>5.3139366398878183E-13</v>
      </c>
      <c r="CC88" s="62">
        <f t="shared" si="65"/>
        <v>272.62246072828202</v>
      </c>
      <c r="CD88" s="62">
        <f ca="1">AVERAGE(OFFSET($CC$3,0,0,'Données projet'!$E$12+1,1))-AVERAGE(OFFSET($H$3,0,0,'Données projet'!$E$12+1,1))</f>
        <v>182.44246264133781</v>
      </c>
      <c r="CE88" s="62">
        <f t="shared" si="94"/>
        <v>262.5818213397049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1.4498889316182166</v>
      </c>
      <c r="CL88" s="23">
        <f>EXP(-LN(2)/25)*CL87+(1-EXP(-LN(2)/25))/(LN(2)/25)*Calculateur!CG88*Calculateur!CI88*VLOOKUP('Données projet'!$B$12,Paramètres!$A$1:$I$89,3,0)*0.475*44/12</f>
        <v>3.9390892794482588</v>
      </c>
      <c r="CM88" s="23">
        <f>EXP(-LN(2)/2)*CM87+(1-EXP(-LN(2)/2))/(LN(2)/2)*CG88*CJ88*VLOOKUP('Données projet'!$B$12,Paramètres!$A$1:$I$89,3,0)*0.475*44/12</f>
        <v>1.5902790908906412E-11</v>
      </c>
      <c r="CN88" s="24">
        <f t="shared" si="66"/>
        <v>5.3889782110823781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17.5</v>
      </c>
      <c r="CT88" s="13">
        <f>IF('Données projet'!$A$140&gt;35,CT87+CS88-DB87,IF(A88&lt;'Données projet'!$A$140,$CQ$205^A88,IF(A88='Données projet'!$A$140,'Données projet'!$B$140,CT87+CS88-DB87)))</f>
        <v>585.49999999999989</v>
      </c>
      <c r="CU88" s="18">
        <f>CT88*VLOOKUP('Données projet'!$B$13,Paramètres!$A$1:$I$89,3,0)*VLOOKUP('Données projet'!$B$13,Paramètres!$A$1:$I$89,5,0)</f>
        <v>274.01399999999995</v>
      </c>
      <c r="CV88" s="14">
        <f t="shared" si="95"/>
        <v>65.700408366571935</v>
      </c>
      <c r="CW88" s="22">
        <f t="shared" si="67"/>
        <v>591.66926123844598</v>
      </c>
      <c r="CX88" s="62">
        <f t="shared" si="68"/>
        <v>864.29172196672744</v>
      </c>
      <c r="CY88" s="62">
        <f ca="1">AVERAGE(OFFSET($CX$3,0,0,'Données projet'!$E$13+1,1))-AVERAGE(OFFSET($H$3,0,0,'Données projet'!$E$13+1,1))</f>
        <v>426.87921482911719</v>
      </c>
      <c r="CZ88" s="62">
        <f t="shared" si="96"/>
        <v>313.49594674441835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326</v>
      </c>
      <c r="DM88" s="13">
        <f>VLOOKUP(A88,'Données projet'!$A$165:$I$185,9,0)</f>
        <v>6.8</v>
      </c>
      <c r="DN88" s="13">
        <f t="array" ref="DN88">INDEX(DM:DM,MIN(IF(ISNUMBER(DM88:DM284),ROW(DM88:DM284),"")))</f>
        <v>6.8</v>
      </c>
      <c r="DO88" s="13">
        <f>IF('Données projet'!$A$166&gt;35,DO87+DN88-DW87,IF(A88&lt;'Données projet'!$A$166,$DL$205^A88,IF(A88='Données projet'!$A$166,'Données projet'!$B$166,DO87+DN88-DW87)))</f>
        <v>326.00000000000006</v>
      </c>
      <c r="DP88" s="18">
        <f>DO88*VLOOKUP('Données projet'!$B$14,Paramètres!$A$1:$I$89,3,0)*VLOOKUP('Données projet'!$B$14,Paramètres!$A$1:$I$89,5,0)</f>
        <v>315.30720000000008</v>
      </c>
      <c r="DQ88" s="14">
        <f t="shared" si="97"/>
        <v>74.376087390025049</v>
      </c>
      <c r="DR88" s="22">
        <f t="shared" si="70"/>
        <v>678.69839220429378</v>
      </c>
      <c r="DS88" s="62">
        <f t="shared" si="71"/>
        <v>951.32085293257524</v>
      </c>
      <c r="DT88" s="62">
        <f ca="1">AVERAGE(OFFSET($DS$3,0,0,'Données projet'!$E$14+1,1))-AVERAGE(OFFSET($H$3,0,0,'Données projet'!$E$14+1,1))</f>
        <v>500.25828825677058</v>
      </c>
      <c r="DU88" s="62">
        <f t="shared" si="98"/>
        <v>313.56299786481338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28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0.5581366382500963</v>
      </c>
      <c r="EC88" s="23">
        <f>EXP(-LN(2)/2)*EC87+(1-EXP(-LN(2)/2))/(LN(2)/2)*DW88*DZ88*VLOOKUP('Données projet'!$B$14,Paramètres!$A$1:$I$89,3,0)*0.475*44/12</f>
        <v>1.3239336715755212E-7</v>
      </c>
      <c r="ED88" s="24">
        <f t="shared" si="72"/>
        <v>0.55813677064346345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326</v>
      </c>
      <c r="EH88" s="13">
        <f>VLOOKUP(A88,'Données projet'!$A$191:$I$211,9,0)</f>
        <v>6.8</v>
      </c>
      <c r="EI88" s="13">
        <f t="array" ref="EI88">INDEX(EH:EH,MIN(IF(ISNUMBER(EH88:EH284),ROW(EH88:EH284),"")))</f>
        <v>6.8</v>
      </c>
      <c r="EJ88" s="13">
        <f>IF('Données projet'!$A$192&gt;35,EJ87+EI88-ER87,IF(A88&lt;'Données projet'!$A$192,$EG$205^A88,IF(A88='Données projet'!$A$192,'Données projet'!$B$192,EJ87+EI88-ER87)))</f>
        <v>326.00000000000006</v>
      </c>
      <c r="EK88" s="18">
        <f>EJ88*VLOOKUP('Données projet'!$B$15,Paramètres!$A$1:$I$89,3,0)*VLOOKUP('Données projet'!$B$15,Paramètres!$A$1:$I$89,5,0)</f>
        <v>350.90640000000008</v>
      </c>
      <c r="EL88" s="14">
        <f t="shared" si="99"/>
        <v>81.749120308346747</v>
      </c>
      <c r="EM88" s="22">
        <f t="shared" si="73"/>
        <v>753.54169787037063</v>
      </c>
      <c r="EN88" s="62">
        <f t="shared" si="74"/>
        <v>1026.1641585986522</v>
      </c>
      <c r="EO88" s="62">
        <f ca="1">AVERAGE(OFFSET($EN$3,0,0,'Données projet'!$E$15+1,1))-AVERAGE(OFFSET($H$3,0,0,'Données projet'!$E$15+1,1))</f>
        <v>548.17046467409421</v>
      </c>
      <c r="EP88" s="62">
        <f t="shared" si="100"/>
        <v>341.9250949809848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28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0.62115206514930077</v>
      </c>
      <c r="EX88" s="23">
        <f>EXP(-LN(2)/2)*EX87+(1-EXP(-LN(2)/2))/(LN(2)/2)*ER88*EU88*VLOOKUP('Données projet'!$B$15,Paramètres!$A$1:$I$89,3,0)*0.475*44/12</f>
        <v>1.4734100538501757E-7</v>
      </c>
      <c r="EY88" s="24">
        <f t="shared" si="75"/>
        <v>0.62115221249030617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867.62080338509327</v>
      </c>
      <c r="S89" s="62">
        <f ca="1">AVERAGE(OFFSET($R$3,0,0,'Données projet'!$E$9+1,1))-AVERAGE(OFFSET($H$3,0,0,'Données projet'!$E$9+1,1))</f>
        <v>472.83070477639035</v>
      </c>
      <c r="T89" s="62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1.9327894549778826</v>
      </c>
      <c r="AB89" s="23">
        <f>EXP(-LN(2)/2)*AB88+(1-EXP(-LN(2)/2))/(LN(2)/2)*V89*Y89*VLOOKUP('Données projet'!$B$9,Paramètres!$A$1:$I$89,3,0)*0.475*44/12</f>
        <v>5.5543238835624075E-8</v>
      </c>
      <c r="AC89" s="24">
        <f t="shared" si="57"/>
        <v>1.9327895105211215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308.66160000000008</v>
      </c>
      <c r="AK89" s="14">
        <f t="shared" si="89"/>
        <v>72.98924863505313</v>
      </c>
      <c r="AL89" s="22">
        <f t="shared" si="58"/>
        <v>664.70856137271755</v>
      </c>
      <c r="AM89" s="62">
        <f t="shared" si="59"/>
        <v>937.69030943812231</v>
      </c>
      <c r="AN89" s="62">
        <f ca="1">AVERAGE(OFFSET($AM$3,0,0,'Données projet'!$E$10+1,1))-AVERAGE(OFFSET($H$3,0,0,'Données projet'!$E$10+1,1))</f>
        <v>520.80494930257237</v>
      </c>
      <c r="AO89" s="62">
        <f t="shared" si="90"/>
        <v>325.72635759450861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2.1660571478200414</v>
      </c>
      <c r="AW89" s="23">
        <f>EXP(-LN(2)/2)*AW88+(1-EXP(-LN(2)/2))/(LN(2)/2)*AQ89*AT89*VLOOKUP('Données projet'!$B$10,Paramètres!$A$1:$I$89,3,0)*0.475*44/12</f>
        <v>6.2246733177854458E-8</v>
      </c>
      <c r="AX89" s="23">
        <f t="shared" si="60"/>
        <v>2.1660572100667745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6.3550942286383367E-14</v>
      </c>
      <c r="BF89" s="14">
        <f t="shared" si="91"/>
        <v>1.0064464192543978E-12</v>
      </c>
      <c r="BG89" s="22">
        <f t="shared" si="61"/>
        <v>1.8635787380168604E-12</v>
      </c>
      <c r="BH89" s="62">
        <f t="shared" si="62"/>
        <v>272.98174806540658</v>
      </c>
      <c r="BI89" s="62">
        <f ca="1">AVERAGE(OFFSET($BH$3,0,0,'Données projet'!$E$11+1,1))-AVERAGE(OFFSET($H$3,0,0,'Données projet'!$E$11+1,1))</f>
        <v>321.60602866722138</v>
      </c>
      <c r="BJ89" s="62">
        <f t="shared" si="92"/>
        <v>375.18886653687389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4.2242470652169768</v>
      </c>
      <c r="BQ89" s="23">
        <f>EXP(-LN(2)/25)*BQ88+(1-EXP(-LN(2)/25))/(LN(2)/25)*Calculateur!BL89*Calculateur!BN89*VLOOKUP('Données projet'!$B$11,Paramètres!$A$1:$I$89,3,0)*0.475*44/12</f>
        <v>3.3810732324469055</v>
      </c>
      <c r="BR89" s="23">
        <f>EXP(-LN(2)/2)*BR88+(1-EXP(-LN(2)/2))/(LN(2)/2)*BL89*BO89*VLOOKUP('Données projet'!$B$11,Paramètres!$A$1:$I$89,3,0)*0.475*44/12</f>
        <v>2.7276311459715573E-8</v>
      </c>
      <c r="BS89" s="24">
        <f t="shared" si="63"/>
        <v>7.6053203249401937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2.8421709430404007E-14</v>
      </c>
      <c r="BZ89" s="14">
        <f>BY89*VLOOKUP('Données projet'!$B$12,Paramètres!$A$1:$I$89,3,0)*VLOOKUP('Données projet'!$B$12,Paramètres!$A$1:$I$89,5,0)</f>
        <v>1.5518253349000589E-14</v>
      </c>
      <c r="CA89" s="14">
        <f t="shared" si="93"/>
        <v>2.8958815659671149E-13</v>
      </c>
      <c r="CB89" s="22">
        <f t="shared" si="64"/>
        <v>5.3139366398878183E-13</v>
      </c>
      <c r="CC89" s="62">
        <f t="shared" si="65"/>
        <v>272.98174806540521</v>
      </c>
      <c r="CD89" s="62">
        <f ca="1">AVERAGE(OFFSET($CC$3,0,0,'Données projet'!$E$12+1,1))-AVERAGE(OFFSET($H$3,0,0,'Données projet'!$E$12+1,1))</f>
        <v>182.44246264133781</v>
      </c>
      <c r="CE89" s="62">
        <f t="shared" si="94"/>
        <v>262.5818213397049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1.4214574940141098</v>
      </c>
      <c r="CL89" s="23">
        <f>EXP(-LN(2)/25)*CL88+(1-EXP(-LN(2)/25))/(LN(2)/25)*Calculateur!CG89*Calculateur!CI89*VLOOKUP('Données projet'!$B$12,Paramètres!$A$1:$I$89,3,0)*0.475*44/12</f>
        <v>3.8313746759540437</v>
      </c>
      <c r="CM89" s="23">
        <f>EXP(-LN(2)/2)*CM88+(1-EXP(-LN(2)/2))/(LN(2)/2)*CG89*CJ89*VLOOKUP('Données projet'!$B$12,Paramètres!$A$1:$I$89,3,0)*0.475*44/12</f>
        <v>1.1244971291479504E-11</v>
      </c>
      <c r="CN89" s="24">
        <f t="shared" si="66"/>
        <v>5.2528321699793983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17.5</v>
      </c>
      <c r="CT89" s="13">
        <f>IF('Données projet'!$A$140&gt;35,CT88+CS89-DB88,IF(A89&lt;'Données projet'!$A$140,$CQ$205^A89,IF(A89='Données projet'!$A$140,'Données projet'!$B$140,CT88+CS89-DB88)))</f>
        <v>602.99999999999989</v>
      </c>
      <c r="CU89" s="18">
        <f>CT89*VLOOKUP('Données projet'!$B$13,Paramètres!$A$1:$I$89,3,0)*VLOOKUP('Données projet'!$B$13,Paramètres!$A$1:$I$89,5,0)</f>
        <v>282.20399999999995</v>
      </c>
      <c r="CV89" s="14">
        <f t="shared" si="95"/>
        <v>67.432564684485186</v>
      </c>
      <c r="CW89" s="22">
        <f t="shared" si="67"/>
        <v>608.9503501588116</v>
      </c>
      <c r="CX89" s="62">
        <f t="shared" si="68"/>
        <v>881.93209822421636</v>
      </c>
      <c r="CY89" s="62">
        <f ca="1">AVERAGE(OFFSET($CX$3,0,0,'Données projet'!$E$13+1,1))-AVERAGE(OFFSET($H$3,0,0,'Données projet'!$E$13+1,1))</f>
        <v>426.87921482911719</v>
      </c>
      <c r="CZ89" s="62">
        <f t="shared" si="96"/>
        <v>313.49594674441835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6.4</v>
      </c>
      <c r="DO89" s="13">
        <f>IF('Données projet'!$A$166&gt;35,DO88+DN89-DW88,IF(A89&lt;'Données projet'!$A$166,$DL$205^A89,IF(A89='Données projet'!$A$166,'Données projet'!$B$166,DO88+DN89-DW88)))</f>
        <v>304.40000000000003</v>
      </c>
      <c r="DP89" s="18">
        <f>DO89*VLOOKUP('Données projet'!$B$14,Paramètres!$A$1:$I$89,3,0)*VLOOKUP('Données projet'!$B$14,Paramètres!$A$1:$I$89,5,0)</f>
        <v>294.41568000000001</v>
      </c>
      <c r="DQ89" s="14">
        <f t="shared" si="97"/>
        <v>70.004498360393455</v>
      </c>
      <c r="DR89" s="22">
        <f t="shared" si="70"/>
        <v>634.69847731101868</v>
      </c>
      <c r="DS89" s="62">
        <f t="shared" si="71"/>
        <v>907.68022537642332</v>
      </c>
      <c r="DT89" s="62">
        <f ca="1">AVERAGE(OFFSET($DS$3,0,0,'Données projet'!$E$14+1,1))-AVERAGE(OFFSET($H$3,0,0,'Données projet'!$E$14+1,1))</f>
        <v>500.25828825677058</v>
      </c>
      <c r="DU89" s="62">
        <f t="shared" si="98"/>
        <v>313.56299786481338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0.54287436252601728</v>
      </c>
      <c r="EC89" s="23">
        <f>EXP(-LN(2)/2)*EC88+(1-EXP(-LN(2)/2))/(LN(2)/2)*DW89*DZ89*VLOOKUP('Données projet'!$B$14,Paramètres!$A$1:$I$89,3,0)*0.475*44/12</f>
        <v>9.3616247701225455E-8</v>
      </c>
      <c r="ED89" s="24">
        <f t="shared" si="72"/>
        <v>0.54287445614226504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6.4</v>
      </c>
      <c r="EJ89" s="13">
        <f>IF('Données projet'!$A$192&gt;35,EJ88+EI89-ER88,IF(A89&lt;'Données projet'!$A$192,$EG$205^A89,IF(A89='Données projet'!$A$192,'Données projet'!$B$192,EJ88+EI89-ER88)))</f>
        <v>304.40000000000003</v>
      </c>
      <c r="EK89" s="18">
        <f>EJ89*VLOOKUP('Données projet'!$B$15,Paramètres!$A$1:$I$89,3,0)*VLOOKUP('Données projet'!$B$15,Paramètres!$A$1:$I$89,5,0)</f>
        <v>327.65616</v>
      </c>
      <c r="EL89" s="14">
        <f t="shared" si="99"/>
        <v>76.94416793638409</v>
      </c>
      <c r="EM89" s="22">
        <f t="shared" si="73"/>
        <v>704.67890448920218</v>
      </c>
      <c r="EN89" s="62">
        <f t="shared" si="74"/>
        <v>977.66065255460694</v>
      </c>
      <c r="EO89" s="62">
        <f ca="1">AVERAGE(OFFSET($EN$3,0,0,'Données projet'!$E$15+1,1))-AVERAGE(OFFSET($H$3,0,0,'Données projet'!$E$15+1,1))</f>
        <v>548.17046467409421</v>
      </c>
      <c r="EP89" s="62">
        <f t="shared" si="100"/>
        <v>341.9250949809848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0.60416662926282572</v>
      </c>
      <c r="EX89" s="23">
        <f>EXP(-LN(2)/2)*EX88+(1-EXP(-LN(2)/2))/(LN(2)/2)*ER89*EU89*VLOOKUP('Données projet'!$B$15,Paramètres!$A$1:$I$89,3,0)*0.475*44/12</f>
        <v>1.0418582405458954E-7</v>
      </c>
      <c r="EY89" s="24">
        <f t="shared" si="75"/>
        <v>0.6041667334486498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880.19222049495841</v>
      </c>
      <c r="S90" s="62">
        <f ca="1">AVERAGE(OFFSET($R$3,0,0,'Données projet'!$E$9+1,1))-AVERAGE(OFFSET($H$3,0,0,'Données projet'!$E$9+1,1))</f>
        <v>472.83070477639035</v>
      </c>
      <c r="T90" s="62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1.8799372256905325</v>
      </c>
      <c r="AB90" s="23">
        <f>EXP(-LN(2)/2)*AB89+(1-EXP(-LN(2)/2))/(LN(2)/2)*V90*Y90*VLOOKUP('Données projet'!$B$9,Paramètres!$A$1:$I$89,3,0)*0.475*44/12</f>
        <v>3.9275000829733781E-8</v>
      </c>
      <c r="AC90" s="24">
        <f t="shared" si="57"/>
        <v>1.8799372649655333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315.15120000000002</v>
      </c>
      <c r="AK90" s="14">
        <f t="shared" si="89"/>
        <v>74.343571754005879</v>
      </c>
      <c r="AL90" s="22">
        <f t="shared" si="58"/>
        <v>678.37006080489357</v>
      </c>
      <c r="AM90" s="62">
        <f t="shared" si="59"/>
        <v>951.7048633753684</v>
      </c>
      <c r="AN90" s="62">
        <f ca="1">AVERAGE(OFFSET($AM$3,0,0,'Données projet'!$E$10+1,1))-AVERAGE(OFFSET($H$3,0,0,'Données projet'!$E$10+1,1))</f>
        <v>520.80494930257237</v>
      </c>
      <c r="AO90" s="62">
        <f t="shared" si="90"/>
        <v>325.72635759450861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2.1068262012049077</v>
      </c>
      <c r="AW90" s="23">
        <f>EXP(-LN(2)/2)*AW89+(1-EXP(-LN(2)/2))/(LN(2)/2)*AQ90*AT90*VLOOKUP('Données projet'!$B$10,Paramètres!$A$1:$I$89,3,0)*0.475*44/12</f>
        <v>4.4015087136770541E-8</v>
      </c>
      <c r="AX90" s="23">
        <f t="shared" si="60"/>
        <v>2.1068262452199948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6.3550942286383367E-14</v>
      </c>
      <c r="BF90" s="14">
        <f t="shared" si="91"/>
        <v>1.0064464192543978E-12</v>
      </c>
      <c r="BG90" s="22">
        <f t="shared" si="61"/>
        <v>1.8635787380168604E-12</v>
      </c>
      <c r="BH90" s="62">
        <f t="shared" si="62"/>
        <v>273.33480257047671</v>
      </c>
      <c r="BI90" s="62">
        <f ca="1">AVERAGE(OFFSET($BH$3,0,0,'Données projet'!$E$11+1,1))-AVERAGE(OFFSET($H$3,0,0,'Données projet'!$E$11+1,1))</f>
        <v>321.60602866722138</v>
      </c>
      <c r="BJ90" s="62">
        <f t="shared" si="92"/>
        <v>375.18886653687389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4.1414121568043702</v>
      </c>
      <c r="BQ90" s="23">
        <f>EXP(-LN(2)/25)*BQ89+(1-EXP(-LN(2)/25))/(LN(2)/25)*Calculateur!BL90*Calculateur!BN90*VLOOKUP('Données projet'!$B$11,Paramètres!$A$1:$I$89,3,0)*0.475*44/12</f>
        <v>3.2886176071027311</v>
      </c>
      <c r="BR90" s="23">
        <f>EXP(-LN(2)/2)*BR89+(1-EXP(-LN(2)/2))/(LN(2)/2)*BL90*BO90*VLOOKUP('Données projet'!$B$11,Paramètres!$A$1:$I$89,3,0)*0.475*44/12</f>
        <v>1.9287264798921218E-8</v>
      </c>
      <c r="BS90" s="24">
        <f t="shared" si="63"/>
        <v>7.4300297831943665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2.8421709430404007E-14</v>
      </c>
      <c r="BZ90" s="14">
        <f>BY90*VLOOKUP('Données projet'!$B$12,Paramètres!$A$1:$I$89,3,0)*VLOOKUP('Données projet'!$B$12,Paramètres!$A$1:$I$89,5,0)</f>
        <v>1.5518253349000589E-14</v>
      </c>
      <c r="CA90" s="14">
        <f t="shared" si="93"/>
        <v>2.8958815659671149E-13</v>
      </c>
      <c r="CB90" s="22">
        <f t="shared" si="64"/>
        <v>5.3139366398878183E-13</v>
      </c>
      <c r="CC90" s="62">
        <f t="shared" si="65"/>
        <v>273.33480257047535</v>
      </c>
      <c r="CD90" s="62">
        <f ca="1">AVERAGE(OFFSET($CC$3,0,0,'Données projet'!$E$12+1,1))-AVERAGE(OFFSET($H$3,0,0,'Données projet'!$E$12+1,1))</f>
        <v>182.44246264133781</v>
      </c>
      <c r="CE90" s="62">
        <f t="shared" si="94"/>
        <v>262.5818213397049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1.3935835795599549</v>
      </c>
      <c r="CL90" s="23">
        <f>EXP(-LN(2)/25)*CL89+(1-EXP(-LN(2)/25))/(LN(2)/25)*Calculateur!CG90*Calculateur!CI90*VLOOKUP('Données projet'!$B$12,Paramètres!$A$1:$I$89,3,0)*0.475*44/12</f>
        <v>3.7266055339568429</v>
      </c>
      <c r="CM90" s="23">
        <f>EXP(-LN(2)/2)*CM89+(1-EXP(-LN(2)/2))/(LN(2)/2)*CG90*CJ90*VLOOKUP('Données projet'!$B$12,Paramètres!$A$1:$I$89,3,0)*0.475*44/12</f>
        <v>7.951395454453206E-12</v>
      </c>
      <c r="CN90" s="24">
        <f t="shared" si="66"/>
        <v>5.1201891135247486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17.5</v>
      </c>
      <c r="CT90" s="13">
        <f>IF('Données projet'!$A$140&gt;35,CT89+CS90-DB89,IF(A90&lt;'Données projet'!$A$140,$CQ$205^A90,IF(A90='Données projet'!$A$140,'Données projet'!$B$140,CT89+CS90-DB89)))</f>
        <v>620.49999999999989</v>
      </c>
      <c r="CU90" s="18">
        <f>CT90*VLOOKUP('Données projet'!$B$13,Paramètres!$A$1:$I$89,3,0)*VLOOKUP('Données projet'!$B$13,Paramètres!$A$1:$I$89,5,0)</f>
        <v>290.39399999999995</v>
      </c>
      <c r="CV90" s="14">
        <f t="shared" si="95"/>
        <v>69.158878594433091</v>
      </c>
      <c r="CW90" s="22">
        <f t="shared" si="67"/>
        <v>626.22126355197076</v>
      </c>
      <c r="CX90" s="62">
        <f t="shared" si="68"/>
        <v>899.5560661224456</v>
      </c>
      <c r="CY90" s="62">
        <f ca="1">AVERAGE(OFFSET($CX$3,0,0,'Données projet'!$E$13+1,1))-AVERAGE(OFFSET($H$3,0,0,'Données projet'!$E$13+1,1))</f>
        <v>426.87921482911719</v>
      </c>
      <c r="CZ90" s="62">
        <f t="shared" si="96"/>
        <v>313.49594674441835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6.4</v>
      </c>
      <c r="DO90" s="13">
        <f>IF('Données projet'!$A$166&gt;35,DO89+DN90-DW89,IF(A90&lt;'Données projet'!$A$166,$DL$205^A90,IF(A90='Données projet'!$A$166,'Données projet'!$B$166,DO89+DN90-DW89)))</f>
        <v>310.8</v>
      </c>
      <c r="DP90" s="18">
        <f>DO90*VLOOKUP('Données projet'!$B$14,Paramètres!$A$1:$I$89,3,0)*VLOOKUP('Données projet'!$B$14,Paramètres!$A$1:$I$89,5,0)</f>
        <v>300.60576000000003</v>
      </c>
      <c r="DQ90" s="14">
        <f t="shared" si="97"/>
        <v>71.303439126782422</v>
      </c>
      <c r="DR90" s="22">
        <f t="shared" si="70"/>
        <v>647.74185514581279</v>
      </c>
      <c r="DS90" s="62">
        <f t="shared" si="71"/>
        <v>921.07665771628763</v>
      </c>
      <c r="DT90" s="62">
        <f ca="1">AVERAGE(OFFSET($DS$3,0,0,'Données projet'!$E$14+1,1))-AVERAGE(OFFSET($H$3,0,0,'Données projet'!$E$14+1,1))</f>
        <v>500.25828825677058</v>
      </c>
      <c r="DU90" s="62">
        <f t="shared" si="98"/>
        <v>313.56299786481338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0.52802943453422135</v>
      </c>
      <c r="EC90" s="23">
        <f>EXP(-LN(2)/2)*EC89+(1-EXP(-LN(2)/2))/(LN(2)/2)*DW90*DZ90*VLOOKUP('Données projet'!$B$14,Paramètres!$A$1:$I$89,3,0)*0.475*44/12</f>
        <v>6.619668357877606E-8</v>
      </c>
      <c r="ED90" s="24">
        <f t="shared" si="72"/>
        <v>0.52802950073090493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6.4</v>
      </c>
      <c r="EJ90" s="13">
        <f>IF('Données projet'!$A$192&gt;35,EJ89+EI90-ER89,IF(A90&lt;'Données projet'!$A$192,$EG$205^A90,IF(A90='Données projet'!$A$192,'Données projet'!$B$192,EJ89+EI90-ER89)))</f>
        <v>310.8</v>
      </c>
      <c r="EK90" s="18">
        <f>EJ90*VLOOKUP('Données projet'!$B$15,Paramètres!$A$1:$I$89,3,0)*VLOOKUP('Données projet'!$B$15,Paramètres!$A$1:$I$89,5,0)</f>
        <v>334.54512</v>
      </c>
      <c r="EL90" s="14">
        <f t="shared" si="99"/>
        <v>78.37187499534933</v>
      </c>
      <c r="EM90" s="22">
        <f t="shared" si="73"/>
        <v>719.16376628356682</v>
      </c>
      <c r="EN90" s="62">
        <f t="shared" si="74"/>
        <v>992.49856885404165</v>
      </c>
      <c r="EO90" s="62">
        <f ca="1">AVERAGE(OFFSET($EN$3,0,0,'Données projet'!$E$15+1,1))-AVERAGE(OFFSET($H$3,0,0,'Données projet'!$E$15+1,1))</f>
        <v>548.17046467409421</v>
      </c>
      <c r="EP90" s="62">
        <f t="shared" si="100"/>
        <v>341.9250949809848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0.5876456610138916</v>
      </c>
      <c r="EX90" s="23">
        <f>EXP(-LN(2)/2)*EX89+(1-EXP(-LN(2)/2))/(LN(2)/2)*ER90*EU90*VLOOKUP('Données projet'!$B$15,Paramètres!$A$1:$I$89,3,0)*0.475*44/12</f>
        <v>7.3670502692508785E-8</v>
      </c>
      <c r="EY90" s="24">
        <f t="shared" si="75"/>
        <v>0.58764573468439429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892.75240636626665</v>
      </c>
      <c r="S91" s="62">
        <f ca="1">AVERAGE(OFFSET($R$3,0,0,'Données projet'!$E$9+1,1))-AVERAGE(OFFSET($H$3,0,0,'Données projet'!$E$9+1,1))</f>
        <v>472.83070477639035</v>
      </c>
      <c r="T91" s="62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1.8285302433924229</v>
      </c>
      <c r="AB91" s="23">
        <f>EXP(-LN(2)/2)*AB90+(1-EXP(-LN(2)/2))/(LN(2)/2)*V91*Y91*VLOOKUP('Données projet'!$B$9,Paramètres!$A$1:$I$89,3,0)*0.475*44/12</f>
        <v>2.7771619417812037E-8</v>
      </c>
      <c r="AC91" s="24">
        <f t="shared" si="57"/>
        <v>1.8285302711640423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321.64080000000001</v>
      </c>
      <c r="AK91" s="14">
        <f t="shared" si="89"/>
        <v>75.694652325793228</v>
      </c>
      <c r="AL91" s="22">
        <f t="shared" si="58"/>
        <v>692.0259128007566</v>
      </c>
      <c r="AM91" s="62">
        <f t="shared" si="59"/>
        <v>965.7076451699503</v>
      </c>
      <c r="AN91" s="62">
        <f ca="1">AVERAGE(OFFSET($AM$3,0,0,'Données projet'!$E$10+1,1))-AVERAGE(OFFSET($H$3,0,0,'Données projet'!$E$10+1,1))</f>
        <v>520.80494930257237</v>
      </c>
      <c r="AO91" s="62">
        <f t="shared" si="90"/>
        <v>325.72635759450861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2.0492149279397847</v>
      </c>
      <c r="AW91" s="23">
        <f>EXP(-LN(2)/2)*AW90+(1-EXP(-LN(2)/2))/(LN(2)/2)*AQ91*AT91*VLOOKUP('Données projet'!$B$10,Paramètres!$A$1:$I$89,3,0)*0.475*44/12</f>
        <v>3.1123366588927229E-8</v>
      </c>
      <c r="AX91" s="23">
        <f t="shared" si="60"/>
        <v>2.0492149590631512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6.3550942286383367E-14</v>
      </c>
      <c r="BF91" s="14">
        <f t="shared" si="91"/>
        <v>1.0064464192543978E-12</v>
      </c>
      <c r="BG91" s="22">
        <f t="shared" si="61"/>
        <v>1.8635787380168604E-12</v>
      </c>
      <c r="BH91" s="62">
        <f t="shared" si="62"/>
        <v>273.68173236919557</v>
      </c>
      <c r="BI91" s="62">
        <f ca="1">AVERAGE(OFFSET($BH$3,0,0,'Données projet'!$E$11+1,1))-AVERAGE(OFFSET($H$3,0,0,'Données projet'!$E$11+1,1))</f>
        <v>321.60602866722138</v>
      </c>
      <c r="BJ91" s="62">
        <f t="shared" si="92"/>
        <v>375.18886653687389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4.0602015904214293</v>
      </c>
      <c r="BQ91" s="23">
        <f>EXP(-LN(2)/25)*BQ90+(1-EXP(-LN(2)/25))/(LN(2)/25)*Calculateur!BL91*Calculateur!BN91*VLOOKUP('Données projet'!$B$11,Paramètres!$A$1:$I$89,3,0)*0.475*44/12</f>
        <v>3.1986901856956234</v>
      </c>
      <c r="BR91" s="23">
        <f>EXP(-LN(2)/2)*BR90+(1-EXP(-LN(2)/2))/(LN(2)/2)*BL91*BO91*VLOOKUP('Données projet'!$B$11,Paramètres!$A$1:$I$89,3,0)*0.475*44/12</f>
        <v>1.3638155729857787E-8</v>
      </c>
      <c r="BS91" s="24">
        <f t="shared" si="63"/>
        <v>7.2588917897552081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2.8421709430404007E-14</v>
      </c>
      <c r="BZ91" s="14">
        <f>BY91*VLOOKUP('Données projet'!$B$12,Paramètres!$A$1:$I$89,3,0)*VLOOKUP('Données projet'!$B$12,Paramètres!$A$1:$I$89,5,0)</f>
        <v>1.5518253349000589E-14</v>
      </c>
      <c r="CA91" s="14">
        <f t="shared" si="93"/>
        <v>2.8958815659671149E-13</v>
      </c>
      <c r="CB91" s="22">
        <f t="shared" si="64"/>
        <v>5.3139366398878183E-13</v>
      </c>
      <c r="CC91" s="62">
        <f t="shared" si="65"/>
        <v>273.68173236919421</v>
      </c>
      <c r="CD91" s="62">
        <f ca="1">AVERAGE(OFFSET($CC$3,0,0,'Données projet'!$E$12+1,1))-AVERAGE(OFFSET($H$3,0,0,'Données projet'!$E$12+1,1))</f>
        <v>182.44246264133781</v>
      </c>
      <c r="CE91" s="62">
        <f t="shared" si="94"/>
        <v>262.5818213397049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1.3662562555668369</v>
      </c>
      <c r="CL91" s="23">
        <f>EXP(-LN(2)/25)*CL90+(1-EXP(-LN(2)/25))/(LN(2)/25)*Calculateur!CG91*Calculateur!CI91*VLOOKUP('Données projet'!$B$12,Paramètres!$A$1:$I$89,3,0)*0.475*44/12</f>
        <v>3.6247013096571252</v>
      </c>
      <c r="CM91" s="23">
        <f>EXP(-LN(2)/2)*CM90+(1-EXP(-LN(2)/2))/(LN(2)/2)*CG91*CJ91*VLOOKUP('Données projet'!$B$12,Paramètres!$A$1:$I$89,3,0)*0.475*44/12</f>
        <v>5.6224856457397518E-12</v>
      </c>
      <c r="CN91" s="24">
        <f t="shared" si="66"/>
        <v>4.9909575652295839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17.5</v>
      </c>
      <c r="CT91" s="13">
        <f>IF('Données projet'!$A$140&gt;35,CT90+CS91-DB90,IF(A91&lt;'Données projet'!$A$140,$CQ$205^A91,IF(A91='Données projet'!$A$140,'Données projet'!$B$140,CT90+CS91-DB90)))</f>
        <v>637.99999999999989</v>
      </c>
      <c r="CU91" s="18">
        <f>CT91*VLOOKUP('Données projet'!$B$13,Paramètres!$A$1:$I$89,3,0)*VLOOKUP('Données projet'!$B$13,Paramètres!$A$1:$I$89,5,0)</f>
        <v>298.58399999999995</v>
      </c>
      <c r="CV91" s="14">
        <f t="shared" si="95"/>
        <v>70.879533797607607</v>
      </c>
      <c r="CW91" s="22">
        <f t="shared" si="67"/>
        <v>643.48232136416652</v>
      </c>
      <c r="CX91" s="62">
        <f t="shared" si="68"/>
        <v>917.16405373336022</v>
      </c>
      <c r="CY91" s="62">
        <f ca="1">AVERAGE(OFFSET($CX$3,0,0,'Données projet'!$E$13+1,1))-AVERAGE(OFFSET($H$3,0,0,'Données projet'!$E$13+1,1))</f>
        <v>426.87921482911719</v>
      </c>
      <c r="CZ91" s="62">
        <f t="shared" si="96"/>
        <v>313.49594674441835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6.4</v>
      </c>
      <c r="DO91" s="13">
        <f>IF('Données projet'!$A$166&gt;35,DO90+DN91-DW90,IF(A91&lt;'Données projet'!$A$166,$DL$205^A91,IF(A91='Données projet'!$A$166,'Données projet'!$B$166,DO90+DN91-DW90)))</f>
        <v>317.2</v>
      </c>
      <c r="DP91" s="18">
        <f>DO91*VLOOKUP('Données projet'!$B$14,Paramètres!$A$1:$I$89,3,0)*VLOOKUP('Données projet'!$B$14,Paramètres!$A$1:$I$89,5,0)</f>
        <v>306.79584</v>
      </c>
      <c r="DQ91" s="14">
        <f t="shared" si="97"/>
        <v>72.599269943528554</v>
      </c>
      <c r="DR91" s="22">
        <f t="shared" si="70"/>
        <v>660.77981648497882</v>
      </c>
      <c r="DS91" s="62">
        <f t="shared" si="71"/>
        <v>934.46154885417252</v>
      </c>
      <c r="DT91" s="62">
        <f ca="1">AVERAGE(OFFSET($DS$3,0,0,'Données projet'!$E$14+1,1))-AVERAGE(OFFSET($H$3,0,0,'Données projet'!$E$14+1,1))</f>
        <v>500.25828825677058</v>
      </c>
      <c r="DU91" s="62">
        <f t="shared" si="98"/>
        <v>313.56299786481338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0.51359044187902192</v>
      </c>
      <c r="EC91" s="23">
        <f>EXP(-LN(2)/2)*EC90+(1-EXP(-LN(2)/2))/(LN(2)/2)*DW91*DZ91*VLOOKUP('Données projet'!$B$14,Paramètres!$A$1:$I$89,3,0)*0.475*44/12</f>
        <v>4.6808123850612728E-8</v>
      </c>
      <c r="ED91" s="24">
        <f t="shared" si="72"/>
        <v>0.51359048868714574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6.4</v>
      </c>
      <c r="EJ91" s="13">
        <f>IF('Données projet'!$A$192&gt;35,EJ90+EI91-ER90,IF(A91&lt;'Données projet'!$A$192,$EG$205^A91,IF(A91='Données projet'!$A$192,'Données projet'!$B$192,EJ90+EI91-ER90)))</f>
        <v>317.2</v>
      </c>
      <c r="EK91" s="18">
        <f>EJ91*VLOOKUP('Données projet'!$B$15,Paramètres!$A$1:$I$89,3,0)*VLOOKUP('Données projet'!$B$15,Paramètres!$A$1:$I$89,5,0)</f>
        <v>341.43407999999994</v>
      </c>
      <c r="EL91" s="14">
        <f t="shared" si="99"/>
        <v>79.796163809870151</v>
      </c>
      <c r="EM91" s="22">
        <f t="shared" si="73"/>
        <v>733.64267463552369</v>
      </c>
      <c r="EN91" s="62">
        <f t="shared" si="74"/>
        <v>1007.3244070047174</v>
      </c>
      <c r="EO91" s="62">
        <f ca="1">AVERAGE(OFFSET($EN$3,0,0,'Données projet'!$E$15+1,1))-AVERAGE(OFFSET($H$3,0,0,'Données projet'!$E$15+1,1))</f>
        <v>548.17046467409421</v>
      </c>
      <c r="EP91" s="62">
        <f t="shared" si="100"/>
        <v>341.9250949809848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0.57157645951052449</v>
      </c>
      <c r="EX91" s="23">
        <f>EXP(-LN(2)/2)*EX90+(1-EXP(-LN(2)/2))/(LN(2)/2)*ER91*EU91*VLOOKUP('Données projet'!$B$15,Paramètres!$A$1:$I$89,3,0)*0.475*44/12</f>
        <v>5.209291202729477E-8</v>
      </c>
      <c r="EY91" s="24">
        <f t="shared" si="75"/>
        <v>0.57157651160343648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905.30158215487222</v>
      </c>
      <c r="S92" s="62">
        <f ca="1">AVERAGE(OFFSET($R$3,0,0,'Données projet'!$E$9+1,1))-AVERAGE(OFFSET($H$3,0,0,'Données projet'!$E$9+1,1))</f>
        <v>472.83070477639035</v>
      </c>
      <c r="T92" s="62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1.7785289877286308</v>
      </c>
      <c r="AB92" s="23">
        <f>EXP(-LN(2)/2)*AB91+(1-EXP(-LN(2)/2))/(LN(2)/2)*V92*Y92*VLOOKUP('Données projet'!$B$9,Paramètres!$A$1:$I$89,3,0)*0.475*44/12</f>
        <v>1.963750041486689E-8</v>
      </c>
      <c r="AC92" s="24">
        <f t="shared" si="57"/>
        <v>1.7785290073661313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328.13039999999995</v>
      </c>
      <c r="AK92" s="14">
        <f t="shared" si="89"/>
        <v>77.042563313388285</v>
      </c>
      <c r="AL92" s="22">
        <f t="shared" si="58"/>
        <v>705.67624443748446</v>
      </c>
      <c r="AM92" s="62">
        <f t="shared" si="59"/>
        <v>979.6988881490081</v>
      </c>
      <c r="AN92" s="62">
        <f ca="1">AVERAGE(OFFSET($AM$3,0,0,'Données projet'!$E$10+1,1))-AVERAGE(OFFSET($H$3,0,0,'Données projet'!$E$10+1,1))</f>
        <v>520.80494930257237</v>
      </c>
      <c r="AO92" s="62">
        <f t="shared" si="90"/>
        <v>325.72635759450861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1.9931790379717418</v>
      </c>
      <c r="AW92" s="23">
        <f>EXP(-LN(2)/2)*AW91+(1-EXP(-LN(2)/2))/(LN(2)/2)*AQ92*AT92*VLOOKUP('Données projet'!$B$10,Paramètres!$A$1:$I$89,3,0)*0.475*44/12</f>
        <v>2.2007543568385271E-8</v>
      </c>
      <c r="AX92" s="23">
        <f t="shared" si="60"/>
        <v>1.9931790599792854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6.3550942286383367E-14</v>
      </c>
      <c r="BF92" s="14">
        <f t="shared" si="91"/>
        <v>1.0064464192543978E-12</v>
      </c>
      <c r="BG92" s="22">
        <f t="shared" si="61"/>
        <v>1.8635787380168604E-12</v>
      </c>
      <c r="BH92" s="62">
        <f t="shared" si="62"/>
        <v>274.02264371152546</v>
      </c>
      <c r="BI92" s="62">
        <f ca="1">AVERAGE(OFFSET($BH$3,0,0,'Données projet'!$E$11+1,1))-AVERAGE(OFFSET($H$3,0,0,'Données projet'!$E$11+1,1))</f>
        <v>321.60602866722138</v>
      </c>
      <c r="BJ92" s="62">
        <f t="shared" si="92"/>
        <v>375.18886653687389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3.9805835137117032</v>
      </c>
      <c r="BQ92" s="23">
        <f>EXP(-LN(2)/25)*BQ91+(1-EXP(-LN(2)/25))/(LN(2)/25)*Calculateur!BL92*Calculateur!BN92*VLOOKUP('Données projet'!$B$11,Paramètres!$A$1:$I$89,3,0)*0.475*44/12</f>
        <v>3.1112218343559706</v>
      </c>
      <c r="BR92" s="23">
        <f>EXP(-LN(2)/2)*BR91+(1-EXP(-LN(2)/2))/(LN(2)/2)*BL92*BO92*VLOOKUP('Données projet'!$B$11,Paramètres!$A$1:$I$89,3,0)*0.475*44/12</f>
        <v>9.6436323994606092E-9</v>
      </c>
      <c r="BS92" s="24">
        <f t="shared" si="63"/>
        <v>7.0918053577113058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2.8421709430404007E-14</v>
      </c>
      <c r="BZ92" s="14">
        <f>BY92*VLOOKUP('Données projet'!$B$12,Paramètres!$A$1:$I$89,3,0)*VLOOKUP('Données projet'!$B$12,Paramètres!$A$1:$I$89,5,0)</f>
        <v>1.5518253349000589E-14</v>
      </c>
      <c r="CA92" s="14">
        <f t="shared" si="93"/>
        <v>2.8958815659671149E-13</v>
      </c>
      <c r="CB92" s="22">
        <f t="shared" si="64"/>
        <v>5.3139366398878183E-13</v>
      </c>
      <c r="CC92" s="62">
        <f t="shared" si="65"/>
        <v>274.0226437115241</v>
      </c>
      <c r="CD92" s="62">
        <f ca="1">AVERAGE(OFFSET($CC$3,0,0,'Données projet'!$E$12+1,1))-AVERAGE(OFFSET($H$3,0,0,'Données projet'!$E$12+1,1))</f>
        <v>182.44246264133781</v>
      </c>
      <c r="CE92" s="62">
        <f t="shared" si="94"/>
        <v>262.5818213397049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1.3394648037292023</v>
      </c>
      <c r="CL92" s="23">
        <f>EXP(-LN(2)/25)*CL91+(1-EXP(-LN(2)/25))/(LN(2)/25)*Calculateur!CG92*Calculateur!CI92*VLOOKUP('Données projet'!$B$12,Paramètres!$A$1:$I$89,3,0)*0.475*44/12</f>
        <v>3.5255836617297938</v>
      </c>
      <c r="CM92" s="23">
        <f>EXP(-LN(2)/2)*CM91+(1-EXP(-LN(2)/2))/(LN(2)/2)*CG92*CJ92*VLOOKUP('Données projet'!$B$12,Paramètres!$A$1:$I$89,3,0)*0.475*44/12</f>
        <v>3.975697727226603E-12</v>
      </c>
      <c r="CN92" s="24">
        <f t="shared" si="66"/>
        <v>4.8650484654629711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17.5</v>
      </c>
      <c r="CT92" s="13">
        <f>IF('Données projet'!$A$140&gt;35,CT91+CS92-DB91,IF(A92&lt;'Données projet'!$A$140,$CQ$205^A92,IF(A92='Données projet'!$A$140,'Données projet'!$B$140,CT91+CS92-DB91)))</f>
        <v>655.49999999999989</v>
      </c>
      <c r="CU92" s="18">
        <f>CT92*VLOOKUP('Données projet'!$B$13,Paramètres!$A$1:$I$89,3,0)*VLOOKUP('Données projet'!$B$13,Paramètres!$A$1:$I$89,5,0)</f>
        <v>306.77399999999994</v>
      </c>
      <c r="CV92" s="14">
        <f t="shared" si="95"/>
        <v>72.594703343999058</v>
      </c>
      <c r="CW92" s="22">
        <f t="shared" si="67"/>
        <v>660.73382499079833</v>
      </c>
      <c r="CX92" s="62">
        <f t="shared" si="68"/>
        <v>934.75646870232185</v>
      </c>
      <c r="CY92" s="62">
        <f ca="1">AVERAGE(OFFSET($CX$3,0,0,'Données projet'!$E$13+1,1))-AVERAGE(OFFSET($H$3,0,0,'Données projet'!$E$13+1,1))</f>
        <v>426.87921482911719</v>
      </c>
      <c r="CZ92" s="62">
        <f t="shared" si="96"/>
        <v>313.49594674441835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6.4</v>
      </c>
      <c r="DO92" s="13">
        <f>IF('Données projet'!$A$166&gt;35,DO91+DN92-DW91,IF(A92&lt;'Données projet'!$A$166,$DL$205^A92,IF(A92='Données projet'!$A$166,'Données projet'!$B$166,DO91+DN92-DW91)))</f>
        <v>323.59999999999997</v>
      </c>
      <c r="DP92" s="18">
        <f>DO92*VLOOKUP('Données projet'!$B$14,Paramètres!$A$1:$I$89,3,0)*VLOOKUP('Données projet'!$B$14,Paramètres!$A$1:$I$89,5,0)</f>
        <v>312.98591999999996</v>
      </c>
      <c r="DQ92" s="14">
        <f t="shared" si="97"/>
        <v>73.892060789929147</v>
      </c>
      <c r="DR92" s="22">
        <f t="shared" si="70"/>
        <v>673.81248320912653</v>
      </c>
      <c r="DS92" s="62">
        <f t="shared" si="71"/>
        <v>947.83512692065005</v>
      </c>
      <c r="DT92" s="62">
        <f ca="1">AVERAGE(OFFSET($DS$3,0,0,'Données projet'!$E$14+1,1))-AVERAGE(OFFSET($H$3,0,0,'Données projet'!$E$14+1,1))</f>
        <v>500.25828825677058</v>
      </c>
      <c r="DU92" s="62">
        <f t="shared" si="98"/>
        <v>313.56299786481338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0.49954628423729253</v>
      </c>
      <c r="EC92" s="23">
        <f>EXP(-LN(2)/2)*EC91+(1-EXP(-LN(2)/2))/(LN(2)/2)*DW92*DZ92*VLOOKUP('Données projet'!$B$14,Paramètres!$A$1:$I$89,3,0)*0.475*44/12</f>
        <v>3.309834178938803E-8</v>
      </c>
      <c r="ED92" s="24">
        <f t="shared" si="72"/>
        <v>0.49954631733563432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6.4</v>
      </c>
      <c r="EJ92" s="13">
        <f>IF('Données projet'!$A$192&gt;35,EJ91+EI92-ER91,IF(A92&lt;'Données projet'!$A$192,$EG$205^A92,IF(A92='Données projet'!$A$192,'Données projet'!$B$192,EJ91+EI92-ER91)))</f>
        <v>323.59999999999997</v>
      </c>
      <c r="EK92" s="18">
        <f>EJ92*VLOOKUP('Données projet'!$B$15,Paramètres!$A$1:$I$89,3,0)*VLOOKUP('Données projet'!$B$15,Paramètres!$A$1:$I$89,5,0)</f>
        <v>348.32303999999993</v>
      </c>
      <c r="EL92" s="14">
        <f t="shared" si="99"/>
        <v>81.217111296415496</v>
      </c>
      <c r="EM92" s="22">
        <f t="shared" si="73"/>
        <v>748.11576350792348</v>
      </c>
      <c r="EN92" s="62">
        <f t="shared" si="74"/>
        <v>1022.1384072194471</v>
      </c>
      <c r="EO92" s="62">
        <f ca="1">AVERAGE(OFFSET($EN$3,0,0,'Données projet'!$E$15+1,1))-AVERAGE(OFFSET($H$3,0,0,'Données projet'!$E$15+1,1))</f>
        <v>548.17046467409421</v>
      </c>
      <c r="EP92" s="62">
        <f t="shared" si="100"/>
        <v>341.9250949809848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0.55594667116730956</v>
      </c>
      <c r="EX92" s="23">
        <f>EXP(-LN(2)/2)*EX91+(1-EXP(-LN(2)/2))/(LN(2)/2)*ER92*EU92*VLOOKUP('Données projet'!$B$15,Paramètres!$A$1:$I$89,3,0)*0.475*44/12</f>
        <v>3.6835251346254392E-8</v>
      </c>
      <c r="EY92" s="24">
        <f t="shared" si="75"/>
        <v>0.55594670800256085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917.83996236839425</v>
      </c>
      <c r="S93" s="62">
        <f ca="1">AVERAGE(OFFSET($R$3,0,0,'Données projet'!$E$9+1,1))-AVERAGE(OFFSET($H$3,0,0,'Données projet'!$E$9+1,1))</f>
        <v>472.83070477639035</v>
      </c>
      <c r="T93" s="62">
        <f t="shared" si="88"/>
        <v>297.32483725004136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1.7298950190304168</v>
      </c>
      <c r="AB93" s="23">
        <f>EXP(-LN(2)/2)*AB92+(1-EXP(-LN(2)/2))/(LN(2)/2)*V93*Y93*VLOOKUP('Données projet'!$B$9,Paramètres!$A$1:$I$89,3,0)*0.475*44/12</f>
        <v>1.3885809708906019E-8</v>
      </c>
      <c r="AC93" s="24">
        <f t="shared" si="57"/>
        <v>1.7298950329162264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334.61999999999995</v>
      </c>
      <c r="AK93" s="14">
        <f t="shared" si="89"/>
        <v>78.387374628661505</v>
      </c>
      <c r="AL93" s="22">
        <f t="shared" si="58"/>
        <v>719.32117747825203</v>
      </c>
      <c r="AM93" s="62">
        <f t="shared" si="59"/>
        <v>993.67881848247976</v>
      </c>
      <c r="AN93" s="62">
        <f ca="1">AVERAGE(OFFSET($AM$3,0,0,'Données projet'!$E$10+1,1))-AVERAGE(OFFSET($H$3,0,0,'Données projet'!$E$10+1,1))</f>
        <v>520.80494930257237</v>
      </c>
      <c r="AO93" s="62">
        <f t="shared" si="90"/>
        <v>325.72635759450861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1.9386754523616743</v>
      </c>
      <c r="AW93" s="23">
        <f>EXP(-LN(2)/2)*AW92+(1-EXP(-LN(2)/2))/(LN(2)/2)*AQ93*AT93*VLOOKUP('Données projet'!$B$10,Paramètres!$A$1:$I$89,3,0)*0.475*44/12</f>
        <v>1.5561683294463615E-8</v>
      </c>
      <c r="AX93" s="23">
        <f t="shared" si="60"/>
        <v>1.9386754679233575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6.3550942286383367E-14</v>
      </c>
      <c r="BF93" s="14">
        <f t="shared" si="91"/>
        <v>1.0064464192543978E-12</v>
      </c>
      <c r="BG93" s="22">
        <f t="shared" si="61"/>
        <v>1.8635787380168604E-12</v>
      </c>
      <c r="BH93" s="62">
        <f t="shared" si="62"/>
        <v>274.35764100422955</v>
      </c>
      <c r="BI93" s="62">
        <f ca="1">AVERAGE(OFFSET($BH$3,0,0,'Données projet'!$E$11+1,1))-AVERAGE(OFFSET($H$3,0,0,'Données projet'!$E$11+1,1))</f>
        <v>321.60602866722138</v>
      </c>
      <c r="BJ93" s="62">
        <f t="shared" si="92"/>
        <v>375.18886653687389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3.902526698924023</v>
      </c>
      <c r="BQ93" s="23">
        <f>EXP(-LN(2)/25)*BQ92+(1-EXP(-LN(2)/25))/(LN(2)/25)*Calculateur!BL93*Calculateur!BN93*VLOOKUP('Données projet'!$B$11,Paramètres!$A$1:$I$89,3,0)*0.475*44/12</f>
        <v>3.0261453096834612</v>
      </c>
      <c r="BR93" s="23">
        <f>EXP(-LN(2)/2)*BR92+(1-EXP(-LN(2)/2))/(LN(2)/2)*BL93*BO93*VLOOKUP('Données projet'!$B$11,Paramètres!$A$1:$I$89,3,0)*0.475*44/12</f>
        <v>6.8190778649288934E-9</v>
      </c>
      <c r="BS93" s="24">
        <f t="shared" si="63"/>
        <v>6.928672015426562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2.8421709430404007E-14</v>
      </c>
      <c r="BZ93" s="14">
        <f>BY93*VLOOKUP('Données projet'!$B$12,Paramètres!$A$1:$I$89,3,0)*VLOOKUP('Données projet'!$B$12,Paramètres!$A$1:$I$89,5,0)</f>
        <v>1.5518253349000589E-14</v>
      </c>
      <c r="CA93" s="14">
        <f t="shared" si="93"/>
        <v>2.8958815659671149E-13</v>
      </c>
      <c r="CB93" s="22">
        <f t="shared" si="64"/>
        <v>5.3139366398878183E-13</v>
      </c>
      <c r="CC93" s="62">
        <f t="shared" si="65"/>
        <v>274.35764100422819</v>
      </c>
      <c r="CD93" s="62">
        <f ca="1">AVERAGE(OFFSET($CC$3,0,0,'Données projet'!$E$12+1,1))-AVERAGE(OFFSET($H$3,0,0,'Données projet'!$E$12+1,1))</f>
        <v>182.44246264133781</v>
      </c>
      <c r="CE93" s="62">
        <f t="shared" si="94"/>
        <v>262.5818213397049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1.3131987159209315</v>
      </c>
      <c r="CL93" s="23">
        <f>EXP(-LN(2)/25)*CL92+(1-EXP(-LN(2)/25))/(LN(2)/25)*Calculateur!CG93*Calculateur!CI93*VLOOKUP('Données projet'!$B$12,Paramètres!$A$1:$I$89,3,0)*0.475*44/12</f>
        <v>3.4291763910974056</v>
      </c>
      <c r="CM93" s="23">
        <f>EXP(-LN(2)/2)*CM92+(1-EXP(-LN(2)/2))/(LN(2)/2)*CG93*CJ93*VLOOKUP('Données projet'!$B$12,Paramètres!$A$1:$I$89,3,0)*0.475*44/12</f>
        <v>2.8112428228698759E-12</v>
      </c>
      <c r="CN93" s="24">
        <f t="shared" si="66"/>
        <v>4.7423751070211484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673</v>
      </c>
      <c r="CR93" s="13">
        <f>VLOOKUP(A93,'Données projet'!$A$139:$I$159,9,0)</f>
        <v>17.5</v>
      </c>
      <c r="CS93" s="13">
        <f t="array" ref="CS93">INDEX(CR:CR,MIN(IF(ISNUMBER(CR93:CR289),ROW(CR93:CR289),"")))</f>
        <v>17.5</v>
      </c>
      <c r="CT93" s="13">
        <f>IF('Données projet'!$A$140&gt;35,CT92+CS93-DB92,IF(A93&lt;'Données projet'!$A$140,$CQ$205^A93,IF(A93='Données projet'!$A$140,'Données projet'!$B$140,CT92+CS93-DB92)))</f>
        <v>672.99999999999989</v>
      </c>
      <c r="CU93" s="18">
        <f>CT93*VLOOKUP('Données projet'!$B$13,Paramètres!$A$1:$I$89,3,0)*VLOOKUP('Données projet'!$B$13,Paramètres!$A$1:$I$89,5,0)</f>
        <v>314.96399999999994</v>
      </c>
      <c r="CV93" s="14">
        <f t="shared" si="95"/>
        <v>74.304550517616548</v>
      </c>
      <c r="CW93" s="22">
        <f t="shared" si="67"/>
        <v>677.97605881818208</v>
      </c>
      <c r="CX93" s="62">
        <f t="shared" si="68"/>
        <v>952.3336998224097</v>
      </c>
      <c r="CY93" s="62">
        <f ca="1">AVERAGE(OFFSET($CX$3,0,0,'Données projet'!$E$13+1,1))-AVERAGE(OFFSET($H$3,0,0,'Données projet'!$E$13+1,1))</f>
        <v>426.87921482911719</v>
      </c>
      <c r="CZ93" s="62">
        <f t="shared" si="96"/>
        <v>313.49594674441835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135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330</v>
      </c>
      <c r="DM93" s="13">
        <f>VLOOKUP(A93,'Données projet'!$A$165:$I$185,9,0)</f>
        <v>6.4</v>
      </c>
      <c r="DN93" s="13">
        <f t="array" ref="DN93">INDEX(DM:DM,MIN(IF(ISNUMBER(DM93:DM289),ROW(DM93:DM289),"")))</f>
        <v>6.4</v>
      </c>
      <c r="DO93" s="13">
        <f>IF('Données projet'!$A$166&gt;35,DO92+DN93-DW92,IF(A93&lt;'Données projet'!$A$166,$DL$205^A93,IF(A93='Données projet'!$A$166,'Données projet'!$B$166,DO92+DN93-DW92)))</f>
        <v>329.99999999999994</v>
      </c>
      <c r="DP93" s="18">
        <f>DO93*VLOOKUP('Données projet'!$B$14,Paramètres!$A$1:$I$89,3,0)*VLOOKUP('Données projet'!$B$14,Paramètres!$A$1:$I$89,5,0)</f>
        <v>319.17599999999993</v>
      </c>
      <c r="DQ93" s="14">
        <f t="shared" si="97"/>
        <v>75.181878718947672</v>
      </c>
      <c r="DR93" s="22">
        <f t="shared" si="70"/>
        <v>686.83997210216705</v>
      </c>
      <c r="DS93" s="62">
        <f t="shared" si="71"/>
        <v>961.19761310639478</v>
      </c>
      <c r="DT93" s="62">
        <f ca="1">AVERAGE(OFFSET($DS$3,0,0,'Données projet'!$E$14+1,1))-AVERAGE(OFFSET($H$3,0,0,'Données projet'!$E$14+1,1))</f>
        <v>500.25828825677058</v>
      </c>
      <c r="DU93" s="62">
        <f t="shared" si="98"/>
        <v>313.56299786481338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28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0.48588616482482638</v>
      </c>
      <c r="EC93" s="23">
        <f>EXP(-LN(2)/2)*EC92+(1-EXP(-LN(2)/2))/(LN(2)/2)*DW93*DZ93*VLOOKUP('Données projet'!$B$14,Paramètres!$A$1:$I$89,3,0)*0.475*44/12</f>
        <v>2.3404061925306364E-8</v>
      </c>
      <c r="ED93" s="24">
        <f t="shared" si="72"/>
        <v>0.48588618822888829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330</v>
      </c>
      <c r="EH93" s="13">
        <f>VLOOKUP(A93,'Données projet'!$A$191:$I$211,9,0)</f>
        <v>6.4</v>
      </c>
      <c r="EI93" s="13">
        <f t="array" ref="EI93">INDEX(EH:EH,MIN(IF(ISNUMBER(EH93:EH289),ROW(EH93:EH289),"")))</f>
        <v>6.4</v>
      </c>
      <c r="EJ93" s="13">
        <f>IF('Données projet'!$A$192&gt;35,EJ92+EI93-ER92,IF(A93&lt;'Données projet'!$A$192,$EG$205^A93,IF(A93='Données projet'!$A$192,'Données projet'!$B$192,EJ92+EI93-ER92)))</f>
        <v>329.99999999999994</v>
      </c>
      <c r="EK93" s="18">
        <f>EJ93*VLOOKUP('Données projet'!$B$15,Paramètres!$A$1:$I$89,3,0)*VLOOKUP('Données projet'!$B$15,Paramètres!$A$1:$I$89,5,0)</f>
        <v>355.21199999999993</v>
      </c>
      <c r="EL93" s="14">
        <f t="shared" si="99"/>
        <v>82.634791155027401</v>
      </c>
      <c r="EM93" s="22">
        <f t="shared" si="73"/>
        <v>762.58316126167256</v>
      </c>
      <c r="EN93" s="62">
        <f t="shared" si="74"/>
        <v>1036.9408022659002</v>
      </c>
      <c r="EO93" s="62">
        <f ca="1">AVERAGE(OFFSET($EN$3,0,0,'Données projet'!$E$15+1,1))-AVERAGE(OFFSET($H$3,0,0,'Données projet'!$E$15+1,1))</f>
        <v>548.17046467409421</v>
      </c>
      <c r="EP93" s="62">
        <f t="shared" si="100"/>
        <v>341.9250949809848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28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0.5407442802082747</v>
      </c>
      <c r="EX93" s="23">
        <f>EXP(-LN(2)/2)*EX92+(1-EXP(-LN(2)/2))/(LN(2)/2)*ER93*EU93*VLOOKUP('Données projet'!$B$15,Paramètres!$A$1:$I$89,3,0)*0.475*44/12</f>
        <v>2.6046456013647385E-8</v>
      </c>
      <c r="EY93" s="24">
        <f t="shared" si="75"/>
        <v>0.54074430625473069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876.19934642566227</v>
      </c>
      <c r="S94" s="62">
        <f ca="1">AVERAGE(OFFSET($R$3,0,0,'Données projet'!$E$9+1,1))-AVERAGE(OFFSET($H$3,0,0,'Données projet'!$E$9+1,1))</f>
        <v>472.83070477639035</v>
      </c>
      <c r="T94" s="62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1.6825909487638047</v>
      </c>
      <c r="AB94" s="23">
        <f>EXP(-LN(2)/2)*AB93+(1-EXP(-LN(2)/2))/(LN(2)/2)*V94*Y94*VLOOKUP('Données projet'!$B$9,Paramètres!$A$1:$I$89,3,0)*0.475*44/12</f>
        <v>9.8187502074334452E-9</v>
      </c>
      <c r="AC94" s="24">
        <f t="shared" si="57"/>
        <v>1.6825909585825549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312.31199999999995</v>
      </c>
      <c r="AK94" s="14">
        <f t="shared" si="89"/>
        <v>73.751458791112015</v>
      </c>
      <c r="AL94" s="22">
        <f t="shared" si="58"/>
        <v>672.39385739452007</v>
      </c>
      <c r="AM94" s="62">
        <f t="shared" si="59"/>
        <v>947.08068423736518</v>
      </c>
      <c r="AN94" s="62">
        <f ca="1">AVERAGE(OFFSET($AM$3,0,0,'Données projet'!$E$10+1,1))-AVERAGE(OFFSET($H$3,0,0,'Données projet'!$E$10+1,1))</f>
        <v>520.80494930257237</v>
      </c>
      <c r="AO94" s="62">
        <f t="shared" si="90"/>
        <v>325.72635759450861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1.8856622701663333</v>
      </c>
      <c r="AW94" s="23">
        <f>EXP(-LN(2)/2)*AW93+(1-EXP(-LN(2)/2))/(LN(2)/2)*AQ94*AT94*VLOOKUP('Données projet'!$B$10,Paramètres!$A$1:$I$89,3,0)*0.475*44/12</f>
        <v>1.1003771784192635E-8</v>
      </c>
      <c r="AX94" s="23">
        <f t="shared" si="60"/>
        <v>1.8856622811701051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6.3550942286383367E-14</v>
      </c>
      <c r="BF94" s="14">
        <f t="shared" si="91"/>
        <v>1.0064464192543978E-12</v>
      </c>
      <c r="BG94" s="22">
        <f t="shared" si="61"/>
        <v>1.8635787380168604E-12</v>
      </c>
      <c r="BH94" s="62">
        <f t="shared" si="62"/>
        <v>274.68682684284693</v>
      </c>
      <c r="BI94" s="62">
        <f ca="1">AVERAGE(OFFSET($BH$3,0,0,'Données projet'!$E$11+1,1))-AVERAGE(OFFSET($H$3,0,0,'Données projet'!$E$11+1,1))</f>
        <v>321.60602866722138</v>
      </c>
      <c r="BJ94" s="62">
        <f t="shared" si="92"/>
        <v>375.18886653687389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3.8260005306643734</v>
      </c>
      <c r="BQ94" s="23">
        <f>EXP(-LN(2)/25)*BQ93+(1-EXP(-LN(2)/25))/(LN(2)/25)*Calculateur!BL94*Calculateur!BN94*VLOOKUP('Données projet'!$B$11,Paramètres!$A$1:$I$89,3,0)*0.475*44/12</f>
        <v>2.9433952070521014</v>
      </c>
      <c r="BR94" s="23">
        <f>EXP(-LN(2)/2)*BR93+(1-EXP(-LN(2)/2))/(LN(2)/2)*BL94*BO94*VLOOKUP('Données projet'!$B$11,Paramètres!$A$1:$I$89,3,0)*0.475*44/12</f>
        <v>4.8218161997303046E-9</v>
      </c>
      <c r="BS94" s="24">
        <f t="shared" si="63"/>
        <v>6.7693957425382907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2.8421709430404007E-14</v>
      </c>
      <c r="BZ94" s="14">
        <f>BY94*VLOOKUP('Données projet'!$B$12,Paramètres!$A$1:$I$89,3,0)*VLOOKUP('Données projet'!$B$12,Paramètres!$A$1:$I$89,5,0)</f>
        <v>1.5518253349000589E-14</v>
      </c>
      <c r="CA94" s="14">
        <f t="shared" si="93"/>
        <v>2.8958815659671149E-13</v>
      </c>
      <c r="CB94" s="22">
        <f t="shared" si="64"/>
        <v>5.3139366398878183E-13</v>
      </c>
      <c r="CC94" s="62">
        <f t="shared" si="65"/>
        <v>274.68682684284556</v>
      </c>
      <c r="CD94" s="62">
        <f ca="1">AVERAGE(OFFSET($CC$3,0,0,'Données projet'!$E$12+1,1))-AVERAGE(OFFSET($H$3,0,0,'Données projet'!$E$12+1,1))</f>
        <v>182.44246264133781</v>
      </c>
      <c r="CE94" s="62">
        <f t="shared" si="94"/>
        <v>262.5818213397049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1.2874476900738494</v>
      </c>
      <c r="CL94" s="23">
        <f>EXP(-LN(2)/25)*CL93+(1-EXP(-LN(2)/25))/(LN(2)/25)*Calculateur!CG94*Calculateur!CI94*VLOOKUP('Données projet'!$B$12,Paramètres!$A$1:$I$89,3,0)*0.475*44/12</f>
        <v>3.3354053823502983</v>
      </c>
      <c r="CM94" s="23">
        <f>EXP(-LN(2)/2)*CM93+(1-EXP(-LN(2)/2))/(LN(2)/2)*CG94*CJ94*VLOOKUP('Données projet'!$B$12,Paramètres!$A$1:$I$89,3,0)*0.475*44/12</f>
        <v>1.9878488636133015E-12</v>
      </c>
      <c r="CN94" s="24">
        <f t="shared" si="66"/>
        <v>4.6228530724261354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18.5</v>
      </c>
      <c r="CT94" s="13">
        <f>IF('Données projet'!$A$140&gt;35,CT93+CS94-DB93,IF(A94&lt;'Données projet'!$A$140,$CQ$205^A94,IF(A94='Données projet'!$A$140,'Données projet'!$B$140,CT93+CS94-DB93)))</f>
        <v>556.49999999999989</v>
      </c>
      <c r="CU94" s="18">
        <f>CT94*VLOOKUP('Données projet'!$B$13,Paramètres!$A$1:$I$89,3,0)*VLOOKUP('Données projet'!$B$13,Paramètres!$A$1:$I$89,5,0)</f>
        <v>260.44199999999995</v>
      </c>
      <c r="CV94" s="14">
        <f t="shared" si="95"/>
        <v>62.816585178645781</v>
      </c>
      <c r="CW94" s="22">
        <f t="shared" si="67"/>
        <v>563.00870251947458</v>
      </c>
      <c r="CX94" s="62">
        <f t="shared" si="68"/>
        <v>837.69552936231958</v>
      </c>
      <c r="CY94" s="62">
        <f ca="1">AVERAGE(OFFSET($CX$3,0,0,'Données projet'!$E$13+1,1))-AVERAGE(OFFSET($H$3,0,0,'Données projet'!$E$13+1,1))</f>
        <v>426.87921482911719</v>
      </c>
      <c r="CZ94" s="62">
        <f t="shared" si="96"/>
        <v>313.49594674441835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6</v>
      </c>
      <c r="DO94" s="13">
        <f>IF('Données projet'!$A$166&gt;35,DO93+DN94-DW93,IF(A94&lt;'Données projet'!$A$166,$DL$205^A94,IF(A94='Données projet'!$A$166,'Données projet'!$B$166,DO93+DN94-DW93)))</f>
        <v>307.99999999999994</v>
      </c>
      <c r="DP94" s="18">
        <f>DO94*VLOOKUP('Données projet'!$B$14,Paramètres!$A$1:$I$89,3,0)*VLOOKUP('Données projet'!$B$14,Paramètres!$A$1:$I$89,5,0)</f>
        <v>297.89759999999995</v>
      </c>
      <c r="DQ94" s="14">
        <f t="shared" si="97"/>
        <v>70.735539446826479</v>
      </c>
      <c r="DR94" s="22">
        <f t="shared" si="70"/>
        <v>642.03605120322266</v>
      </c>
      <c r="DS94" s="62">
        <f t="shared" si="71"/>
        <v>916.72287804606776</v>
      </c>
      <c r="DT94" s="62">
        <f ca="1">AVERAGE(OFFSET($DS$3,0,0,'Données projet'!$E$14+1,1))-AVERAGE(OFFSET($H$3,0,0,'Données projet'!$E$14+1,1))</f>
        <v>500.25828825677058</v>
      </c>
      <c r="DU94" s="62">
        <f t="shared" si="98"/>
        <v>313.56299786481338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0.47259958209604863</v>
      </c>
      <c r="EC94" s="23">
        <f>EXP(-LN(2)/2)*EC93+(1-EXP(-LN(2)/2))/(LN(2)/2)*DW94*DZ94*VLOOKUP('Données projet'!$B$14,Paramètres!$A$1:$I$89,3,0)*0.475*44/12</f>
        <v>1.6549170894694015E-8</v>
      </c>
      <c r="ED94" s="24">
        <f t="shared" si="72"/>
        <v>0.4725995986452195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6</v>
      </c>
      <c r="EJ94" s="13">
        <f>IF('Données projet'!$A$192&gt;35,EJ93+EI94-ER93,IF(A94&lt;'Données projet'!$A$192,$EG$205^A94,IF(A94='Données projet'!$A$192,'Données projet'!$B$192,EJ93+EI94-ER93)))</f>
        <v>307.99999999999994</v>
      </c>
      <c r="EK94" s="18">
        <f>EJ94*VLOOKUP('Données projet'!$B$15,Paramètres!$A$1:$I$89,3,0)*VLOOKUP('Données projet'!$B$15,Paramètres!$A$1:$I$89,5,0)</f>
        <v>331.53119999999996</v>
      </c>
      <c r="EL94" s="14">
        <f t="shared" si="99"/>
        <v>77.747678417000927</v>
      </c>
      <c r="EM94" s="22">
        <f t="shared" si="73"/>
        <v>712.82737990960993</v>
      </c>
      <c r="EN94" s="62">
        <f t="shared" si="74"/>
        <v>987.51420675245504</v>
      </c>
      <c r="EO94" s="62">
        <f ca="1">AVERAGE(OFFSET($EN$3,0,0,'Données projet'!$E$15+1,1))-AVERAGE(OFFSET($H$3,0,0,'Données projet'!$E$15+1,1))</f>
        <v>548.17046467409421</v>
      </c>
      <c r="EP94" s="62">
        <f t="shared" si="100"/>
        <v>341.9250949809848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0.52595759942947362</v>
      </c>
      <c r="EX94" s="23">
        <f>EXP(-LN(2)/2)*EX93+(1-EXP(-LN(2)/2))/(LN(2)/2)*ER94*EU94*VLOOKUP('Données projet'!$B$15,Paramètres!$A$1:$I$89,3,0)*0.475*44/12</f>
        <v>1.8417625673127196E-8</v>
      </c>
      <c r="EY94" s="24">
        <f t="shared" si="75"/>
        <v>0.52595761784709927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887.97497902261352</v>
      </c>
      <c r="S95" s="62">
        <f ca="1">AVERAGE(OFFSET($R$3,0,0,'Données projet'!$E$9+1,1))-AVERAGE(OFFSET($H$3,0,0,'Données projet'!$E$9+1,1))</f>
        <v>472.83070477639035</v>
      </c>
      <c r="T95" s="62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1.6365804107862461</v>
      </c>
      <c r="AB95" s="23">
        <f>EXP(-LN(2)/2)*AB94+(1-EXP(-LN(2)/2))/(LN(2)/2)*V95*Y95*VLOOKUP('Données projet'!$B$9,Paramètres!$A$1:$I$89,3,0)*0.475*44/12</f>
        <v>6.9429048544530093E-9</v>
      </c>
      <c r="AC95" s="24">
        <f t="shared" si="57"/>
        <v>1.636580417729151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318.39599999999996</v>
      </c>
      <c r="AK95" s="14">
        <f t="shared" si="89"/>
        <v>75.019512724334945</v>
      </c>
      <c r="AL95" s="22">
        <f t="shared" si="58"/>
        <v>685.19868466154992</v>
      </c>
      <c r="AM95" s="62">
        <f t="shared" si="59"/>
        <v>960.20898670466158</v>
      </c>
      <c r="AN95" s="62">
        <f ca="1">AVERAGE(OFFSET($AM$3,0,0,'Données projet'!$E$10+1,1))-AVERAGE(OFFSET($H$3,0,0,'Données projet'!$E$10+1,1))</f>
        <v>520.80494930257237</v>
      </c>
      <c r="AO95" s="62">
        <f t="shared" si="90"/>
        <v>325.72635759450861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1.8340987362259658</v>
      </c>
      <c r="AW95" s="23">
        <f>EXP(-LN(2)/2)*AW94+(1-EXP(-LN(2)/2))/(LN(2)/2)*AQ95*AT95*VLOOKUP('Données projet'!$B$10,Paramètres!$A$1:$I$89,3,0)*0.475*44/12</f>
        <v>7.7808416472318073E-9</v>
      </c>
      <c r="AX95" s="23">
        <f t="shared" si="60"/>
        <v>1.8340987440068075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6.3550942286383367E-14</v>
      </c>
      <c r="BF95" s="14">
        <f t="shared" si="91"/>
        <v>1.0064464192543978E-12</v>
      </c>
      <c r="BG95" s="22">
        <f t="shared" si="61"/>
        <v>1.8635787380168604E-12</v>
      </c>
      <c r="BH95" s="62">
        <f t="shared" si="62"/>
        <v>275.0103020431136</v>
      </c>
      <c r="BI95" s="62">
        <f ca="1">AVERAGE(OFFSET($BH$3,0,0,'Données projet'!$E$11+1,1))-AVERAGE(OFFSET($H$3,0,0,'Données projet'!$E$11+1,1))</f>
        <v>321.60602866722138</v>
      </c>
      <c r="BJ95" s="62">
        <f t="shared" si="92"/>
        <v>375.18886653687389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3.750974993887942</v>
      </c>
      <c r="BQ95" s="23">
        <f>EXP(-LN(2)/25)*BQ94+(1-EXP(-LN(2)/25))/(LN(2)/25)*Calculateur!BL95*Calculateur!BN95*VLOOKUP('Données projet'!$B$11,Paramètres!$A$1:$I$89,3,0)*0.475*44/12</f>
        <v>2.8629079103288348</v>
      </c>
      <c r="BR95" s="23">
        <f>EXP(-LN(2)/2)*BR94+(1-EXP(-LN(2)/2))/(LN(2)/2)*BL95*BO95*VLOOKUP('Données projet'!$B$11,Paramètres!$A$1:$I$89,3,0)*0.475*44/12</f>
        <v>3.4095389324644467E-9</v>
      </c>
      <c r="BS95" s="24">
        <f t="shared" si="63"/>
        <v>6.6138829076263157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2.8421709430404007E-14</v>
      </c>
      <c r="BZ95" s="14">
        <f>BY95*VLOOKUP('Données projet'!$B$12,Paramètres!$A$1:$I$89,3,0)*VLOOKUP('Données projet'!$B$12,Paramètres!$A$1:$I$89,5,0)</f>
        <v>1.5518253349000589E-14</v>
      </c>
      <c r="CA95" s="14">
        <f t="shared" si="93"/>
        <v>2.8958815659671149E-13</v>
      </c>
      <c r="CB95" s="22">
        <f t="shared" si="64"/>
        <v>5.3139366398878183E-13</v>
      </c>
      <c r="CC95" s="62">
        <f t="shared" si="65"/>
        <v>275.01030204311223</v>
      </c>
      <c r="CD95" s="62">
        <f ca="1">AVERAGE(OFFSET($CC$3,0,0,'Données projet'!$E$12+1,1))-AVERAGE(OFFSET($H$3,0,0,'Données projet'!$E$12+1,1))</f>
        <v>182.44246264133781</v>
      </c>
      <c r="CE95" s="62">
        <f t="shared" si="94"/>
        <v>262.5818213397049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1.2622016261370537</v>
      </c>
      <c r="CL95" s="23">
        <f>EXP(-LN(2)/25)*CL94+(1-EXP(-LN(2)/25))/(LN(2)/25)*Calculateur!CG95*Calculateur!CI95*VLOOKUP('Données projet'!$B$12,Paramètres!$A$1:$I$89,3,0)*0.475*44/12</f>
        <v>3.2441985467685837</v>
      </c>
      <c r="CM95" s="23">
        <f>EXP(-LN(2)/2)*CM94+(1-EXP(-LN(2)/2))/(LN(2)/2)*CG95*CJ95*VLOOKUP('Données projet'!$B$12,Paramètres!$A$1:$I$89,3,0)*0.475*44/12</f>
        <v>1.4056214114349379E-12</v>
      </c>
      <c r="CN95" s="24">
        <f t="shared" si="66"/>
        <v>4.5064001729070435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18.5</v>
      </c>
      <c r="CT95" s="13">
        <f>IF('Données projet'!$A$140&gt;35,CT94+CS95-DB94,IF(A95&lt;'Données projet'!$A$140,$CQ$205^A95,IF(A95='Données projet'!$A$140,'Données projet'!$B$140,CT94+CS95-DB94)))</f>
        <v>574.99999999999989</v>
      </c>
      <c r="CU95" s="18">
        <f>CT95*VLOOKUP('Données projet'!$B$13,Paramètres!$A$1:$I$89,3,0)*VLOOKUP('Données projet'!$B$13,Paramètres!$A$1:$I$89,5,0)</f>
        <v>269.09999999999991</v>
      </c>
      <c r="CV95" s="14">
        <f t="shared" si="95"/>
        <v>64.658229472790993</v>
      </c>
      <c r="CW95" s="22">
        <f t="shared" si="67"/>
        <v>581.29558299844405</v>
      </c>
      <c r="CX95" s="62">
        <f t="shared" si="68"/>
        <v>856.30588504155571</v>
      </c>
      <c r="CY95" s="62">
        <f ca="1">AVERAGE(OFFSET($CX$3,0,0,'Données projet'!$E$13+1,1))-AVERAGE(OFFSET($H$3,0,0,'Données projet'!$E$13+1,1))</f>
        <v>426.87921482911719</v>
      </c>
      <c r="CZ95" s="62">
        <f t="shared" si="96"/>
        <v>313.49594674441835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6</v>
      </c>
      <c r="DO95" s="13">
        <f>IF('Données projet'!$A$166&gt;35,DO94+DN95-DW94,IF(A95&lt;'Données projet'!$A$166,$DL$205^A95,IF(A95='Données projet'!$A$166,'Données projet'!$B$166,DO94+DN95-DW94)))</f>
        <v>313.99999999999994</v>
      </c>
      <c r="DP95" s="18">
        <f>DO95*VLOOKUP('Données projet'!$B$14,Paramètres!$A$1:$I$89,3,0)*VLOOKUP('Données projet'!$B$14,Paramètres!$A$1:$I$89,5,0)</f>
        <v>303.70079999999996</v>
      </c>
      <c r="DQ95" s="14">
        <f t="shared" si="97"/>
        <v>71.951738834397148</v>
      </c>
      <c r="DR95" s="22">
        <f t="shared" si="70"/>
        <v>654.26150513657501</v>
      </c>
      <c r="DS95" s="62">
        <f t="shared" si="71"/>
        <v>929.27180717968668</v>
      </c>
      <c r="DT95" s="62">
        <f ca="1">AVERAGE(OFFSET($DS$3,0,0,'Données projet'!$E$14+1,1))-AVERAGE(OFFSET($H$3,0,0,'Données projet'!$E$14+1,1))</f>
        <v>500.25828825677058</v>
      </c>
      <c r="DU95" s="62">
        <f t="shared" si="98"/>
        <v>313.56299786481338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0.45967632167070033</v>
      </c>
      <c r="EC95" s="23">
        <f>EXP(-LN(2)/2)*EC94+(1-EXP(-LN(2)/2))/(LN(2)/2)*DW95*DZ95*VLOOKUP('Données projet'!$B$14,Paramètres!$A$1:$I$89,3,0)*0.475*44/12</f>
        <v>1.1702030962653182E-8</v>
      </c>
      <c r="ED95" s="24">
        <f t="shared" si="72"/>
        <v>0.45967633337273128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6</v>
      </c>
      <c r="EJ95" s="13">
        <f>IF('Données projet'!$A$192&gt;35,EJ94+EI95-ER94,IF(A95&lt;'Données projet'!$A$192,$EG$205^A95,IF(A95='Données projet'!$A$192,'Données projet'!$B$192,EJ94+EI95-ER94)))</f>
        <v>313.99999999999994</v>
      </c>
      <c r="EK95" s="18">
        <f>EJ95*VLOOKUP('Données projet'!$B$15,Paramètres!$A$1:$I$89,3,0)*VLOOKUP('Données projet'!$B$15,Paramètres!$A$1:$I$89,5,0)</f>
        <v>337.98959999999994</v>
      </c>
      <c r="EL95" s="14">
        <f t="shared" si="99"/>
        <v>79.084441798114071</v>
      </c>
      <c r="EM95" s="22">
        <f t="shared" si="73"/>
        <v>726.40395613171529</v>
      </c>
      <c r="EN95" s="62">
        <f t="shared" si="74"/>
        <v>1001.414258174827</v>
      </c>
      <c r="EO95" s="62">
        <f ca="1">AVERAGE(OFFSET($EN$3,0,0,'Données projet'!$E$15+1,1))-AVERAGE(OFFSET($H$3,0,0,'Données projet'!$E$15+1,1))</f>
        <v>548.17046467409421</v>
      </c>
      <c r="EP95" s="62">
        <f t="shared" si="100"/>
        <v>341.9250949809848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0.51157526121416663</v>
      </c>
      <c r="EX95" s="23">
        <f>EXP(-LN(2)/2)*EX94+(1-EXP(-LN(2)/2))/(LN(2)/2)*ER95*EU95*VLOOKUP('Données projet'!$B$15,Paramètres!$A$1:$I$89,3,0)*0.475*44/12</f>
        <v>1.3023228006823693E-8</v>
      </c>
      <c r="EY95" s="24">
        <f t="shared" si="75"/>
        <v>0.51157527423739468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899.74056296933804</v>
      </c>
      <c r="S96" s="62">
        <f ca="1">AVERAGE(OFFSET($R$3,0,0,'Données projet'!$E$9+1,1))-AVERAGE(OFFSET($H$3,0,0,'Données projet'!$E$9+1,1))</f>
        <v>472.83070477639035</v>
      </c>
      <c r="T96" s="62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1.5918280333892727</v>
      </c>
      <c r="AB96" s="23">
        <f>EXP(-LN(2)/2)*AB95+(1-EXP(-LN(2)/2))/(LN(2)/2)*V96*Y96*VLOOKUP('Données projet'!$B$9,Paramètres!$A$1:$I$89,3,0)*0.475*44/12</f>
        <v>4.9093751037167226E-9</v>
      </c>
      <c r="AC96" s="24">
        <f t="shared" si="57"/>
        <v>1.5918280382986478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324.47999999999996</v>
      </c>
      <c r="AK96" s="14">
        <f t="shared" si="89"/>
        <v>76.284749200165507</v>
      </c>
      <c r="AL96" s="22">
        <f t="shared" si="58"/>
        <v>697.99860485695478</v>
      </c>
      <c r="AM96" s="62">
        <f t="shared" si="59"/>
        <v>973.3267705287908</v>
      </c>
      <c r="AN96" s="62">
        <f ca="1">AVERAGE(OFFSET($AM$3,0,0,'Données projet'!$E$10+1,1))-AVERAGE(OFFSET($H$3,0,0,'Données projet'!$E$10+1,1))</f>
        <v>520.80494930257237</v>
      </c>
      <c r="AO96" s="62">
        <f t="shared" si="90"/>
        <v>325.72635759450861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1.7839452098328061</v>
      </c>
      <c r="AW96" s="23">
        <f>EXP(-LN(2)/2)*AW95+(1-EXP(-LN(2)/2))/(LN(2)/2)*AQ96*AT96*VLOOKUP('Données projet'!$B$10,Paramètres!$A$1:$I$89,3,0)*0.475*44/12</f>
        <v>5.5018858920963176E-9</v>
      </c>
      <c r="AX96" s="23">
        <f t="shared" si="60"/>
        <v>1.783945215334692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6.3550942286383367E-14</v>
      </c>
      <c r="BF96" s="14">
        <f t="shared" si="91"/>
        <v>1.0064464192543978E-12</v>
      </c>
      <c r="BG96" s="22">
        <f t="shared" si="61"/>
        <v>1.8635787380168604E-12</v>
      </c>
      <c r="BH96" s="62">
        <f t="shared" si="62"/>
        <v>275.32816567183784</v>
      </c>
      <c r="BI96" s="62">
        <f ca="1">AVERAGE(OFFSET($BH$3,0,0,'Données projet'!$E$11+1,1))-AVERAGE(OFFSET($H$3,0,0,'Données projet'!$E$11+1,1))</f>
        <v>321.60602866722138</v>
      </c>
      <c r="BJ96" s="62">
        <f t="shared" si="92"/>
        <v>375.18886653687389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3.6774206621266372</v>
      </c>
      <c r="BQ96" s="23">
        <f>EXP(-LN(2)/25)*BQ95+(1-EXP(-LN(2)/25))/(LN(2)/25)*Calculateur!BL96*Calculateur!BN96*VLOOKUP('Données projet'!$B$11,Paramètres!$A$1:$I$89,3,0)*0.475*44/12</f>
        <v>2.7846215429671091</v>
      </c>
      <c r="BR96" s="23">
        <f>EXP(-LN(2)/2)*BR95+(1-EXP(-LN(2)/2))/(LN(2)/2)*BL96*BO96*VLOOKUP('Données projet'!$B$11,Paramètres!$A$1:$I$89,3,0)*0.475*44/12</f>
        <v>2.4109080998651523E-9</v>
      </c>
      <c r="BS96" s="24">
        <f t="shared" si="63"/>
        <v>6.4620422075046546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2.8421709430404007E-14</v>
      </c>
      <c r="BZ96" s="14">
        <f>BY96*VLOOKUP('Données projet'!$B$12,Paramètres!$A$1:$I$89,3,0)*VLOOKUP('Données projet'!$B$12,Paramètres!$A$1:$I$89,5,0)</f>
        <v>1.5518253349000589E-14</v>
      </c>
      <c r="CA96" s="14">
        <f t="shared" si="93"/>
        <v>2.8958815659671149E-13</v>
      </c>
      <c r="CB96" s="22">
        <f t="shared" si="64"/>
        <v>5.3139366398878183E-13</v>
      </c>
      <c r="CC96" s="62">
        <f t="shared" si="65"/>
        <v>275.32816567183647</v>
      </c>
      <c r="CD96" s="62">
        <f ca="1">AVERAGE(OFFSET($CC$3,0,0,'Données projet'!$E$12+1,1))-AVERAGE(OFFSET($H$3,0,0,'Données projet'!$E$12+1,1))</f>
        <v>182.44246264133781</v>
      </c>
      <c r="CE96" s="62">
        <f t="shared" si="94"/>
        <v>262.5818213397049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1.23745062211548</v>
      </c>
      <c r="CL96" s="23">
        <f>EXP(-LN(2)/25)*CL95+(1-EXP(-LN(2)/25))/(LN(2)/25)*Calculateur!CG96*Calculateur!CI96*VLOOKUP('Données projet'!$B$12,Paramètres!$A$1:$I$89,3,0)*0.475*44/12</f>
        <v>3.1554857669022098</v>
      </c>
      <c r="CM96" s="23">
        <f>EXP(-LN(2)/2)*CM95+(1-EXP(-LN(2)/2))/(LN(2)/2)*CG96*CJ96*VLOOKUP('Données projet'!$B$12,Paramètres!$A$1:$I$89,3,0)*0.475*44/12</f>
        <v>9.9392443180665075E-13</v>
      </c>
      <c r="CN96" s="24">
        <f t="shared" si="66"/>
        <v>4.3929363890186837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18.5</v>
      </c>
      <c r="CT96" s="13">
        <f>IF('Données projet'!$A$140&gt;35,CT95+CS96-DB95,IF(A96&lt;'Données projet'!$A$140,$CQ$205^A96,IF(A96='Données projet'!$A$140,'Données projet'!$B$140,CT95+CS96-DB95)))</f>
        <v>593.49999999999989</v>
      </c>
      <c r="CU96" s="18">
        <f>CT96*VLOOKUP('Données projet'!$B$13,Paramètres!$A$1:$I$89,3,0)*VLOOKUP('Données projet'!$B$13,Paramètres!$A$1:$I$89,5,0)</f>
        <v>277.75799999999992</v>
      </c>
      <c r="CV96" s="14">
        <f t="shared" si="95"/>
        <v>66.492988372715388</v>
      </c>
      <c r="CW96" s="22">
        <f t="shared" si="67"/>
        <v>599.57047141581245</v>
      </c>
      <c r="CX96" s="62">
        <f t="shared" si="68"/>
        <v>874.89863708764847</v>
      </c>
      <c r="CY96" s="62">
        <f ca="1">AVERAGE(OFFSET($CX$3,0,0,'Données projet'!$E$13+1,1))-AVERAGE(OFFSET($H$3,0,0,'Données projet'!$E$13+1,1))</f>
        <v>426.87921482911719</v>
      </c>
      <c r="CZ96" s="62">
        <f t="shared" si="96"/>
        <v>313.49594674441835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6</v>
      </c>
      <c r="DO96" s="13">
        <f>IF('Données projet'!$A$166&gt;35,DO95+DN96-DW95,IF(A96&lt;'Données projet'!$A$166,$DL$205^A96,IF(A96='Données projet'!$A$166,'Données projet'!$B$166,DO95+DN96-DW95)))</f>
        <v>319.99999999999994</v>
      </c>
      <c r="DP96" s="18">
        <f>DO96*VLOOKUP('Données projet'!$B$14,Paramètres!$A$1:$I$89,3,0)*VLOOKUP('Données projet'!$B$14,Paramètres!$A$1:$I$89,5,0)</f>
        <v>309.50399999999996</v>
      </c>
      <c r="DQ96" s="14">
        <f t="shared" si="97"/>
        <v>73.165235978896504</v>
      </c>
      <c r="DR96" s="22">
        <f t="shared" si="70"/>
        <v>666.48225266324471</v>
      </c>
      <c r="DS96" s="62">
        <f t="shared" si="71"/>
        <v>941.81041833508061</v>
      </c>
      <c r="DT96" s="62">
        <f ca="1">AVERAGE(OFFSET($DS$3,0,0,'Données projet'!$E$14+1,1))-AVERAGE(OFFSET($H$3,0,0,'Données projet'!$E$14+1,1))</f>
        <v>500.25828825677058</v>
      </c>
      <c r="DU96" s="62">
        <f t="shared" si="98"/>
        <v>313.56299786481338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0.44710644848128789</v>
      </c>
      <c r="EC96" s="23">
        <f>EXP(-LN(2)/2)*EC95+(1-EXP(-LN(2)/2))/(LN(2)/2)*DW96*DZ96*VLOOKUP('Données projet'!$B$14,Paramètres!$A$1:$I$89,3,0)*0.475*44/12</f>
        <v>8.2745854473470075E-9</v>
      </c>
      <c r="ED96" s="24">
        <f t="shared" si="72"/>
        <v>0.44710645675587335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6</v>
      </c>
      <c r="EJ96" s="13">
        <f>IF('Données projet'!$A$192&gt;35,EJ95+EI96-ER95,IF(A96&lt;'Données projet'!$A$192,$EG$205^A96,IF(A96='Données projet'!$A$192,'Données projet'!$B$192,EJ95+EI96-ER95)))</f>
        <v>319.99999999999994</v>
      </c>
      <c r="EK96" s="18">
        <f>EJ96*VLOOKUP('Données projet'!$B$15,Paramètres!$A$1:$I$89,3,0)*VLOOKUP('Données projet'!$B$15,Paramètres!$A$1:$I$89,5,0)</f>
        <v>344.44799999999992</v>
      </c>
      <c r="EL96" s="14">
        <f t="shared" si="99"/>
        <v>80.418235058027051</v>
      </c>
      <c r="EM96" s="22">
        <f t="shared" si="73"/>
        <v>739.9753593927303</v>
      </c>
      <c r="EN96" s="62">
        <f t="shared" si="74"/>
        <v>1015.3035250645662</v>
      </c>
      <c r="EO96" s="62">
        <f ca="1">AVERAGE(OFFSET($EN$3,0,0,'Données projet'!$E$15+1,1))-AVERAGE(OFFSET($H$3,0,0,'Données projet'!$E$15+1,1))</f>
        <v>548.17046467409421</v>
      </c>
      <c r="EP96" s="62">
        <f t="shared" si="100"/>
        <v>341.9250949809848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0.49758620879369148</v>
      </c>
      <c r="EX96" s="23">
        <f>EXP(-LN(2)/2)*EX95+(1-EXP(-LN(2)/2))/(LN(2)/2)*ER96*EU96*VLOOKUP('Données projet'!$B$15,Paramètres!$A$1:$I$89,3,0)*0.475*44/12</f>
        <v>9.2088128365635981E-9</v>
      </c>
      <c r="EY96" s="24">
        <f t="shared" si="75"/>
        <v>0.4975862180025043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911.49628840289188</v>
      </c>
      <c r="S97" s="62">
        <f ca="1">AVERAGE(OFFSET($R$3,0,0,'Données projet'!$E$9+1,1))-AVERAGE(OFFSET($H$3,0,0,'Données projet'!$E$9+1,1))</f>
        <v>472.83070477639035</v>
      </c>
      <c r="T97" s="62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1.548299412105645</v>
      </c>
      <c r="AB97" s="23">
        <f>EXP(-LN(2)/2)*AB96+(1-EXP(-LN(2)/2))/(LN(2)/2)*V97*Y97*VLOOKUP('Données projet'!$B$9,Paramètres!$A$1:$I$89,3,0)*0.475*44/12</f>
        <v>3.4714524272265047E-9</v>
      </c>
      <c r="AC97" s="24">
        <f t="shared" si="57"/>
        <v>1.5482994155770975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330.56399999999996</v>
      </c>
      <c r="AK97" s="14">
        <f t="shared" si="89"/>
        <v>77.547227137682853</v>
      </c>
      <c r="AL97" s="22">
        <f t="shared" si="58"/>
        <v>710.79372059813079</v>
      </c>
      <c r="AM97" s="62">
        <f t="shared" si="59"/>
        <v>986.43423567536934</v>
      </c>
      <c r="AN97" s="62">
        <f ca="1">AVERAGE(OFFSET($AM$3,0,0,'Données projet'!$E$10+1,1))-AVERAGE(OFFSET($H$3,0,0,'Données projet'!$E$10+1,1))</f>
        <v>520.80494930257237</v>
      </c>
      <c r="AO97" s="62">
        <f t="shared" si="90"/>
        <v>325.72635759450861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1.7351631342563267</v>
      </c>
      <c r="AW97" s="23">
        <f>EXP(-LN(2)/2)*AW96+(1-EXP(-LN(2)/2))/(LN(2)/2)*AQ97*AT97*VLOOKUP('Données projet'!$B$10,Paramètres!$A$1:$I$89,3,0)*0.475*44/12</f>
        <v>3.8904208236159036E-9</v>
      </c>
      <c r="AX97" s="23">
        <f t="shared" si="60"/>
        <v>1.7351631381467476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6.3550942286383367E-14</v>
      </c>
      <c r="BF97" s="14">
        <f t="shared" si="91"/>
        <v>1.0064464192543978E-12</v>
      </c>
      <c r="BG97" s="22">
        <f t="shared" si="61"/>
        <v>1.8635787380168604E-12</v>
      </c>
      <c r="BH97" s="62">
        <f t="shared" si="62"/>
        <v>275.64051507724037</v>
      </c>
      <c r="BI97" s="62">
        <f ca="1">AVERAGE(OFFSET($BH$3,0,0,'Données projet'!$E$11+1,1))-AVERAGE(OFFSET($H$3,0,0,'Données projet'!$E$11+1,1))</f>
        <v>321.60602866722138</v>
      </c>
      <c r="BJ97" s="62">
        <f t="shared" si="92"/>
        <v>375.18886653687389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3.6053086859474592</v>
      </c>
      <c r="BQ97" s="23">
        <f>EXP(-LN(2)/25)*BQ96+(1-EXP(-LN(2)/25))/(LN(2)/25)*Calculateur!BL97*Calculateur!BN97*VLOOKUP('Données projet'!$B$11,Paramètres!$A$1:$I$89,3,0)*0.475*44/12</f>
        <v>2.7084759204377908</v>
      </c>
      <c r="BR97" s="23">
        <f>EXP(-LN(2)/2)*BR96+(1-EXP(-LN(2)/2))/(LN(2)/2)*BL97*BO97*VLOOKUP('Données projet'!$B$11,Paramètres!$A$1:$I$89,3,0)*0.475*44/12</f>
        <v>1.7047694662322233E-9</v>
      </c>
      <c r="BS97" s="24">
        <f t="shared" si="63"/>
        <v>6.3137846080900193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2.8421709430404007E-14</v>
      </c>
      <c r="BZ97" s="14">
        <f>BY97*VLOOKUP('Données projet'!$B$12,Paramètres!$A$1:$I$89,3,0)*VLOOKUP('Données projet'!$B$12,Paramètres!$A$1:$I$89,5,0)</f>
        <v>1.5518253349000589E-14</v>
      </c>
      <c r="CA97" s="14">
        <f t="shared" si="93"/>
        <v>2.8958815659671149E-13</v>
      </c>
      <c r="CB97" s="22">
        <f t="shared" si="64"/>
        <v>5.3139366398878183E-13</v>
      </c>
      <c r="CC97" s="62">
        <f t="shared" si="65"/>
        <v>275.640515077239</v>
      </c>
      <c r="CD97" s="62">
        <f ca="1">AVERAGE(OFFSET($CC$3,0,0,'Données projet'!$E$12+1,1))-AVERAGE(OFFSET($H$3,0,0,'Données projet'!$E$12+1,1))</f>
        <v>182.44246264133781</v>
      </c>
      <c r="CE97" s="62">
        <f t="shared" si="94"/>
        <v>262.5818213397049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1.2131849701861475</v>
      </c>
      <c r="CL97" s="23">
        <f>EXP(-LN(2)/25)*CL96+(1-EXP(-LN(2)/25))/(LN(2)/25)*Calculateur!CG97*Calculateur!CI97*VLOOKUP('Données projet'!$B$12,Paramètres!$A$1:$I$89,3,0)*0.475*44/12</f>
        <v>3.0691988426664842</v>
      </c>
      <c r="CM97" s="23">
        <f>EXP(-LN(2)/2)*CM96+(1-EXP(-LN(2)/2))/(LN(2)/2)*CG97*CJ97*VLOOKUP('Données projet'!$B$12,Paramètres!$A$1:$I$89,3,0)*0.475*44/12</f>
        <v>7.0281070571746897E-13</v>
      </c>
      <c r="CN97" s="24">
        <f t="shared" si="66"/>
        <v>4.2823838128533342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18.5</v>
      </c>
      <c r="CT97" s="13">
        <f>IF('Données projet'!$A$140&gt;35,CT96+CS97-DB96,IF(A97&lt;'Données projet'!$A$140,$CQ$205^A97,IF(A97='Données projet'!$A$140,'Données projet'!$B$140,CT96+CS97-DB96)))</f>
        <v>611.99999999999989</v>
      </c>
      <c r="CU97" s="18">
        <f>CT97*VLOOKUP('Données projet'!$B$13,Paramètres!$A$1:$I$89,3,0)*VLOOKUP('Données projet'!$B$13,Paramètres!$A$1:$I$89,5,0)</f>
        <v>286.41599999999994</v>
      </c>
      <c r="CV97" s="14">
        <f t="shared" si="95"/>
        <v>68.321101129951188</v>
      </c>
      <c r="CW97" s="22">
        <f t="shared" si="67"/>
        <v>617.83378446799827</v>
      </c>
      <c r="CX97" s="62">
        <f t="shared" si="68"/>
        <v>893.47429954523682</v>
      </c>
      <c r="CY97" s="62">
        <f ca="1">AVERAGE(OFFSET($CX$3,0,0,'Données projet'!$E$13+1,1))-AVERAGE(OFFSET($H$3,0,0,'Données projet'!$E$13+1,1))</f>
        <v>426.87921482911719</v>
      </c>
      <c r="CZ97" s="62">
        <f t="shared" si="96"/>
        <v>313.49594674441835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6</v>
      </c>
      <c r="DO97" s="13">
        <f>IF('Données projet'!$A$166&gt;35,DO96+DN97-DW96,IF(A97&lt;'Données projet'!$A$166,$DL$205^A97,IF(A97='Données projet'!$A$166,'Données projet'!$B$166,DO96+DN97-DW96)))</f>
        <v>325.99999999999994</v>
      </c>
      <c r="DP97" s="18">
        <f>DO97*VLOOKUP('Données projet'!$B$14,Paramètres!$A$1:$I$89,3,0)*VLOOKUP('Données projet'!$B$14,Paramètres!$A$1:$I$89,5,0)</f>
        <v>315.30719999999997</v>
      </c>
      <c r="DQ97" s="14">
        <f t="shared" si="97"/>
        <v>74.376087390025049</v>
      </c>
      <c r="DR97" s="22">
        <f t="shared" si="70"/>
        <v>678.69839220429355</v>
      </c>
      <c r="DS97" s="62">
        <f t="shared" si="71"/>
        <v>954.3389072815321</v>
      </c>
      <c r="DT97" s="62">
        <f ca="1">AVERAGE(OFFSET($DS$3,0,0,'Données projet'!$E$14+1,1))-AVERAGE(OFFSET($H$3,0,0,'Données projet'!$E$14+1,1))</f>
        <v>500.25828825677058</v>
      </c>
      <c r="DU97" s="62">
        <f t="shared" si="98"/>
        <v>313.56299786481338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0.43488029913526083</v>
      </c>
      <c r="EC97" s="23">
        <f>EXP(-LN(2)/2)*EC96+(1-EXP(-LN(2)/2))/(LN(2)/2)*DW97*DZ97*VLOOKUP('Données projet'!$B$14,Paramètres!$A$1:$I$89,3,0)*0.475*44/12</f>
        <v>5.851015481326591E-9</v>
      </c>
      <c r="ED97" s="24">
        <f t="shared" si="72"/>
        <v>0.43488030498627633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6</v>
      </c>
      <c r="EJ97" s="13">
        <f>IF('Données projet'!$A$192&gt;35,EJ96+EI97-ER96,IF(A97&lt;'Données projet'!$A$192,$EG$205^A97,IF(A97='Données projet'!$A$192,'Données projet'!$B$192,EJ96+EI97-ER96)))</f>
        <v>325.99999999999994</v>
      </c>
      <c r="EK97" s="18">
        <f>EJ97*VLOOKUP('Données projet'!$B$15,Paramètres!$A$1:$I$89,3,0)*VLOOKUP('Données projet'!$B$15,Paramètres!$A$1:$I$89,5,0)</f>
        <v>350.90639999999991</v>
      </c>
      <c r="EL97" s="14">
        <f t="shared" si="99"/>
        <v>81.749120308346747</v>
      </c>
      <c r="EM97" s="22">
        <f t="shared" si="73"/>
        <v>753.54169787037029</v>
      </c>
      <c r="EN97" s="62">
        <f t="shared" si="74"/>
        <v>1029.1822129476088</v>
      </c>
      <c r="EO97" s="62">
        <f ca="1">AVERAGE(OFFSET($EN$3,0,0,'Données projet'!$E$15+1,1))-AVERAGE(OFFSET($H$3,0,0,'Données projet'!$E$15+1,1))</f>
        <v>548.17046467409421</v>
      </c>
      <c r="EP97" s="62">
        <f t="shared" si="100"/>
        <v>341.9250949809848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0.48397968774730649</v>
      </c>
      <c r="EX97" s="23">
        <f>EXP(-LN(2)/2)*EX96+(1-EXP(-LN(2)/2))/(LN(2)/2)*ER97*EU97*VLOOKUP('Données projet'!$B$15,Paramètres!$A$1:$I$89,3,0)*0.475*44/12</f>
        <v>6.5116140034118463E-9</v>
      </c>
      <c r="EY97" s="24">
        <f t="shared" si="75"/>
        <v>0.48397969425892051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923.24234016049058</v>
      </c>
      <c r="S98" s="62">
        <f ca="1">AVERAGE(OFFSET($R$3,0,0,'Données projet'!$E$9+1,1))-AVERAGE(OFFSET($H$3,0,0,'Données projet'!$E$9+1,1))</f>
        <v>472.83070477639035</v>
      </c>
      <c r="T98" s="62">
        <f t="shared" si="88"/>
        <v>297.32483725004136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1.5059610832600887</v>
      </c>
      <c r="AB98" s="23">
        <f>EXP(-LN(2)/2)*AB97+(1-EXP(-LN(2)/2))/(LN(2)/2)*V98*Y98*VLOOKUP('Données projet'!$B$9,Paramètres!$A$1:$I$89,3,0)*0.475*44/12</f>
        <v>2.4546875518583613E-9</v>
      </c>
      <c r="AC98" s="24">
        <f t="shared" si="57"/>
        <v>1.5059610857147763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336.64799999999997</v>
      </c>
      <c r="AK98" s="14">
        <f t="shared" si="89"/>
        <v>78.807003163010378</v>
      </c>
      <c r="AL98" s="22">
        <f t="shared" si="58"/>
        <v>723.58413050890977</v>
      </c>
      <c r="AM98" s="62">
        <f t="shared" si="59"/>
        <v>999.53157642767565</v>
      </c>
      <c r="AN98" s="62">
        <f ca="1">AVERAGE(OFFSET($AM$3,0,0,'Données projet'!$E$10+1,1))-AVERAGE(OFFSET($H$3,0,0,'Données projet'!$E$10+1,1))</f>
        <v>520.80494930257237</v>
      </c>
      <c r="AO98" s="62">
        <f t="shared" si="90"/>
        <v>325.72635759450861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1.6877150071018241</v>
      </c>
      <c r="AW98" s="23">
        <f>EXP(-LN(2)/2)*AW97+(1-EXP(-LN(2)/2))/(LN(2)/2)*AQ98*AT98*VLOOKUP('Données projet'!$B$10,Paramètres!$A$1:$I$89,3,0)*0.475*44/12</f>
        <v>2.7509429460481588E-9</v>
      </c>
      <c r="AX98" s="23">
        <f t="shared" si="60"/>
        <v>1.6877150098527671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6.3550942286383367E-14</v>
      </c>
      <c r="BF98" s="14">
        <f t="shared" si="91"/>
        <v>1.0064464192543978E-12</v>
      </c>
      <c r="BG98" s="22">
        <f t="shared" si="61"/>
        <v>1.8635787380168604E-12</v>
      </c>
      <c r="BH98" s="62">
        <f t="shared" si="62"/>
        <v>275.94744591876781</v>
      </c>
      <c r="BI98" s="62">
        <f ca="1">AVERAGE(OFFSET($BH$3,0,0,'Données projet'!$E$11+1,1))-AVERAGE(OFFSET($H$3,0,0,'Données projet'!$E$11+1,1))</f>
        <v>321.60602866722138</v>
      </c>
      <c r="BJ98" s="62">
        <f t="shared" si="92"/>
        <v>375.18886653687389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3.5346107816371926</v>
      </c>
      <c r="BQ98" s="23">
        <f>EXP(-LN(2)/25)*BQ97+(1-EXP(-LN(2)/25))/(LN(2)/25)*Calculateur!BL98*Calculateur!BN98*VLOOKUP('Données projet'!$B$11,Paramètres!$A$1:$I$89,3,0)*0.475*44/12</f>
        <v>2.6344125039608612</v>
      </c>
      <c r="BR98" s="23">
        <f>EXP(-LN(2)/2)*BR97+(1-EXP(-LN(2)/2))/(LN(2)/2)*BL98*BO98*VLOOKUP('Données projet'!$B$11,Paramètres!$A$1:$I$89,3,0)*0.475*44/12</f>
        <v>1.2054540499325762E-9</v>
      </c>
      <c r="BS98" s="24">
        <f t="shared" si="63"/>
        <v>6.1690232868035082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2.8421709430404007E-14</v>
      </c>
      <c r="BZ98" s="14">
        <f>BY98*VLOOKUP('Données projet'!$B$12,Paramètres!$A$1:$I$89,3,0)*VLOOKUP('Données projet'!$B$12,Paramètres!$A$1:$I$89,5,0)</f>
        <v>1.5518253349000589E-14</v>
      </c>
      <c r="CA98" s="14">
        <f t="shared" si="93"/>
        <v>2.8958815659671149E-13</v>
      </c>
      <c r="CB98" s="22">
        <f t="shared" si="64"/>
        <v>5.3139366398878183E-13</v>
      </c>
      <c r="CC98" s="62">
        <f t="shared" si="65"/>
        <v>275.94744591876645</v>
      </c>
      <c r="CD98" s="62">
        <f ca="1">AVERAGE(OFFSET($CC$3,0,0,'Données projet'!$E$12+1,1))-AVERAGE(OFFSET($H$3,0,0,'Données projet'!$E$12+1,1))</f>
        <v>182.44246264133781</v>
      </c>
      <c r="CE98" s="62">
        <f t="shared" si="94"/>
        <v>262.5818213397049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1.1893951528905631</v>
      </c>
      <c r="CL98" s="23">
        <f>EXP(-LN(2)/25)*CL97+(1-EXP(-LN(2)/25))/(LN(2)/25)*Calculateur!CG98*Calculateur!CI98*VLOOKUP('Données projet'!$B$12,Paramètres!$A$1:$I$89,3,0)*0.475*44/12</f>
        <v>2.9852714389116168</v>
      </c>
      <c r="CM98" s="23">
        <f>EXP(-LN(2)/2)*CM97+(1-EXP(-LN(2)/2))/(LN(2)/2)*CG98*CJ98*VLOOKUP('Données projet'!$B$12,Paramètres!$A$1:$I$89,3,0)*0.475*44/12</f>
        <v>4.9696221590332538E-13</v>
      </c>
      <c r="CN98" s="24">
        <f t="shared" si="66"/>
        <v>4.1746665918026773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18.5</v>
      </c>
      <c r="CT98" s="13">
        <f>IF('Données projet'!$A$140&gt;35,CT97+CS98-DB97,IF(A98&lt;'Données projet'!$A$140,$CQ$205^A98,IF(A98='Données projet'!$A$140,'Données projet'!$B$140,CT97+CS98-DB97)))</f>
        <v>630.49999999999989</v>
      </c>
      <c r="CU98" s="18">
        <f>CT98*VLOOKUP('Données projet'!$B$13,Paramètres!$A$1:$I$89,3,0)*VLOOKUP('Données projet'!$B$13,Paramètres!$A$1:$I$89,5,0)</f>
        <v>295.07399999999996</v>
      </c>
      <c r="CV98" s="14">
        <f t="shared" si="95"/>
        <v>70.142791709481173</v>
      </c>
      <c r="CW98" s="22">
        <f t="shared" si="67"/>
        <v>636.08591222734628</v>
      </c>
      <c r="CX98" s="62">
        <f t="shared" si="68"/>
        <v>912.03335814611228</v>
      </c>
      <c r="CY98" s="62">
        <f ca="1">AVERAGE(OFFSET($CX$3,0,0,'Données projet'!$E$13+1,1))-AVERAGE(OFFSET($H$3,0,0,'Données projet'!$E$13+1,1))</f>
        <v>426.87921482911719</v>
      </c>
      <c r="CZ98" s="62">
        <f t="shared" si="96"/>
        <v>313.49594674441835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332</v>
      </c>
      <c r="DM98" s="13">
        <f>VLOOKUP(A98,'Données projet'!$A$165:$I$185,9,0)</f>
        <v>6</v>
      </c>
      <c r="DN98" s="13">
        <f t="array" ref="DN98">INDEX(DM:DM,MIN(IF(ISNUMBER(DM98:DM294),ROW(DM98:DM294),"")))</f>
        <v>6</v>
      </c>
      <c r="DO98" s="13">
        <f>IF('Données projet'!$A$166&gt;35,DO97+DN98-DW97,IF(A98&lt;'Données projet'!$A$166,$DL$205^A98,IF(A98='Données projet'!$A$166,'Données projet'!$B$166,DO97+DN98-DW97)))</f>
        <v>331.99999999999994</v>
      </c>
      <c r="DP98" s="18">
        <f>DO98*VLOOKUP('Données projet'!$B$14,Paramètres!$A$1:$I$89,3,0)*VLOOKUP('Données projet'!$B$14,Paramètres!$A$1:$I$89,5,0)</f>
        <v>321.11039999999997</v>
      </c>
      <c r="DQ98" s="14">
        <f t="shared" si="97"/>
        <v>75.584347378293316</v>
      </c>
      <c r="DR98" s="22">
        <f t="shared" si="70"/>
        <v>690.91001835052748</v>
      </c>
      <c r="DS98" s="62">
        <f t="shared" si="71"/>
        <v>966.85746426929336</v>
      </c>
      <c r="DT98" s="62">
        <f ca="1">AVERAGE(OFFSET($DS$3,0,0,'Données projet'!$E$14+1,1))-AVERAGE(OFFSET($H$3,0,0,'Données projet'!$E$14+1,1))</f>
        <v>500.25828825677058</v>
      </c>
      <c r="DU98" s="62">
        <f t="shared" si="98"/>
        <v>313.56299786481338</v>
      </c>
      <c r="DV98" s="16">
        <f>IF(ISNA(VLOOKUP(A98,'Données projet'!$A$165:$I$185,3,0)),0,VLOOKUP(A98,'Données projet'!$A$165:$I$185,3,0))</f>
        <v>16</v>
      </c>
      <c r="DW98" s="16">
        <f>IF(ISNA(VLOOKUP(A98,'Données projet'!$A$165:$I$185,4,0)),0,VLOOKUP(A98,'Données projet'!$A$165:$I$185,4,0))</f>
        <v>28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0.4229884744860461</v>
      </c>
      <c r="EC98" s="23">
        <f>EXP(-LN(2)/2)*EC97+(1-EXP(-LN(2)/2))/(LN(2)/2)*DW98*DZ98*VLOOKUP('Données projet'!$B$14,Paramètres!$A$1:$I$89,3,0)*0.475*44/12</f>
        <v>4.1372927236735037E-9</v>
      </c>
      <c r="ED98" s="24">
        <f t="shared" si="72"/>
        <v>0.42298847862333883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332</v>
      </c>
      <c r="EH98" s="13">
        <f>VLOOKUP(A98,'Données projet'!$A$191:$I$211,9,0)</f>
        <v>6</v>
      </c>
      <c r="EI98" s="13">
        <f t="array" ref="EI98">INDEX(EH:EH,MIN(IF(ISNUMBER(EH98:EH294),ROW(EH98:EH294),"")))</f>
        <v>6</v>
      </c>
      <c r="EJ98" s="13">
        <f>IF('Données projet'!$A$192&gt;35,EJ97+EI98-ER97,IF(A98&lt;'Données projet'!$A$192,$EG$205^A98,IF(A98='Données projet'!$A$192,'Données projet'!$B$192,EJ97+EI98-ER97)))</f>
        <v>331.99999999999994</v>
      </c>
      <c r="EK98" s="18">
        <f>EJ98*VLOOKUP('Données projet'!$B$15,Paramètres!$A$1:$I$89,3,0)*VLOOKUP('Données projet'!$B$15,Paramètres!$A$1:$I$89,5,0)</f>
        <v>357.36479999999995</v>
      </c>
      <c r="EL98" s="14">
        <f t="shared" si="99"/>
        <v>83.077157243480769</v>
      </c>
      <c r="EM98" s="22">
        <f t="shared" si="73"/>
        <v>767.10307553239545</v>
      </c>
      <c r="EN98" s="62">
        <f t="shared" si="74"/>
        <v>1043.0505214511613</v>
      </c>
      <c r="EO98" s="62">
        <f ca="1">AVERAGE(OFFSET($EN$3,0,0,'Données projet'!$E$15+1,1))-AVERAGE(OFFSET($H$3,0,0,'Données projet'!$E$15+1,1))</f>
        <v>548.17046467409421</v>
      </c>
      <c r="EP98" s="62">
        <f t="shared" si="100"/>
        <v>341.9250949809848</v>
      </c>
      <c r="EQ98" s="16">
        <f>IF(ISNA(VLOOKUP(A98,'Données projet'!$A$191:$I$211,3,0)),0,VLOOKUP(A98,'Données projet'!$A$191:$I$211,3,0))</f>
        <v>16</v>
      </c>
      <c r="ER98" s="16">
        <f>IF(ISNA(VLOOKUP(A98,'Données projet'!$A$191:$I$211,4,0)),0,VLOOKUP(A98,'Données projet'!$A$191:$I$211,4,0))</f>
        <v>28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0.47074523773447075</v>
      </c>
      <c r="EX98" s="23">
        <f>EXP(-LN(2)/2)*EX97+(1-EXP(-LN(2)/2))/(LN(2)/2)*ER98*EU98*VLOOKUP('Données projet'!$B$15,Paramètres!$A$1:$I$89,3,0)*0.475*44/12</f>
        <v>4.604406418281799E-9</v>
      </c>
      <c r="EY98" s="24">
        <f t="shared" si="75"/>
        <v>0.47074524233887716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881.19769056384939</v>
      </c>
      <c r="S99" s="62">
        <f ca="1">AVERAGE(OFFSET($R$3,0,0,'Données projet'!$E$9+1,1))-AVERAGE(OFFSET($H$3,0,0,'Données projet'!$E$9+1,1))</f>
        <v>472.83070477639035</v>
      </c>
      <c r="T99" s="62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1.4647804982432902</v>
      </c>
      <c r="AB99" s="23">
        <f>EXP(-LN(2)/2)*AB98+(1-EXP(-LN(2)/2))/(LN(2)/2)*V99*Y99*VLOOKUP('Données projet'!$B$9,Paramètres!$A$1:$I$89,3,0)*0.475*44/12</f>
        <v>1.7357262136132523E-9</v>
      </c>
      <c r="AC99" s="24">
        <f t="shared" si="57"/>
        <v>1.4647804999790164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314.13719999999995</v>
      </c>
      <c r="AK99" s="14">
        <f t="shared" si="89"/>
        <v>74.132174405952824</v>
      </c>
      <c r="AL99" s="22">
        <f t="shared" si="58"/>
        <v>676.23582709036771</v>
      </c>
      <c r="AM99" s="62">
        <f t="shared" si="59"/>
        <v>952.48487928675513</v>
      </c>
      <c r="AN99" s="62">
        <f ca="1">AVERAGE(OFFSET($AM$3,0,0,'Données projet'!$E$10+1,1))-AVERAGE(OFFSET($H$3,0,0,'Données projet'!$E$10+1,1))</f>
        <v>520.80494930257237</v>
      </c>
      <c r="AO99" s="62">
        <f t="shared" si="90"/>
        <v>325.72635759450861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1.6415643514795497</v>
      </c>
      <c r="AW99" s="23">
        <f>EXP(-LN(2)/2)*AW98+(1-EXP(-LN(2)/2))/(LN(2)/2)*AQ99*AT99*VLOOKUP('Données projet'!$B$10,Paramètres!$A$1:$I$89,3,0)*0.475*44/12</f>
        <v>1.9452104118079518E-9</v>
      </c>
      <c r="AX99" s="23">
        <f t="shared" si="60"/>
        <v>1.6415643534247601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6.3550942286383367E-14</v>
      </c>
      <c r="BF99" s="14">
        <f t="shared" si="91"/>
        <v>1.0064464192543978E-12</v>
      </c>
      <c r="BG99" s="22">
        <f t="shared" si="61"/>
        <v>1.8635787380168604E-12</v>
      </c>
      <c r="BH99" s="62">
        <f t="shared" si="62"/>
        <v>276.2490521963893</v>
      </c>
      <c r="BI99" s="62">
        <f ca="1">AVERAGE(OFFSET($BH$3,0,0,'Données projet'!$E$11+1,1))-AVERAGE(OFFSET($H$3,0,0,'Données projet'!$E$11+1,1))</f>
        <v>321.60602866722138</v>
      </c>
      <c r="BJ99" s="62">
        <f t="shared" si="92"/>
        <v>375.18886653687389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3.4652992201089865</v>
      </c>
      <c r="BQ99" s="23">
        <f>EXP(-LN(2)/25)*BQ98+(1-EXP(-LN(2)/25))/(LN(2)/25)*Calculateur!BL99*Calculateur!BN99*VLOOKUP('Données projet'!$B$11,Paramètres!$A$1:$I$89,3,0)*0.475*44/12</f>
        <v>2.5623743555023188</v>
      </c>
      <c r="BR99" s="23">
        <f>EXP(-LN(2)/2)*BR98+(1-EXP(-LN(2)/2))/(LN(2)/2)*BL99*BO99*VLOOKUP('Données projet'!$B$11,Paramètres!$A$1:$I$89,3,0)*0.475*44/12</f>
        <v>8.5238473311611167E-10</v>
      </c>
      <c r="BS99" s="24">
        <f t="shared" si="63"/>
        <v>6.0276735764636902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2.8421709430404007E-14</v>
      </c>
      <c r="BZ99" s="14">
        <f>BY99*VLOOKUP('Données projet'!$B$12,Paramètres!$A$1:$I$89,3,0)*VLOOKUP('Données projet'!$B$12,Paramètres!$A$1:$I$89,5,0)</f>
        <v>1.5518253349000589E-14</v>
      </c>
      <c r="CA99" s="14">
        <f t="shared" si="93"/>
        <v>2.8958815659671149E-13</v>
      </c>
      <c r="CB99" s="22">
        <f t="shared" si="64"/>
        <v>5.3139366398878183E-13</v>
      </c>
      <c r="CC99" s="62">
        <f t="shared" si="65"/>
        <v>276.24905219638794</v>
      </c>
      <c r="CD99" s="62">
        <f ca="1">AVERAGE(OFFSET($CC$3,0,0,'Données projet'!$E$12+1,1))-AVERAGE(OFFSET($H$3,0,0,'Données projet'!$E$12+1,1))</f>
        <v>182.44246264133781</v>
      </c>
      <c r="CE99" s="62">
        <f t="shared" si="94"/>
        <v>262.5818213397049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1.1660718394017893</v>
      </c>
      <c r="CL99" s="23">
        <f>EXP(-LN(2)/25)*CL98+(1-EXP(-LN(2)/25))/(LN(2)/25)*Calculateur!CG99*Calculateur!CI99*VLOOKUP('Données projet'!$B$12,Paramètres!$A$1:$I$89,3,0)*0.475*44/12</f>
        <v>2.9036390344259768</v>
      </c>
      <c r="CM99" s="23">
        <f>EXP(-LN(2)/2)*CM98+(1-EXP(-LN(2)/2))/(LN(2)/2)*CG99*CJ99*VLOOKUP('Données projet'!$B$12,Paramètres!$A$1:$I$89,3,0)*0.475*44/12</f>
        <v>3.5140535285873449E-13</v>
      </c>
      <c r="CN99" s="24">
        <f t="shared" si="66"/>
        <v>4.069710873828118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18.5</v>
      </c>
      <c r="CT99" s="13">
        <f>IF('Données projet'!$A$140&gt;35,CT98+CS99-DB98,IF(A99&lt;'Données projet'!$A$140,$CQ$205^A99,IF(A99='Données projet'!$A$140,'Données projet'!$B$140,CT98+CS99-DB98)))</f>
        <v>648.99999999999989</v>
      </c>
      <c r="CU99" s="18">
        <f>CT99*VLOOKUP('Données projet'!$B$13,Paramètres!$A$1:$I$89,3,0)*VLOOKUP('Données projet'!$B$13,Paramètres!$A$1:$I$89,5,0)</f>
        <v>303.73199999999997</v>
      </c>
      <c r="CV99" s="14">
        <f t="shared" si="95"/>
        <v>71.958270185981476</v>
      </c>
      <c r="CW99" s="22">
        <f t="shared" si="67"/>
        <v>654.32722057391766</v>
      </c>
      <c r="CX99" s="62">
        <f t="shared" si="68"/>
        <v>930.57627277030508</v>
      </c>
      <c r="CY99" s="62">
        <f ca="1">AVERAGE(OFFSET($CX$3,0,0,'Données projet'!$E$13+1,1))-AVERAGE(OFFSET($H$3,0,0,'Données projet'!$E$13+1,1))</f>
        <v>426.87921482911719</v>
      </c>
      <c r="CZ99" s="62">
        <f t="shared" si="96"/>
        <v>313.49594674441835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5.8</v>
      </c>
      <c r="DO99" s="13">
        <f>IF('Données projet'!$A$166&gt;35,DO98+DN99-DW98,IF(A99&lt;'Données projet'!$A$166,$DL$205^A99,IF(A99='Données projet'!$A$166,'Données projet'!$B$166,DO98+DN99-DW98)))</f>
        <v>309.79999999999995</v>
      </c>
      <c r="DP99" s="18">
        <f>DO99*VLOOKUP('Données projet'!$B$14,Paramètres!$A$1:$I$89,3,0)*VLOOKUP('Données projet'!$B$14,Paramètres!$A$1:$I$89,5,0)</f>
        <v>299.63855999999998</v>
      </c>
      <c r="DQ99" s="14">
        <f t="shared" si="97"/>
        <v>71.100686453177502</v>
      </c>
      <c r="DR99" s="22">
        <f t="shared" si="70"/>
        <v>645.70418757261734</v>
      </c>
      <c r="DS99" s="62">
        <f t="shared" si="71"/>
        <v>921.95323976900477</v>
      </c>
      <c r="DT99" s="62">
        <f ca="1">AVERAGE(OFFSET($DS$3,0,0,'Données projet'!$E$14+1,1))-AVERAGE(OFFSET($H$3,0,0,'Données projet'!$E$14+1,1))</f>
        <v>500.25828825677058</v>
      </c>
      <c r="DU99" s="62">
        <f t="shared" si="98"/>
        <v>313.56299786481338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0.41142183240722807</v>
      </c>
      <c r="EC99" s="23">
        <f>EXP(-LN(2)/2)*EC98+(1-EXP(-LN(2)/2))/(LN(2)/2)*DW99*DZ99*VLOOKUP('Données projet'!$B$14,Paramètres!$A$1:$I$89,3,0)*0.475*44/12</f>
        <v>2.9255077406632955E-9</v>
      </c>
      <c r="ED99" s="24">
        <f t="shared" si="72"/>
        <v>0.4114218353327358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5.8</v>
      </c>
      <c r="EJ99" s="13">
        <f>IF('Données projet'!$A$192&gt;35,EJ98+EI99-ER98,IF(A99&lt;'Données projet'!$A$192,$EG$205^A99,IF(A99='Données projet'!$A$192,'Données projet'!$B$192,EJ98+EI99-ER98)))</f>
        <v>309.79999999999995</v>
      </c>
      <c r="EK99" s="18">
        <f>EJ99*VLOOKUP('Données projet'!$B$15,Paramètres!$A$1:$I$89,3,0)*VLOOKUP('Données projet'!$B$15,Paramètres!$A$1:$I$89,5,0)</f>
        <v>333.46871999999991</v>
      </c>
      <c r="EL99" s="14">
        <f t="shared" si="99"/>
        <v>78.149023091074625</v>
      </c>
      <c r="EM99" s="22">
        <f t="shared" si="73"/>
        <v>716.90090255028815</v>
      </c>
      <c r="EN99" s="62">
        <f t="shared" si="74"/>
        <v>993.14995474667558</v>
      </c>
      <c r="EO99" s="62">
        <f ca="1">AVERAGE(OFFSET($EN$3,0,0,'Données projet'!$E$15+1,1))-AVERAGE(OFFSET($H$3,0,0,'Données projet'!$E$15+1,1))</f>
        <v>548.17046467409421</v>
      </c>
      <c r="EP99" s="62">
        <f t="shared" si="100"/>
        <v>341.9250949809848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0.4578726844532055</v>
      </c>
      <c r="EX99" s="23">
        <f>EXP(-LN(2)/2)*EX98+(1-EXP(-LN(2)/2))/(LN(2)/2)*ER99*EU99*VLOOKUP('Données projet'!$B$15,Paramètres!$A$1:$I$89,3,0)*0.475*44/12</f>
        <v>3.2558070017059231E-9</v>
      </c>
      <c r="EY99" s="24">
        <f t="shared" si="75"/>
        <v>0.45787268770901252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892.56325862733763</v>
      </c>
      <c r="S100" s="62">
        <f ca="1">AVERAGE(OFFSET($R$3,0,0,'Données projet'!$E$9+1,1))-AVERAGE(OFFSET($H$3,0,0,'Données projet'!$E$9+1,1))</f>
        <v>472.83070477639035</v>
      </c>
      <c r="T100" s="62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1.4247259984893688</v>
      </c>
      <c r="AB100" s="23">
        <f>EXP(-LN(2)/2)*AB99+(1-EXP(-LN(2)/2))/(LN(2)/2)*V100*Y100*VLOOKUP('Données projet'!$B$9,Paramètres!$A$1:$I$89,3,0)*0.475*44/12</f>
        <v>1.2273437759291807E-9</v>
      </c>
      <c r="AC100" s="24">
        <f t="shared" si="57"/>
        <v>1.4247259997167125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320.01839999999999</v>
      </c>
      <c r="AK100" s="14">
        <f t="shared" si="89"/>
        <v>75.357182127856944</v>
      </c>
      <c r="AL100" s="22">
        <f t="shared" si="58"/>
        <v>688.61247220601751</v>
      </c>
      <c r="AM100" s="62">
        <f t="shared" si="59"/>
        <v>965.15789848540032</v>
      </c>
      <c r="AN100" s="62">
        <f ca="1">AVERAGE(OFFSET($AM$3,0,0,'Données projet'!$E$10+1,1))-AVERAGE(OFFSET($H$3,0,0,'Données projet'!$E$10+1,1))</f>
        <v>520.80494930257237</v>
      </c>
      <c r="AO100" s="62">
        <f t="shared" si="90"/>
        <v>325.72635759450861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1.5966756879622239</v>
      </c>
      <c r="AW100" s="23">
        <f>EXP(-LN(2)/2)*AW99+(1-EXP(-LN(2)/2))/(LN(2)/2)*AQ100*AT100*VLOOKUP('Données projet'!$B$10,Paramètres!$A$1:$I$89,3,0)*0.475*44/12</f>
        <v>1.3754714730240794E-9</v>
      </c>
      <c r="AX100" s="23">
        <f t="shared" si="60"/>
        <v>1.5966756893376954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6.3550942286383367E-14</v>
      </c>
      <c r="BF100" s="14">
        <f t="shared" si="91"/>
        <v>1.0064464192543978E-12</v>
      </c>
      <c r="BG100" s="22">
        <f t="shared" si="61"/>
        <v>1.8635787380168604E-12</v>
      </c>
      <c r="BH100" s="62">
        <f t="shared" si="62"/>
        <v>276.54542627938469</v>
      </c>
      <c r="BI100" s="62">
        <f ca="1">AVERAGE(OFFSET($BH$3,0,0,'Données projet'!$E$11+1,1))-AVERAGE(OFFSET($H$3,0,0,'Données projet'!$E$11+1,1))</f>
        <v>321.60602866722138</v>
      </c>
      <c r="BJ100" s="62">
        <f t="shared" si="92"/>
        <v>375.18886653687389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3.3973468160264706</v>
      </c>
      <c r="BQ100" s="23">
        <f>EXP(-LN(2)/25)*BQ99+(1-EXP(-LN(2)/25))/(LN(2)/25)*Calculateur!BL100*Calculateur!BN100*VLOOKUP('Données projet'!$B$11,Paramètres!$A$1:$I$89,3,0)*0.475*44/12</f>
        <v>2.4923060940016968</v>
      </c>
      <c r="BR100" s="23">
        <f>EXP(-LN(2)/2)*BR99+(1-EXP(-LN(2)/2))/(LN(2)/2)*BL100*BO100*VLOOKUP('Données projet'!$B$11,Paramètres!$A$1:$I$89,3,0)*0.475*44/12</f>
        <v>6.0272702496628808E-10</v>
      </c>
      <c r="BS100" s="24">
        <f t="shared" si="63"/>
        <v>5.8896529106308941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2.8421709430404007E-14</v>
      </c>
      <c r="BZ100" s="14">
        <f>BY100*VLOOKUP('Données projet'!$B$12,Paramètres!$A$1:$I$89,3,0)*VLOOKUP('Données projet'!$B$12,Paramètres!$A$1:$I$89,5,0)</f>
        <v>1.5518253349000589E-14</v>
      </c>
      <c r="CA100" s="14">
        <f t="shared" si="93"/>
        <v>2.8958815659671149E-13</v>
      </c>
      <c r="CB100" s="22">
        <f t="shared" si="64"/>
        <v>5.3139366398878183E-13</v>
      </c>
      <c r="CC100" s="62">
        <f t="shared" si="65"/>
        <v>276.54542627938332</v>
      </c>
      <c r="CD100" s="62">
        <f ca="1">AVERAGE(OFFSET($CC$3,0,0,'Données projet'!$E$12+1,1))-AVERAGE(OFFSET($H$3,0,0,'Données projet'!$E$12+1,1))</f>
        <v>182.44246264133781</v>
      </c>
      <c r="CE100" s="62">
        <f t="shared" si="94"/>
        <v>262.5818213397049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1.1432058818647137</v>
      </c>
      <c r="CL100" s="23">
        <f>EXP(-LN(2)/25)*CL99+(1-EXP(-LN(2)/25))/(LN(2)/25)*Calculateur!CG100*Calculateur!CI100*VLOOKUP('Données projet'!$B$12,Paramètres!$A$1:$I$89,3,0)*0.475*44/12</f>
        <v>2.8242388723338578</v>
      </c>
      <c r="CM100" s="23">
        <f>EXP(-LN(2)/2)*CM99+(1-EXP(-LN(2)/2))/(LN(2)/2)*CG100*CJ100*VLOOKUP('Données projet'!$B$12,Paramètres!$A$1:$I$89,3,0)*0.475*44/12</f>
        <v>2.4848110795166269E-13</v>
      </c>
      <c r="CN100" s="24">
        <f t="shared" si="66"/>
        <v>3.9674447541988203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18.5</v>
      </c>
      <c r="CT100" s="13">
        <f>IF('Données projet'!$A$140&gt;35,CT99+CS100-DB99,IF(A100&lt;'Données projet'!$A$140,$CQ$205^A100,IF(A100='Données projet'!$A$140,'Données projet'!$B$140,CT99+CS100-DB99)))</f>
        <v>667.49999999999989</v>
      </c>
      <c r="CU100" s="18">
        <f>CT100*VLOOKUP('Données projet'!$B$13,Paramètres!$A$1:$I$89,3,0)*VLOOKUP('Données projet'!$B$13,Paramètres!$A$1:$I$89,5,0)</f>
        <v>312.38999999999993</v>
      </c>
      <c r="CV100" s="14">
        <f t="shared" si="95"/>
        <v>73.767733976388286</v>
      </c>
      <c r="CW100" s="22">
        <f t="shared" si="67"/>
        <v>672.55805334220952</v>
      </c>
      <c r="CX100" s="62">
        <f t="shared" si="68"/>
        <v>949.10347962159233</v>
      </c>
      <c r="CY100" s="62">
        <f ca="1">AVERAGE(OFFSET($CX$3,0,0,'Données projet'!$E$13+1,1))-AVERAGE(OFFSET($H$3,0,0,'Données projet'!$E$13+1,1))</f>
        <v>426.87921482911719</v>
      </c>
      <c r="CZ100" s="62">
        <f t="shared" si="96"/>
        <v>313.49594674441835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5.8</v>
      </c>
      <c r="DO100" s="13">
        <f>IF('Données projet'!$A$166&gt;35,DO99+DN100-DW99,IF(A100&lt;'Données projet'!$A$166,$DL$205^A100,IF(A100='Données projet'!$A$166,'Données projet'!$B$166,DO99+DN100-DW99)))</f>
        <v>315.59999999999997</v>
      </c>
      <c r="DP100" s="18">
        <f>DO100*VLOOKUP('Données projet'!$B$14,Paramètres!$A$1:$I$89,3,0)*VLOOKUP('Données projet'!$B$14,Paramètres!$A$1:$I$89,5,0)</f>
        <v>305.24831999999998</v>
      </c>
      <c r="DQ100" s="14">
        <f t="shared" si="97"/>
        <v>72.275599918697424</v>
      </c>
      <c r="DR100" s="22">
        <f t="shared" si="70"/>
        <v>657.5208271917312</v>
      </c>
      <c r="DS100" s="62">
        <f t="shared" si="71"/>
        <v>934.06625347111401</v>
      </c>
      <c r="DT100" s="62">
        <f ca="1">AVERAGE(OFFSET($DS$3,0,0,'Données projet'!$E$14+1,1))-AVERAGE(OFFSET($H$3,0,0,'Données projet'!$E$14+1,1))</f>
        <v>500.25828825677058</v>
      </c>
      <c r="DU100" s="62">
        <f t="shared" si="98"/>
        <v>313.56299786481338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0.40017148076431858</v>
      </c>
      <c r="EC100" s="23">
        <f>EXP(-LN(2)/2)*EC99+(1-EXP(-LN(2)/2))/(LN(2)/2)*DW100*DZ100*VLOOKUP('Données projet'!$B$14,Paramètres!$A$1:$I$89,3,0)*0.475*44/12</f>
        <v>2.0686463618367519E-9</v>
      </c>
      <c r="ED100" s="24">
        <f t="shared" si="72"/>
        <v>0.40017148283296494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5.8</v>
      </c>
      <c r="EJ100" s="13">
        <f>IF('Données projet'!$A$192&gt;35,EJ99+EI100-ER99,IF(A100&lt;'Données projet'!$A$192,$EG$205^A100,IF(A100='Données projet'!$A$192,'Données projet'!$B$192,EJ99+EI100-ER99)))</f>
        <v>315.59999999999997</v>
      </c>
      <c r="EK100" s="18">
        <f>EJ100*VLOOKUP('Données projet'!$B$15,Paramètres!$A$1:$I$89,3,0)*VLOOKUP('Données projet'!$B$15,Paramètres!$A$1:$I$89,5,0)</f>
        <v>339.71183999999994</v>
      </c>
      <c r="EL100" s="14">
        <f t="shared" si="99"/>
        <v>79.440407803757992</v>
      </c>
      <c r="EM100" s="22">
        <f t="shared" si="73"/>
        <v>730.02349825821159</v>
      </c>
      <c r="EN100" s="62">
        <f t="shared" si="74"/>
        <v>1006.5689245375944</v>
      </c>
      <c r="EO100" s="62">
        <f ca="1">AVERAGE(OFFSET($EN$3,0,0,'Données projet'!$E$15+1,1))-AVERAGE(OFFSET($H$3,0,0,'Données projet'!$E$15+1,1))</f>
        <v>548.17046467409421</v>
      </c>
      <c r="EP100" s="62">
        <f t="shared" si="100"/>
        <v>341.9250949809848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0.44535213181835459</v>
      </c>
      <c r="EX100" s="23">
        <f>EXP(-LN(2)/2)*EX99+(1-EXP(-LN(2)/2))/(LN(2)/2)*ER100*EU100*VLOOKUP('Données projet'!$B$15,Paramètres!$A$1:$I$89,3,0)*0.475*44/12</f>
        <v>2.3022032091408995E-9</v>
      </c>
      <c r="EY100" s="24">
        <f t="shared" si="75"/>
        <v>0.4453521341205578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903.91956254163097</v>
      </c>
      <c r="S101" s="62">
        <f ca="1">AVERAGE(OFFSET($R$3,0,0,'Données projet'!$E$9+1,1))-AVERAGE(OFFSET($H$3,0,0,'Données projet'!$E$9+1,1))</f>
        <v>472.83070477639035</v>
      </c>
      <c r="T101" s="62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1.385766791137593</v>
      </c>
      <c r="AB101" s="23">
        <f>EXP(-LN(2)/2)*AB100+(1-EXP(-LN(2)/2))/(LN(2)/2)*V101*Y101*VLOOKUP('Données projet'!$B$9,Paramètres!$A$1:$I$89,3,0)*0.475*44/12</f>
        <v>8.6786310680662617E-10</v>
      </c>
      <c r="AC101" s="24">
        <f t="shared" si="57"/>
        <v>1.3857667920054562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325.89960000000002</v>
      </c>
      <c r="AK101" s="14">
        <f t="shared" si="89"/>
        <v>76.579572003009503</v>
      </c>
      <c r="AL101" s="22">
        <f t="shared" si="58"/>
        <v>700.98455790524156</v>
      </c>
      <c r="AM101" s="62">
        <f t="shared" si="59"/>
        <v>977.82121683987293</v>
      </c>
      <c r="AN101" s="62">
        <f ca="1">AVERAGE(OFFSET($AM$3,0,0,'Données projet'!$E$10+1,1))-AVERAGE(OFFSET($H$3,0,0,'Données projet'!$E$10+1,1))</f>
        <v>520.80494930257237</v>
      </c>
      <c r="AO101" s="62">
        <f t="shared" si="90"/>
        <v>325.72635759450861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1.5530145073093717</v>
      </c>
      <c r="AW101" s="23">
        <f>EXP(-LN(2)/2)*AW100+(1-EXP(-LN(2)/2))/(LN(2)/2)*AQ101*AT101*VLOOKUP('Données projet'!$B$10,Paramètres!$A$1:$I$89,3,0)*0.475*44/12</f>
        <v>9.7260520590397591E-10</v>
      </c>
      <c r="AX101" s="23">
        <f t="shared" si="60"/>
        <v>1.5530145082819768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6.3550942286383367E-14</v>
      </c>
      <c r="BF101" s="14">
        <f t="shared" si="91"/>
        <v>1.0064464192543978E-12</v>
      </c>
      <c r="BG101" s="22">
        <f t="shared" si="61"/>
        <v>1.8635787380168604E-12</v>
      </c>
      <c r="BH101" s="62">
        <f t="shared" si="62"/>
        <v>276.83665893463325</v>
      </c>
      <c r="BI101" s="62">
        <f ca="1">AVERAGE(OFFSET($BH$3,0,0,'Données projet'!$E$11+1,1))-AVERAGE(OFFSET($H$3,0,0,'Données projet'!$E$11+1,1))</f>
        <v>321.60602866722138</v>
      </c>
      <c r="BJ101" s="62">
        <f t="shared" si="92"/>
        <v>375.18886653687389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3.3307269171411389</v>
      </c>
      <c r="BQ101" s="23">
        <f>EXP(-LN(2)/25)*BQ100+(1-EXP(-LN(2)/25))/(LN(2)/25)*Calculateur!BL101*Calculateur!BN101*VLOOKUP('Données projet'!$B$11,Paramètres!$A$1:$I$89,3,0)*0.475*44/12</f>
        <v>2.4241538527965392</v>
      </c>
      <c r="BR101" s="23">
        <f>EXP(-LN(2)/2)*BR100+(1-EXP(-LN(2)/2))/(LN(2)/2)*BL101*BO101*VLOOKUP('Données projet'!$B$11,Paramètres!$A$1:$I$89,3,0)*0.475*44/12</f>
        <v>4.2619236655805584E-10</v>
      </c>
      <c r="BS101" s="24">
        <f t="shared" si="63"/>
        <v>5.7548807703638705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2.8421709430404007E-14</v>
      </c>
      <c r="BZ101" s="14">
        <f>BY101*VLOOKUP('Données projet'!$B$12,Paramètres!$A$1:$I$89,3,0)*VLOOKUP('Données projet'!$B$12,Paramètres!$A$1:$I$89,5,0)</f>
        <v>1.5518253349000589E-14</v>
      </c>
      <c r="CA101" s="14">
        <f t="shared" si="93"/>
        <v>2.8958815659671149E-13</v>
      </c>
      <c r="CB101" s="22">
        <f t="shared" si="64"/>
        <v>5.3139366398878183E-13</v>
      </c>
      <c r="CC101" s="62">
        <f t="shared" si="65"/>
        <v>276.83665893463188</v>
      </c>
      <c r="CD101" s="62">
        <f ca="1">AVERAGE(OFFSET($CC$3,0,0,'Données projet'!$E$12+1,1))-AVERAGE(OFFSET($H$3,0,0,'Données projet'!$E$12+1,1))</f>
        <v>182.44246264133781</v>
      </c>
      <c r="CE101" s="62">
        <f t="shared" si="94"/>
        <v>262.5818213397049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1.1207883118080832</v>
      </c>
      <c r="CL101" s="23">
        <f>EXP(-LN(2)/25)*CL100+(1-EXP(-LN(2)/25))/(LN(2)/25)*Calculateur!CG101*Calculateur!CI101*VLOOKUP('Données projet'!$B$12,Paramètres!$A$1:$I$89,3,0)*0.475*44/12</f>
        <v>2.747009911849621</v>
      </c>
      <c r="CM101" s="23">
        <f>EXP(-LN(2)/2)*CM100+(1-EXP(-LN(2)/2))/(LN(2)/2)*CG101*CJ101*VLOOKUP('Données projet'!$B$12,Paramètres!$A$1:$I$89,3,0)*0.475*44/12</f>
        <v>1.7570267642936724E-13</v>
      </c>
      <c r="CN101" s="24">
        <f t="shared" si="66"/>
        <v>3.8677982236578803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18.5</v>
      </c>
      <c r="CT101" s="13">
        <f>IF('Données projet'!$A$140&gt;35,CT100+CS101-DB100,IF(A101&lt;'Données projet'!$A$140,$CQ$205^A101,IF(A101='Données projet'!$A$140,'Données projet'!$B$140,CT100+CS101-DB100)))</f>
        <v>685.99999999999989</v>
      </c>
      <c r="CU101" s="18">
        <f>CT101*VLOOKUP('Données projet'!$B$13,Paramètres!$A$1:$I$89,3,0)*VLOOKUP('Données projet'!$B$13,Paramètres!$A$1:$I$89,5,0)</f>
        <v>321.04799999999994</v>
      </c>
      <c r="CV101" s="14">
        <f t="shared" si="95"/>
        <v>75.571368931978697</v>
      </c>
      <c r="CW101" s="22">
        <f t="shared" si="67"/>
        <v>690.77873422319624</v>
      </c>
      <c r="CX101" s="62">
        <f t="shared" si="68"/>
        <v>967.61539315782761</v>
      </c>
      <c r="CY101" s="62">
        <f ca="1">AVERAGE(OFFSET($CX$3,0,0,'Données projet'!$E$13+1,1))-AVERAGE(OFFSET($H$3,0,0,'Données projet'!$E$13+1,1))</f>
        <v>426.87921482911719</v>
      </c>
      <c r="CZ101" s="62">
        <f t="shared" si="96"/>
        <v>313.49594674441835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5.8</v>
      </c>
      <c r="DO101" s="13">
        <f>IF('Données projet'!$A$166&gt;35,DO100+DN101-DW100,IF(A101&lt;'Données projet'!$A$166,$DL$205^A101,IF(A101='Données projet'!$A$166,'Données projet'!$B$166,DO100+DN101-DW100)))</f>
        <v>321.39999999999998</v>
      </c>
      <c r="DP101" s="18">
        <f>DO101*VLOOKUP('Données projet'!$B$14,Paramètres!$A$1:$I$89,3,0)*VLOOKUP('Données projet'!$B$14,Paramètres!$A$1:$I$89,5,0)</f>
        <v>310.85807999999997</v>
      </c>
      <c r="DQ101" s="14">
        <f t="shared" si="97"/>
        <v>73.448002589106309</v>
      </c>
      <c r="DR101" s="22">
        <f t="shared" si="70"/>
        <v>669.33309384269342</v>
      </c>
      <c r="DS101" s="62">
        <f t="shared" si="71"/>
        <v>946.16975277732479</v>
      </c>
      <c r="DT101" s="62">
        <f ca="1">AVERAGE(OFFSET($DS$3,0,0,'Données projet'!$E$14+1,1))-AVERAGE(OFFSET($H$3,0,0,'Données projet'!$E$14+1,1))</f>
        <v>500.25828825677058</v>
      </c>
      <c r="DU101" s="62">
        <f t="shared" si="98"/>
        <v>313.56299786481338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0.38922877057871469</v>
      </c>
      <c r="EC101" s="23">
        <f>EXP(-LN(2)/2)*EC100+(1-EXP(-LN(2)/2))/(LN(2)/2)*DW101*DZ101*VLOOKUP('Données projet'!$B$14,Paramètres!$A$1:$I$89,3,0)*0.475*44/12</f>
        <v>1.4627538703316477E-9</v>
      </c>
      <c r="ED101" s="24">
        <f t="shared" si="72"/>
        <v>0.38922877204146855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5.8</v>
      </c>
      <c r="EJ101" s="13">
        <f>IF('Données projet'!$A$192&gt;35,EJ100+EI101-ER100,IF(A101&lt;'Données projet'!$A$192,$EG$205^A101,IF(A101='Données projet'!$A$192,'Données projet'!$B$192,EJ100+EI101-ER100)))</f>
        <v>321.39999999999998</v>
      </c>
      <c r="EK101" s="18">
        <f>EJ101*VLOOKUP('Données projet'!$B$15,Paramètres!$A$1:$I$89,3,0)*VLOOKUP('Données projet'!$B$15,Paramètres!$A$1:$I$89,5,0)</f>
        <v>345.95495999999997</v>
      </c>
      <c r="EL101" s="14">
        <f t="shared" si="99"/>
        <v>80.729032821776102</v>
      </c>
      <c r="EM101" s="22">
        <f t="shared" si="73"/>
        <v>743.14128749792656</v>
      </c>
      <c r="EN101" s="62">
        <f t="shared" si="74"/>
        <v>1019.9779464325579</v>
      </c>
      <c r="EO101" s="62">
        <f ca="1">AVERAGE(OFFSET($EN$3,0,0,'Données projet'!$E$15+1,1))-AVERAGE(OFFSET($H$3,0,0,'Données projet'!$E$15+1,1))</f>
        <v>548.17046467409421</v>
      </c>
      <c r="EP101" s="62">
        <f t="shared" si="100"/>
        <v>341.9250949809848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0.43317395435373096</v>
      </c>
      <c r="EX101" s="23">
        <f>EXP(-LN(2)/2)*EX100+(1-EXP(-LN(2)/2))/(LN(2)/2)*ER101*EU101*VLOOKUP('Données projet'!$B$15,Paramètres!$A$1:$I$89,3,0)*0.475*44/12</f>
        <v>1.6279035008529616E-9</v>
      </c>
      <c r="EY101" s="24">
        <f t="shared" si="75"/>
        <v>0.43317395598163444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915.26677447976931</v>
      </c>
      <c r="S102" s="62">
        <f ca="1">AVERAGE(OFFSET($R$3,0,0,'Données projet'!$E$9+1,1))-AVERAGE(OFFSET($H$3,0,0,'Données projet'!$E$9+1,1))</f>
        <v>472.83070477639035</v>
      </c>
      <c r="T102" s="62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1.3478729253596273</v>
      </c>
      <c r="AB102" s="23">
        <f>EXP(-LN(2)/2)*AB101+(1-EXP(-LN(2)/2))/(LN(2)/2)*V102*Y102*VLOOKUP('Données projet'!$B$9,Paramètres!$A$1:$I$89,3,0)*0.475*44/12</f>
        <v>6.1367188796459033E-10</v>
      </c>
      <c r="AC102" s="24">
        <f t="shared" si="57"/>
        <v>1.3478729259732991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331.7808</v>
      </c>
      <c r="AK102" s="14">
        <f t="shared" si="89"/>
        <v>77.799396722557162</v>
      </c>
      <c r="AL102" s="22">
        <f t="shared" si="58"/>
        <v>713.3521759584537</v>
      </c>
      <c r="AM102" s="62">
        <f t="shared" si="59"/>
        <v>990.47501531286389</v>
      </c>
      <c r="AN102" s="62">
        <f ca="1">AVERAGE(OFFSET($AM$3,0,0,'Données projet'!$E$10+1,1))-AVERAGE(OFFSET($H$3,0,0,'Données projet'!$E$10+1,1))</f>
        <v>520.80494930257237</v>
      </c>
      <c r="AO102" s="62">
        <f t="shared" si="90"/>
        <v>325.72635759450861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1.5105472439375134</v>
      </c>
      <c r="AW102" s="23">
        <f>EXP(-LN(2)/2)*AW101+(1-EXP(-LN(2)/2))/(LN(2)/2)*AQ102*AT102*VLOOKUP('Données projet'!$B$10,Paramètres!$A$1:$I$89,3,0)*0.475*44/12</f>
        <v>6.877357365120397E-10</v>
      </c>
      <c r="AX102" s="23">
        <f t="shared" si="60"/>
        <v>1.510547244625249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6.3550942286383367E-14</v>
      </c>
      <c r="BF102" s="14">
        <f t="shared" si="91"/>
        <v>1.0064464192543978E-12</v>
      </c>
      <c r="BG102" s="22">
        <f t="shared" si="61"/>
        <v>1.8635787380168604E-12</v>
      </c>
      <c r="BH102" s="62">
        <f t="shared" si="62"/>
        <v>277.12283935441201</v>
      </c>
      <c r="BI102" s="62">
        <f ca="1">AVERAGE(OFFSET($BH$3,0,0,'Données projet'!$E$11+1,1))-AVERAGE(OFFSET($H$3,0,0,'Données projet'!$E$11+1,1))</f>
        <v>321.60602866722138</v>
      </c>
      <c r="BJ102" s="62">
        <f t="shared" si="92"/>
        <v>375.18886653687389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3.2654133938388226</v>
      </c>
      <c r="BQ102" s="23">
        <f>EXP(-LN(2)/25)*BQ101+(1-EXP(-LN(2)/25))/(LN(2)/25)*Calculateur!BL102*Calculateur!BN102*VLOOKUP('Données projet'!$B$11,Paramètres!$A$1:$I$89,3,0)*0.475*44/12</f>
        <v>2.3578652382111072</v>
      </c>
      <c r="BR102" s="23">
        <f>EXP(-LN(2)/2)*BR101+(1-EXP(-LN(2)/2))/(LN(2)/2)*BL102*BO102*VLOOKUP('Données projet'!$B$11,Paramètres!$A$1:$I$89,3,0)*0.475*44/12</f>
        <v>3.0136351248314404E-10</v>
      </c>
      <c r="BS102" s="24">
        <f t="shared" si="63"/>
        <v>5.6232786323512931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2.8421709430404007E-14</v>
      </c>
      <c r="BZ102" s="14">
        <f>BY102*VLOOKUP('Données projet'!$B$12,Paramètres!$A$1:$I$89,3,0)*VLOOKUP('Données projet'!$B$12,Paramètres!$A$1:$I$89,5,0)</f>
        <v>1.5518253349000589E-14</v>
      </c>
      <c r="CA102" s="14">
        <f t="shared" si="93"/>
        <v>2.8958815659671149E-13</v>
      </c>
      <c r="CB102" s="22">
        <f t="shared" si="64"/>
        <v>5.3139366398878183E-13</v>
      </c>
      <c r="CC102" s="62">
        <f t="shared" si="65"/>
        <v>277.12283935441064</v>
      </c>
      <c r="CD102" s="62">
        <f ca="1">AVERAGE(OFFSET($CC$3,0,0,'Données projet'!$E$12+1,1))-AVERAGE(OFFSET($H$3,0,0,'Données projet'!$E$12+1,1))</f>
        <v>182.44246264133781</v>
      </c>
      <c r="CE102" s="62">
        <f t="shared" si="94"/>
        <v>262.5818213397049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1.0988103366268958</v>
      </c>
      <c r="CL102" s="23">
        <f>EXP(-LN(2)/25)*CL101+(1-EXP(-LN(2)/25))/(LN(2)/25)*Calculateur!CG102*Calculateur!CI102*VLOOKUP('Données projet'!$B$12,Paramètres!$A$1:$I$89,3,0)*0.475*44/12</f>
        <v>2.67189278135112</v>
      </c>
      <c r="CM102" s="23">
        <f>EXP(-LN(2)/2)*CM101+(1-EXP(-LN(2)/2))/(LN(2)/2)*CG102*CJ102*VLOOKUP('Données projet'!$B$12,Paramètres!$A$1:$I$89,3,0)*0.475*44/12</f>
        <v>1.2424055397583134E-13</v>
      </c>
      <c r="CN102" s="24">
        <f t="shared" si="66"/>
        <v>3.7707031179781403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18.5</v>
      </c>
      <c r="CT102" s="13">
        <f>IF('Données projet'!$A$140&gt;35,CT101+CS102-DB101,IF(A102&lt;'Données projet'!$A$140,$CQ$205^A102,IF(A102='Données projet'!$A$140,'Données projet'!$B$140,CT101+CS102-DB101)))</f>
        <v>704.49999999999989</v>
      </c>
      <c r="CU102" s="18">
        <f>CT102*VLOOKUP('Données projet'!$B$13,Paramètres!$A$1:$I$89,3,0)*VLOOKUP('Données projet'!$B$13,Paramètres!$A$1:$I$89,5,0)</f>
        <v>329.70599999999996</v>
      </c>
      <c r="CV102" s="14">
        <f t="shared" si="95"/>
        <v>77.369350309333612</v>
      </c>
      <c r="CW102" s="22">
        <f t="shared" si="67"/>
        <v>708.98956845542261</v>
      </c>
      <c r="CX102" s="62">
        <f t="shared" si="68"/>
        <v>986.1124078098328</v>
      </c>
      <c r="CY102" s="62">
        <f ca="1">AVERAGE(OFFSET($CX$3,0,0,'Données projet'!$E$13+1,1))-AVERAGE(OFFSET($H$3,0,0,'Données projet'!$E$13+1,1))</f>
        <v>426.87921482911719</v>
      </c>
      <c r="CZ102" s="62">
        <f t="shared" si="96"/>
        <v>313.49594674441835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5.8</v>
      </c>
      <c r="DO102" s="13">
        <f>IF('Données projet'!$A$166&gt;35,DO101+DN102-DW101,IF(A102&lt;'Données projet'!$A$166,$DL$205^A102,IF(A102='Données projet'!$A$166,'Données projet'!$B$166,DO101+DN102-DW101)))</f>
        <v>327.2</v>
      </c>
      <c r="DP102" s="18">
        <f>DO102*VLOOKUP('Données projet'!$B$14,Paramètres!$A$1:$I$89,3,0)*VLOOKUP('Données projet'!$B$14,Paramètres!$A$1:$I$89,5,0)</f>
        <v>316.46784000000002</v>
      </c>
      <c r="DQ102" s="14">
        <f t="shared" si="97"/>
        <v>74.617945000851194</v>
      </c>
      <c r="DR102" s="22">
        <f t="shared" si="70"/>
        <v>681.14107554314921</v>
      </c>
      <c r="DS102" s="62">
        <f t="shared" si="71"/>
        <v>958.26391489755929</v>
      </c>
      <c r="DT102" s="62">
        <f ca="1">AVERAGE(OFFSET($DS$3,0,0,'Données projet'!$E$14+1,1))-AVERAGE(OFFSET($H$3,0,0,'Données projet'!$E$14+1,1))</f>
        <v>500.25828825677058</v>
      </c>
      <c r="DU102" s="62">
        <f t="shared" si="98"/>
        <v>313.56299786481338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0.37858528937858826</v>
      </c>
      <c r="EC102" s="23">
        <f>EXP(-LN(2)/2)*EC101+(1-EXP(-LN(2)/2))/(LN(2)/2)*DW102*DZ102*VLOOKUP('Données projet'!$B$14,Paramètres!$A$1:$I$89,3,0)*0.475*44/12</f>
        <v>1.0343231809183759E-9</v>
      </c>
      <c r="ED102" s="24">
        <f t="shared" si="72"/>
        <v>0.37858529041291145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5.8</v>
      </c>
      <c r="EJ102" s="13">
        <f>IF('Données projet'!$A$192&gt;35,EJ101+EI102-ER101,IF(A102&lt;'Données projet'!$A$192,$EG$205^A102,IF(A102='Données projet'!$A$192,'Données projet'!$B$192,EJ101+EI102-ER101)))</f>
        <v>327.2</v>
      </c>
      <c r="EK102" s="18">
        <f>EJ102*VLOOKUP('Données projet'!$B$15,Paramètres!$A$1:$I$89,3,0)*VLOOKUP('Données projet'!$B$15,Paramètres!$A$1:$I$89,5,0)</f>
        <v>352.19807999999995</v>
      </c>
      <c r="EL102" s="14">
        <f t="shared" si="99"/>
        <v>82.014953691343081</v>
      </c>
      <c r="EM102" s="22">
        <f t="shared" si="73"/>
        <v>756.25436701242234</v>
      </c>
      <c r="EN102" s="62">
        <f t="shared" si="74"/>
        <v>1033.3772063668325</v>
      </c>
      <c r="EO102" s="62">
        <f ca="1">AVERAGE(OFFSET($EN$3,0,0,'Données projet'!$E$15+1,1))-AVERAGE(OFFSET($H$3,0,0,'Données projet'!$E$15+1,1))</f>
        <v>548.17046467409421</v>
      </c>
      <c r="EP102" s="62">
        <f t="shared" si="100"/>
        <v>341.9250949809848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0.42132878979229998</v>
      </c>
      <c r="EX102" s="23">
        <f>EXP(-LN(2)/2)*EX101+(1-EXP(-LN(2)/2))/(LN(2)/2)*ER102*EU102*VLOOKUP('Données projet'!$B$15,Paramètres!$A$1:$I$89,3,0)*0.475*44/12</f>
        <v>1.1511016045704498E-9</v>
      </c>
      <c r="EY102" s="24">
        <f t="shared" si="75"/>
        <v>0.42132879094340159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926.60506195715107</v>
      </c>
      <c r="S103" s="62">
        <f ca="1">AVERAGE(OFFSET($R$3,0,0,'Données projet'!$E$9+1,1))-AVERAGE(OFFSET($H$3,0,0,'Données projet'!$E$9+1,1))</f>
        <v>472.83070477639035</v>
      </c>
      <c r="T103" s="62">
        <f t="shared" si="88"/>
        <v>297.32483725004136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1.3110152693341117</v>
      </c>
      <c r="AB103" s="23">
        <f>EXP(-LN(2)/2)*AB102+(1-EXP(-LN(2)/2))/(LN(2)/2)*V103*Y103*VLOOKUP('Données projet'!$B$9,Paramètres!$A$1:$I$89,3,0)*0.475*44/12</f>
        <v>4.3393155340331308E-10</v>
      </c>
      <c r="AC103" s="24">
        <f t="shared" si="57"/>
        <v>1.3110152697680433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337.66200000000003</v>
      </c>
      <c r="AK103" s="14">
        <f t="shared" si="89"/>
        <v>79.016707002632685</v>
      </c>
      <c r="AL103" s="22">
        <f t="shared" si="58"/>
        <v>725.71541469625208</v>
      </c>
      <c r="AM103" s="62">
        <f t="shared" si="59"/>
        <v>1003.1194698799613</v>
      </c>
      <c r="AN103" s="62">
        <f ca="1">AVERAGE(OFFSET($AM$3,0,0,'Données projet'!$E$10+1,1))-AVERAGE(OFFSET($H$3,0,0,'Données projet'!$E$10+1,1))</f>
        <v>520.80494930257237</v>
      </c>
      <c r="AO103" s="62">
        <f t="shared" si="90"/>
        <v>325.72635759450861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1.469241250115815</v>
      </c>
      <c r="AW103" s="23">
        <f>EXP(-LN(2)/2)*AW102+(1-EXP(-LN(2)/2))/(LN(2)/2)*AQ103*AT103*VLOOKUP('Données projet'!$B$10,Paramètres!$A$1:$I$89,3,0)*0.475*44/12</f>
        <v>4.8630260295198796E-10</v>
      </c>
      <c r="AX103" s="23">
        <f t="shared" si="60"/>
        <v>1.4692412506021175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6.3550942286383367E-14</v>
      </c>
      <c r="BF103" s="14">
        <f t="shared" si="91"/>
        <v>1.0064464192543978E-12</v>
      </c>
      <c r="BG103" s="22">
        <f t="shared" si="61"/>
        <v>1.8635787380168604E-12</v>
      </c>
      <c r="BH103" s="62">
        <f t="shared" si="62"/>
        <v>277.40405518371108</v>
      </c>
      <c r="BI103" s="62">
        <f ca="1">AVERAGE(OFFSET($BH$3,0,0,'Données projet'!$E$11+1,1))-AVERAGE(OFFSET($H$3,0,0,'Données projet'!$E$11+1,1))</f>
        <v>321.60602866722138</v>
      </c>
      <c r="BJ103" s="62">
        <f t="shared" si="92"/>
        <v>375.18886653687389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3.2013806288911488</v>
      </c>
      <c r="BQ103" s="23">
        <f>EXP(-LN(2)/25)*BQ102+(1-EXP(-LN(2)/25))/(LN(2)/25)*Calculateur!BL103*Calculateur!BN103*VLOOKUP('Données projet'!$B$11,Paramètres!$A$1:$I$89,3,0)*0.475*44/12</f>
        <v>2.2933892892774805</v>
      </c>
      <c r="BR103" s="23">
        <f>EXP(-LN(2)/2)*BR102+(1-EXP(-LN(2)/2))/(LN(2)/2)*BL103*BO103*VLOOKUP('Données projet'!$B$11,Paramètres!$A$1:$I$89,3,0)*0.475*44/12</f>
        <v>2.1309618327902792E-10</v>
      </c>
      <c r="BS103" s="24">
        <f t="shared" si="63"/>
        <v>5.4947699183817251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2.8421709430404007E-14</v>
      </c>
      <c r="BZ103" s="14">
        <f>BY103*VLOOKUP('Données projet'!$B$12,Paramètres!$A$1:$I$89,3,0)*VLOOKUP('Données projet'!$B$12,Paramètres!$A$1:$I$89,5,0)</f>
        <v>1.5518253349000589E-14</v>
      </c>
      <c r="CA103" s="14">
        <f t="shared" si="93"/>
        <v>2.8958815659671149E-13</v>
      </c>
      <c r="CB103" s="22">
        <f t="shared" si="64"/>
        <v>5.3139366398878183E-13</v>
      </c>
      <c r="CC103" s="62">
        <f t="shared" si="65"/>
        <v>277.40405518370972</v>
      </c>
      <c r="CD103" s="62">
        <f ca="1">AVERAGE(OFFSET($CC$3,0,0,'Données projet'!$E$12+1,1))-AVERAGE(OFFSET($H$3,0,0,'Données projet'!$E$12+1,1))</f>
        <v>182.44246264133781</v>
      </c>
      <c r="CE103" s="62">
        <f t="shared" si="94"/>
        <v>262.5818213397049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1.07726333613377</v>
      </c>
      <c r="CL103" s="23">
        <f>EXP(-LN(2)/25)*CL102+(1-EXP(-LN(2)/25))/(LN(2)/25)*Calculateur!CG103*Calculateur!CI103*VLOOKUP('Données projet'!$B$12,Paramètres!$A$1:$I$89,3,0)*0.475*44/12</f>
        <v>2.598829732736339</v>
      </c>
      <c r="CM103" s="23">
        <f>EXP(-LN(2)/2)*CM102+(1-EXP(-LN(2)/2))/(LN(2)/2)*CG103*CJ103*VLOOKUP('Données projet'!$B$12,Paramètres!$A$1:$I$89,3,0)*0.475*44/12</f>
        <v>8.7851338214683622E-14</v>
      </c>
      <c r="CN103" s="24">
        <f t="shared" si="66"/>
        <v>3.6760930688701969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723</v>
      </c>
      <c r="CR103" s="13">
        <f>VLOOKUP(A103,'Données projet'!$A$139:$I$159,9,0)</f>
        <v>18.5</v>
      </c>
      <c r="CS103" s="13">
        <f t="array" ref="CS103">INDEX(CR:CR,MIN(IF(ISNUMBER(CR103:CR299),ROW(CR103:CR299),"")))</f>
        <v>18.5</v>
      </c>
      <c r="CT103" s="13">
        <f>IF('Données projet'!$A$140&gt;35,CT102+CS103-DB102,IF(A103&lt;'Données projet'!$A$140,$CQ$205^A103,IF(A103='Données projet'!$A$140,'Données projet'!$B$140,CT102+CS103-DB102)))</f>
        <v>722.99999999999989</v>
      </c>
      <c r="CU103" s="18">
        <f>CT103*VLOOKUP('Données projet'!$B$13,Paramètres!$A$1:$I$89,3,0)*VLOOKUP('Données projet'!$B$13,Paramètres!$A$1:$I$89,5,0)</f>
        <v>338.36399999999998</v>
      </c>
      <c r="CV103" s="14">
        <f t="shared" si="95"/>
        <v>79.161843636443024</v>
      </c>
      <c r="CW103" s="22">
        <f t="shared" si="67"/>
        <v>727.19084433347155</v>
      </c>
      <c r="CX103" s="62">
        <f t="shared" si="68"/>
        <v>1004.5948995171807</v>
      </c>
      <c r="CY103" s="62">
        <f ca="1">AVERAGE(OFFSET($CX$3,0,0,'Données projet'!$E$13+1,1))-AVERAGE(OFFSET($H$3,0,0,'Données projet'!$E$13+1,1))</f>
        <v>426.87921482911719</v>
      </c>
      <c r="CZ103" s="62">
        <f t="shared" si="96"/>
        <v>313.49594674441835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723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333</v>
      </c>
      <c r="DM103" s="13">
        <f>VLOOKUP(A103,'Données projet'!$A$165:$I$185,9,0)</f>
        <v>5.8</v>
      </c>
      <c r="DN103" s="13">
        <f t="array" ref="DN103">INDEX(DM:DM,MIN(IF(ISNUMBER(DM103:DM299),ROW(DM103:DM299),"")))</f>
        <v>5.8</v>
      </c>
      <c r="DO103" s="13">
        <f>IF('Données projet'!$A$166&gt;35,DO102+DN103-DW102,IF(A103&lt;'Données projet'!$A$166,$DL$205^A103,IF(A103='Données projet'!$A$166,'Données projet'!$B$166,DO102+DN103-DW102)))</f>
        <v>333</v>
      </c>
      <c r="DP103" s="18">
        <f>DO103*VLOOKUP('Données projet'!$B$14,Paramètres!$A$1:$I$89,3,0)*VLOOKUP('Données projet'!$B$14,Paramètres!$A$1:$I$89,5,0)</f>
        <v>322.07760000000002</v>
      </c>
      <c r="DQ103" s="14">
        <f t="shared" si="97"/>
        <v>75.785475796129461</v>
      </c>
      <c r="DR103" s="22">
        <f t="shared" si="70"/>
        <v>692.94485701159203</v>
      </c>
      <c r="DS103" s="62">
        <f t="shared" si="71"/>
        <v>970.34891219530118</v>
      </c>
      <c r="DT103" s="62">
        <f ca="1">AVERAGE(OFFSET($DS$3,0,0,'Données projet'!$E$14+1,1))-AVERAGE(OFFSET($H$3,0,0,'Données projet'!$E$14+1,1))</f>
        <v>500.25828825677058</v>
      </c>
      <c r="DU103" s="62">
        <f t="shared" si="98"/>
        <v>313.56299786481338</v>
      </c>
      <c r="DV103" s="16">
        <f>IF(ISNA(VLOOKUP(A103,'Données projet'!$A$165:$I$185,3,0)),0,VLOOKUP(A103,'Données projet'!$A$165:$I$185,3,0))</f>
        <v>17</v>
      </c>
      <c r="DW103" s="16">
        <f>IF(ISNA(VLOOKUP(A103,'Données projet'!$A$165:$I$185,4,0)),0,VLOOKUP(A103,'Données projet'!$A$165:$I$185,4,0))</f>
        <v>27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0.36823285473159567</v>
      </c>
      <c r="EC103" s="23">
        <f>EXP(-LN(2)/2)*EC102+(1-EXP(-LN(2)/2))/(LN(2)/2)*DW103*DZ103*VLOOKUP('Données projet'!$B$14,Paramètres!$A$1:$I$89,3,0)*0.475*44/12</f>
        <v>7.3137693516582387E-10</v>
      </c>
      <c r="ED103" s="24">
        <f t="shared" si="72"/>
        <v>0.36823285546297263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333</v>
      </c>
      <c r="EH103" s="13">
        <f>VLOOKUP(A103,'Données projet'!$A$191:$I$211,9,0)</f>
        <v>5.8</v>
      </c>
      <c r="EI103" s="13">
        <f t="array" ref="EI103">INDEX(EH:EH,MIN(IF(ISNUMBER(EH103:EH299),ROW(EH103:EH299),"")))</f>
        <v>5.8</v>
      </c>
      <c r="EJ103" s="13">
        <f>IF('Données projet'!$A$192&gt;35,EJ102+EI103-ER102,IF(A103&lt;'Données projet'!$A$192,$EG$205^A103,IF(A103='Données projet'!$A$192,'Données projet'!$B$192,EJ102+EI103-ER102)))</f>
        <v>333</v>
      </c>
      <c r="EK103" s="18">
        <f>EJ103*VLOOKUP('Données projet'!$B$15,Paramètres!$A$1:$I$89,3,0)*VLOOKUP('Données projet'!$B$15,Paramètres!$A$1:$I$89,5,0)</f>
        <v>358.44119999999998</v>
      </c>
      <c r="EL103" s="14">
        <f t="shared" si="99"/>
        <v>83.298223876643164</v>
      </c>
      <c r="EM103" s="22">
        <f t="shared" si="73"/>
        <v>769.36282991848668</v>
      </c>
      <c r="EN103" s="62">
        <f t="shared" si="74"/>
        <v>1046.7668851021958</v>
      </c>
      <c r="EO103" s="62">
        <f ca="1">AVERAGE(OFFSET($EN$3,0,0,'Données projet'!$E$15+1,1))-AVERAGE(OFFSET($H$3,0,0,'Données projet'!$E$15+1,1))</f>
        <v>548.17046467409421</v>
      </c>
      <c r="EP103" s="62">
        <f t="shared" si="100"/>
        <v>341.9250949809848</v>
      </c>
      <c r="EQ103" s="16">
        <f>IF(ISNA(VLOOKUP(A103,'Données projet'!$A$191:$I$211,3,0)),0,VLOOKUP(A103,'Données projet'!$A$191:$I$211,3,0))</f>
        <v>17</v>
      </c>
      <c r="ER103" s="16">
        <f>IF(ISNA(VLOOKUP(A103,'Données projet'!$A$191:$I$211,4,0)),0,VLOOKUP(A103,'Données projet'!$A$191:$I$211,4,0))</f>
        <v>27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0.40980753187871144</v>
      </c>
      <c r="EX103" s="23">
        <f>EXP(-LN(2)/2)*EX102+(1-EXP(-LN(2)/2))/(LN(2)/2)*ER103*EU103*VLOOKUP('Données projet'!$B$15,Paramètres!$A$1:$I$89,3,0)*0.475*44/12</f>
        <v>8.1395175042648079E-10</v>
      </c>
      <c r="EY103" s="24">
        <f t="shared" si="75"/>
        <v>0.40980753269266318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885.68301833984219</v>
      </c>
      <c r="S104" s="62">
        <f ca="1">AVERAGE(OFFSET($R$3,0,0,'Données projet'!$E$9+1,1))-AVERAGE(OFFSET($H$3,0,0,'Données projet'!$E$9+1,1))</f>
        <v>472.83070477639035</v>
      </c>
      <c r="T104" s="62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1.2751654878508738</v>
      </c>
      <c r="AB104" s="23">
        <f>EXP(-LN(2)/2)*AB103+(1-EXP(-LN(2)/2))/(LN(2)/2)*V104*Y104*VLOOKUP('Données projet'!$B$9,Paramètres!$A$1:$I$89,3,0)*0.475*44/12</f>
        <v>3.0683594398229516E-10</v>
      </c>
      <c r="AC104" s="24">
        <f t="shared" si="57"/>
        <v>1.2751654881577097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315.75959999999998</v>
      </c>
      <c r="AK104" s="14">
        <f t="shared" si="89"/>
        <v>74.470372149154613</v>
      </c>
      <c r="AL104" s="22">
        <f t="shared" si="58"/>
        <v>679.6505348264443</v>
      </c>
      <c r="AM104" s="62">
        <f t="shared" si="59"/>
        <v>957.33092737351876</v>
      </c>
      <c r="AN104" s="62">
        <f ca="1">AVERAGE(OFFSET($AM$3,0,0,'Données projet'!$E$10+1,1))-AVERAGE(OFFSET($H$3,0,0,'Données projet'!$E$10+1,1))</f>
        <v>520.80494930257237</v>
      </c>
      <c r="AO104" s="62">
        <f t="shared" si="90"/>
        <v>325.72635759450861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1.4290647708673587</v>
      </c>
      <c r="AW104" s="23">
        <f>EXP(-LN(2)/2)*AW103+(1-EXP(-LN(2)/2))/(LN(2)/2)*AQ104*AT104*VLOOKUP('Données projet'!$B$10,Paramètres!$A$1:$I$89,3,0)*0.475*44/12</f>
        <v>3.4386786825601985E-10</v>
      </c>
      <c r="AX104" s="23">
        <f t="shared" si="60"/>
        <v>1.4290647712112265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6.3550942286383367E-14</v>
      </c>
      <c r="BF104" s="14">
        <f t="shared" si="91"/>
        <v>1.0064464192543978E-12</v>
      </c>
      <c r="BG104" s="22">
        <f t="shared" si="61"/>
        <v>1.8635787380168604E-12</v>
      </c>
      <c r="BH104" s="62">
        <f t="shared" si="62"/>
        <v>277.68039254707628</v>
      </c>
      <c r="BI104" s="62">
        <f ca="1">AVERAGE(OFFSET($BH$3,0,0,'Données projet'!$E$11+1,1))-AVERAGE(OFFSET($H$3,0,0,'Données projet'!$E$11+1,1))</f>
        <v>321.60602866722138</v>
      </c>
      <c r="BJ104" s="62">
        <f t="shared" si="92"/>
        <v>375.18886653687389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3.1386035074079688</v>
      </c>
      <c r="BQ104" s="23">
        <f>EXP(-LN(2)/25)*BQ103+(1-EXP(-LN(2)/25))/(LN(2)/25)*Calculateur!BL104*Calculateur!BN104*VLOOKUP('Données projet'!$B$11,Paramètres!$A$1:$I$89,3,0)*0.475*44/12</f>
        <v>2.2306764385580866</v>
      </c>
      <c r="BR104" s="23">
        <f>EXP(-LN(2)/2)*BR103+(1-EXP(-LN(2)/2))/(LN(2)/2)*BL104*BO104*VLOOKUP('Données projet'!$B$11,Paramètres!$A$1:$I$89,3,0)*0.475*44/12</f>
        <v>1.5068175624157202E-10</v>
      </c>
      <c r="BS104" s="24">
        <f t="shared" si="63"/>
        <v>5.3692799461167375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2.8421709430404007E-14</v>
      </c>
      <c r="BZ104" s="14">
        <f>BY104*VLOOKUP('Données projet'!$B$12,Paramètres!$A$1:$I$89,3,0)*VLOOKUP('Données projet'!$B$12,Paramètres!$A$1:$I$89,5,0)</f>
        <v>1.5518253349000589E-14</v>
      </c>
      <c r="CA104" s="14">
        <f t="shared" si="93"/>
        <v>2.8958815659671149E-13</v>
      </c>
      <c r="CB104" s="22">
        <f t="shared" si="64"/>
        <v>5.3139366398878183E-13</v>
      </c>
      <c r="CC104" s="62">
        <f t="shared" si="65"/>
        <v>277.68039254707492</v>
      </c>
      <c r="CD104" s="62">
        <f ca="1">AVERAGE(OFFSET($CC$3,0,0,'Données projet'!$E$12+1,1))-AVERAGE(OFFSET($H$3,0,0,'Données projet'!$E$12+1,1))</f>
        <v>182.44246264133781</v>
      </c>
      <c r="CE104" s="62">
        <f t="shared" si="94"/>
        <v>262.5818213397049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1.0561388591779419</v>
      </c>
      <c r="CL104" s="23">
        <f>EXP(-LN(2)/25)*CL103+(1-EXP(-LN(2)/25))/(LN(2)/25)*Calculateur!CG104*Calculateur!CI104*VLOOKUP('Données projet'!$B$12,Paramètres!$A$1:$I$89,3,0)*0.475*44/12</f>
        <v>2.5277645970281477</v>
      </c>
      <c r="CM104" s="23">
        <f>EXP(-LN(2)/2)*CM103+(1-EXP(-LN(2)/2))/(LN(2)/2)*CG104*CJ104*VLOOKUP('Données projet'!$B$12,Paramètres!$A$1:$I$89,3,0)*0.475*44/12</f>
        <v>6.2120276987915672E-14</v>
      </c>
      <c r="CN104" s="24">
        <f t="shared" si="66"/>
        <v>3.5839034562061518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-5.3205440053716299E-14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426.87921482911719</v>
      </c>
      <c r="CZ104" s="62">
        <f t="shared" si="96"/>
        <v>313.49594674441835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5.4</v>
      </c>
      <c r="DO104" s="13">
        <f>IF('Données projet'!$A$166&gt;35,DO103+DN104-DW103,IF(A104&lt;'Données projet'!$A$166,$DL$205^A104,IF(A104='Données projet'!$A$166,'Données projet'!$B$166,DO103+DN104-DW103)))</f>
        <v>311.39999999999998</v>
      </c>
      <c r="DP104" s="18">
        <f>DO104*VLOOKUP('Données projet'!$B$14,Paramètres!$A$1:$I$89,3,0)*VLOOKUP('Données projet'!$B$14,Paramètres!$A$1:$I$89,5,0)</f>
        <v>301.18608</v>
      </c>
      <c r="DQ104" s="14">
        <f t="shared" si="97"/>
        <v>71.425054271756295</v>
      </c>
      <c r="DR104" s="22">
        <f t="shared" si="70"/>
        <v>648.96439218997557</v>
      </c>
      <c r="DS104" s="62">
        <f t="shared" si="71"/>
        <v>926.64478473705003</v>
      </c>
      <c r="DT104" s="62">
        <f ca="1">AVERAGE(OFFSET($DS$3,0,0,'Données projet'!$E$14+1,1))-AVERAGE(OFFSET($H$3,0,0,'Données projet'!$E$14+1,1))</f>
        <v>500.25828825677058</v>
      </c>
      <c r="DU104" s="62">
        <f t="shared" si="98"/>
        <v>313.56299786481338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0.35816350795443597</v>
      </c>
      <c r="EC104" s="23">
        <f>EXP(-LN(2)/2)*EC103+(1-EXP(-LN(2)/2))/(LN(2)/2)*DW104*DZ104*VLOOKUP('Données projet'!$B$14,Paramètres!$A$1:$I$89,3,0)*0.475*44/12</f>
        <v>5.1716159045918797E-10</v>
      </c>
      <c r="ED104" s="24">
        <f t="shared" si="72"/>
        <v>0.35816350847159756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5.4</v>
      </c>
      <c r="EJ104" s="13">
        <f>IF('Données projet'!$A$192&gt;35,EJ103+EI104-ER103,IF(A104&lt;'Données projet'!$A$192,$EG$205^A104,IF(A104='Données projet'!$A$192,'Données projet'!$B$192,EJ103+EI104-ER103)))</f>
        <v>311.39999999999998</v>
      </c>
      <c r="EK104" s="18">
        <f>EJ104*VLOOKUP('Données projet'!$B$15,Paramètres!$A$1:$I$89,3,0)*VLOOKUP('Données projet'!$B$15,Paramètres!$A$1:$I$89,5,0)</f>
        <v>335.19095999999996</v>
      </c>
      <c r="EL104" s="14">
        <f t="shared" si="99"/>
        <v>78.505546064461242</v>
      </c>
      <c r="EM104" s="22">
        <f t="shared" si="73"/>
        <v>720.52141472893663</v>
      </c>
      <c r="EN104" s="62">
        <f t="shared" si="74"/>
        <v>998.2018072760111</v>
      </c>
      <c r="EO104" s="62">
        <f ca="1">AVERAGE(OFFSET($EN$3,0,0,'Données projet'!$E$15+1,1))-AVERAGE(OFFSET($H$3,0,0,'Données projet'!$E$15+1,1))</f>
        <v>548.17046467409421</v>
      </c>
      <c r="EP104" s="62">
        <f t="shared" si="100"/>
        <v>341.9250949809848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0.39860132336864662</v>
      </c>
      <c r="EX104" s="23">
        <f>EXP(-LN(2)/2)*EX103+(1-EXP(-LN(2)/2))/(LN(2)/2)*ER104*EU104*VLOOKUP('Données projet'!$B$15,Paramètres!$A$1:$I$89,3,0)*0.475*44/12</f>
        <v>5.7555080228522488E-10</v>
      </c>
      <c r="EY104" s="24">
        <f t="shared" si="75"/>
        <v>0.39860132394419745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896.25942897405571</v>
      </c>
      <c r="S105" s="62">
        <f ca="1">AVERAGE(OFFSET($R$3,0,0,'Données projet'!$E$9+1,1))-AVERAGE(OFFSET($H$3,0,0,'Données projet'!$E$9+1,1))</f>
        <v>472.83070477639035</v>
      </c>
      <c r="T105" s="62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1.2402960205275531</v>
      </c>
      <c r="AB105" s="23">
        <f>EXP(-LN(2)/2)*AB104+(1-EXP(-LN(2)/2))/(LN(2)/2)*V105*Y105*VLOOKUP('Données projet'!$B$9,Paramètres!$A$1:$I$89,3,0)*0.475*44/12</f>
        <v>2.1696577670165654E-10</v>
      </c>
      <c r="AC105" s="24">
        <f t="shared" si="57"/>
        <v>1.2402960207445188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321.23519999999996</v>
      </c>
      <c r="AK105" s="14">
        <f t="shared" si="89"/>
        <v>75.610303390297929</v>
      </c>
      <c r="AL105" s="22">
        <f t="shared" si="58"/>
        <v>691.17258507143549</v>
      </c>
      <c r="AM105" s="62">
        <f t="shared" si="59"/>
        <v>969.12452114641837</v>
      </c>
      <c r="AN105" s="62">
        <f ca="1">AVERAGE(OFFSET($AM$3,0,0,'Données projet'!$E$10+1,1))-AVERAGE(OFFSET($H$3,0,0,'Données projet'!$E$10+1,1))</f>
        <v>520.80494930257237</v>
      </c>
      <c r="AO105" s="62">
        <f t="shared" si="90"/>
        <v>325.72635759450861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1.3899869195567407</v>
      </c>
      <c r="AW105" s="23">
        <f>EXP(-LN(2)/2)*AW104+(1-EXP(-LN(2)/2))/(LN(2)/2)*AQ105*AT105*VLOOKUP('Données projet'!$B$10,Paramètres!$A$1:$I$89,3,0)*0.475*44/12</f>
        <v>2.4315130147599398E-10</v>
      </c>
      <c r="AX105" s="23">
        <f t="shared" si="60"/>
        <v>1.389986919799892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6.3550942286383367E-14</v>
      </c>
      <c r="BF105" s="14">
        <f t="shared" si="91"/>
        <v>1.0064464192543978E-12</v>
      </c>
      <c r="BG105" s="22">
        <f t="shared" si="61"/>
        <v>1.8635787380168604E-12</v>
      </c>
      <c r="BH105" s="62">
        <f t="shared" si="62"/>
        <v>277.95193607498481</v>
      </c>
      <c r="BI105" s="62">
        <f ca="1">AVERAGE(OFFSET($BH$3,0,0,'Données projet'!$E$11+1,1))-AVERAGE(OFFSET($H$3,0,0,'Données projet'!$E$11+1,1))</f>
        <v>321.60602866722138</v>
      </c>
      <c r="BJ105" s="62">
        <f t="shared" si="92"/>
        <v>375.18886653687389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3.0770574069868109</v>
      </c>
      <c r="BQ105" s="23">
        <f>EXP(-LN(2)/25)*BQ104+(1-EXP(-LN(2)/25))/(LN(2)/25)*Calculateur!BL105*Calculateur!BN105*VLOOKUP('Données projet'!$B$11,Paramètres!$A$1:$I$89,3,0)*0.475*44/12</f>
        <v>2.1696784740395403</v>
      </c>
      <c r="BR105" s="23">
        <f>EXP(-LN(2)/2)*BR104+(1-EXP(-LN(2)/2))/(LN(2)/2)*BL105*BO105*VLOOKUP('Données projet'!$B$11,Paramètres!$A$1:$I$89,3,0)*0.475*44/12</f>
        <v>1.0654809163951396E-10</v>
      </c>
      <c r="BS105" s="24">
        <f t="shared" si="63"/>
        <v>5.2467358811328992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2.8421709430404007E-14</v>
      </c>
      <c r="BZ105" s="14">
        <f>BY105*VLOOKUP('Données projet'!$B$12,Paramètres!$A$1:$I$89,3,0)*VLOOKUP('Données projet'!$B$12,Paramètres!$A$1:$I$89,5,0)</f>
        <v>1.5518253349000589E-14</v>
      </c>
      <c r="CA105" s="14">
        <f t="shared" si="93"/>
        <v>2.8958815659671149E-13</v>
      </c>
      <c r="CB105" s="22">
        <f t="shared" si="64"/>
        <v>5.3139366398878183E-13</v>
      </c>
      <c r="CC105" s="62">
        <f t="shared" si="65"/>
        <v>277.95193607498345</v>
      </c>
      <c r="CD105" s="62">
        <f ca="1">AVERAGE(OFFSET($CC$3,0,0,'Données projet'!$E$12+1,1))-AVERAGE(OFFSET($H$3,0,0,'Données projet'!$E$12+1,1))</f>
        <v>182.44246264133781</v>
      </c>
      <c r="CE105" s="62">
        <f t="shared" si="94"/>
        <v>262.5818213397049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1.0354286203305589</v>
      </c>
      <c r="CL105" s="23">
        <f>EXP(-LN(2)/25)*CL104+(1-EXP(-LN(2)/25))/(LN(2)/25)*Calculateur!CG105*Calculateur!CI105*VLOOKUP('Données projet'!$B$12,Paramètres!$A$1:$I$89,3,0)*0.475*44/12</f>
        <v>2.4586427411930503</v>
      </c>
      <c r="CM105" s="23">
        <f>EXP(-LN(2)/2)*CM104+(1-EXP(-LN(2)/2))/(LN(2)/2)*CG105*CJ105*VLOOKUP('Données projet'!$B$12,Paramètres!$A$1:$I$89,3,0)*0.475*44/12</f>
        <v>4.3925669107341811E-14</v>
      </c>
      <c r="CN105" s="24">
        <f t="shared" si="66"/>
        <v>3.4940713615236532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-5.3205440053716299E-14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426.87921482911719</v>
      </c>
      <c r="CZ105" s="62">
        <f t="shared" si="96"/>
        <v>313.49594674441835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5.4</v>
      </c>
      <c r="DO105" s="13">
        <f>IF('Données projet'!$A$166&gt;35,DO104+DN105-DW104,IF(A105&lt;'Données projet'!$A$166,$DL$205^A105,IF(A105='Données projet'!$A$166,'Données projet'!$B$166,DO104+DN105-DW104)))</f>
        <v>316.79999999999995</v>
      </c>
      <c r="DP105" s="18">
        <f>DO105*VLOOKUP('Données projet'!$B$14,Paramètres!$A$1:$I$89,3,0)*VLOOKUP('Données projet'!$B$14,Paramètres!$A$1:$I$89,5,0)</f>
        <v>306.40895999999998</v>
      </c>
      <c r="DQ105" s="14">
        <f t="shared" si="97"/>
        <v>72.518370290127464</v>
      </c>
      <c r="DR105" s="22">
        <f t="shared" si="70"/>
        <v>659.96510025530517</v>
      </c>
      <c r="DS105" s="62">
        <f t="shared" si="71"/>
        <v>937.91703633028806</v>
      </c>
      <c r="DT105" s="62">
        <f ca="1">AVERAGE(OFFSET($DS$3,0,0,'Données projet'!$E$14+1,1))-AVERAGE(OFFSET($H$3,0,0,'Données projet'!$E$14+1,1))</f>
        <v>500.25828825677058</v>
      </c>
      <c r="DU105" s="62">
        <f t="shared" si="98"/>
        <v>313.56299786481338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0.34836950799442162</v>
      </c>
      <c r="EC105" s="23">
        <f>EXP(-LN(2)/2)*EC104+(1-EXP(-LN(2)/2))/(LN(2)/2)*DW105*DZ105*VLOOKUP('Données projet'!$B$14,Paramètres!$A$1:$I$89,3,0)*0.475*44/12</f>
        <v>3.6568846758291194E-10</v>
      </c>
      <c r="ED105" s="24">
        <f t="shared" si="72"/>
        <v>0.3483695083601101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5.4</v>
      </c>
      <c r="EJ105" s="13">
        <f>IF('Données projet'!$A$192&gt;35,EJ104+EI105-ER104,IF(A105&lt;'Données projet'!$A$192,$EG$205^A105,IF(A105='Données projet'!$A$192,'Données projet'!$B$192,EJ104+EI105-ER104)))</f>
        <v>316.79999999999995</v>
      </c>
      <c r="EK105" s="18">
        <f>EJ105*VLOOKUP('Données projet'!$B$15,Paramètres!$A$1:$I$89,3,0)*VLOOKUP('Données projet'!$B$15,Paramètres!$A$1:$I$89,5,0)</f>
        <v>341.00351999999992</v>
      </c>
      <c r="EL105" s="14">
        <f t="shared" si="99"/>
        <v>79.70724443092908</v>
      </c>
      <c r="EM105" s="22">
        <f t="shared" si="73"/>
        <v>732.73791471720131</v>
      </c>
      <c r="EN105" s="62">
        <f t="shared" si="74"/>
        <v>1010.6898507921842</v>
      </c>
      <c r="EO105" s="62">
        <f ca="1">AVERAGE(OFFSET($EN$3,0,0,'Données projet'!$E$15+1,1))-AVERAGE(OFFSET($H$3,0,0,'Données projet'!$E$15+1,1))</f>
        <v>548.17046467409421</v>
      </c>
      <c r="EP105" s="62">
        <f t="shared" si="100"/>
        <v>341.9250949809848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0.38770154921959837</v>
      </c>
      <c r="EX105" s="23">
        <f>EXP(-LN(2)/2)*EX104+(1-EXP(-LN(2)/2))/(LN(2)/2)*ER105*EU105*VLOOKUP('Données projet'!$B$15,Paramètres!$A$1:$I$89,3,0)*0.475*44/12</f>
        <v>4.0697587521324039E-10</v>
      </c>
      <c r="EY105" s="24">
        <f t="shared" si="75"/>
        <v>0.38770154962657427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906.82757039833041</v>
      </c>
      <c r="S106" s="62">
        <f ca="1">AVERAGE(OFFSET($R$3,0,0,'Données projet'!$E$9+1,1))-AVERAGE(OFFSET($H$3,0,0,'Données projet'!$E$9+1,1))</f>
        <v>472.83070477639035</v>
      </c>
      <c r="T106" s="62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1.2063800606218942</v>
      </c>
      <c r="AB106" s="23">
        <f>EXP(-LN(2)/2)*AB105+(1-EXP(-LN(2)/2))/(LN(2)/2)*V106*Y106*VLOOKUP('Données projet'!$B$9,Paramètres!$A$1:$I$89,3,0)*0.475*44/12</f>
        <v>1.5341797199114758E-10</v>
      </c>
      <c r="AC106" s="24">
        <f t="shared" si="57"/>
        <v>1.2063800607753121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326.71079999999995</v>
      </c>
      <c r="AK106" s="14">
        <f t="shared" si="89"/>
        <v>76.747975030799893</v>
      </c>
      <c r="AL106" s="22">
        <f t="shared" si="58"/>
        <v>702.69069984530972</v>
      </c>
      <c r="AM106" s="62">
        <f t="shared" si="59"/>
        <v>980.90946877507236</v>
      </c>
      <c r="AN106" s="62">
        <f ca="1">AVERAGE(OFFSET($AM$3,0,0,'Données projet'!$E$10+1,1))-AVERAGE(OFFSET($H$3,0,0,'Données projet'!$E$10+1,1))</f>
        <v>520.80494930257237</v>
      </c>
      <c r="AO106" s="62">
        <f t="shared" si="90"/>
        <v>325.72635759450861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1.3519776541452264</v>
      </c>
      <c r="AW106" s="23">
        <f>EXP(-LN(2)/2)*AW105+(1-EXP(-LN(2)/2))/(LN(2)/2)*AQ106*AT106*VLOOKUP('Données projet'!$B$10,Paramètres!$A$1:$I$89,3,0)*0.475*44/12</f>
        <v>1.7193393412800993E-10</v>
      </c>
      <c r="AX106" s="23">
        <f t="shared" si="60"/>
        <v>1.3519776543171604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6.3550942286383367E-14</v>
      </c>
      <c r="BF106" s="14">
        <f t="shared" si="91"/>
        <v>1.0064464192543978E-12</v>
      </c>
      <c r="BG106" s="22">
        <f t="shared" si="61"/>
        <v>1.8635787380168604E-12</v>
      </c>
      <c r="BH106" s="62">
        <f t="shared" si="62"/>
        <v>278.21876892976456</v>
      </c>
      <c r="BI106" s="62">
        <f ca="1">AVERAGE(OFFSET($BH$3,0,0,'Données projet'!$E$11+1,1))-AVERAGE(OFFSET($H$3,0,0,'Données projet'!$E$11+1,1))</f>
        <v>321.60602866722138</v>
      </c>
      <c r="BJ106" s="62">
        <f t="shared" si="92"/>
        <v>375.18886653687389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3.0167181880554974</v>
      </c>
      <c r="BQ106" s="23">
        <f>EXP(-LN(2)/25)*BQ105+(1-EXP(-LN(2)/25))/(LN(2)/25)*Calculateur!BL106*Calculateur!BN106*VLOOKUP('Données projet'!$B$11,Paramètres!$A$1:$I$89,3,0)*0.475*44/12</f>
        <v>2.1103485020684971</v>
      </c>
      <c r="BR106" s="23">
        <f>EXP(-LN(2)/2)*BR105+(1-EXP(-LN(2)/2))/(LN(2)/2)*BL106*BO106*VLOOKUP('Données projet'!$B$11,Paramètres!$A$1:$I$89,3,0)*0.475*44/12</f>
        <v>7.534087812078601E-11</v>
      </c>
      <c r="BS106" s="24">
        <f t="shared" si="63"/>
        <v>5.1270666901993351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2.8421709430404007E-14</v>
      </c>
      <c r="BZ106" s="14">
        <f>BY106*VLOOKUP('Données projet'!$B$12,Paramètres!$A$1:$I$89,3,0)*VLOOKUP('Données projet'!$B$12,Paramètres!$A$1:$I$89,5,0)</f>
        <v>1.5518253349000589E-14</v>
      </c>
      <c r="CA106" s="14">
        <f t="shared" si="93"/>
        <v>2.8958815659671149E-13</v>
      </c>
      <c r="CB106" s="22">
        <f t="shared" si="64"/>
        <v>5.3139366398878183E-13</v>
      </c>
      <c r="CC106" s="62">
        <f t="shared" si="65"/>
        <v>278.2187689297632</v>
      </c>
      <c r="CD106" s="62">
        <f ca="1">AVERAGE(OFFSET($CC$3,0,0,'Données projet'!$E$12+1,1))-AVERAGE(OFFSET($H$3,0,0,'Données projet'!$E$12+1,1))</f>
        <v>182.44246264133781</v>
      </c>
      <c r="CE106" s="62">
        <f t="shared" si="94"/>
        <v>262.5818213397049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1.0151244966349748</v>
      </c>
      <c r="CL106" s="23">
        <f>EXP(-LN(2)/25)*CL105+(1-EXP(-LN(2)/25))/(LN(2)/25)*Calculateur!CG106*Calculateur!CI106*VLOOKUP('Données projet'!$B$12,Paramètres!$A$1:$I$89,3,0)*0.475*44/12</f>
        <v>2.391411026140724</v>
      </c>
      <c r="CM106" s="23">
        <f>EXP(-LN(2)/2)*CM105+(1-EXP(-LN(2)/2))/(LN(2)/2)*CG106*CJ106*VLOOKUP('Données projet'!$B$12,Paramètres!$A$1:$I$89,3,0)*0.475*44/12</f>
        <v>3.1060138493957836E-14</v>
      </c>
      <c r="CN106" s="24">
        <f t="shared" si="66"/>
        <v>3.4065355227757301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-5.3205440053716299E-14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426.87921482911719</v>
      </c>
      <c r="CZ106" s="62">
        <f t="shared" si="96"/>
        <v>313.49594674441835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5.4</v>
      </c>
      <c r="DO106" s="13">
        <f>IF('Données projet'!$A$166&gt;35,DO105+DN106-DW105,IF(A106&lt;'Données projet'!$A$166,$DL$205^A106,IF(A106='Données projet'!$A$166,'Données projet'!$B$166,DO105+DN106-DW105)))</f>
        <v>322.19999999999993</v>
      </c>
      <c r="DP106" s="18">
        <f>DO106*VLOOKUP('Données projet'!$B$14,Paramètres!$A$1:$I$89,3,0)*VLOOKUP('Données projet'!$B$14,Paramètres!$A$1:$I$89,5,0)</f>
        <v>311.63183999999995</v>
      </c>
      <c r="DQ106" s="14">
        <f t="shared" si="97"/>
        <v>73.609519109735089</v>
      </c>
      <c r="DR106" s="22">
        <f t="shared" si="70"/>
        <v>670.96203378278858</v>
      </c>
      <c r="DS106" s="62">
        <f t="shared" si="71"/>
        <v>949.18080271255121</v>
      </c>
      <c r="DT106" s="62">
        <f ca="1">AVERAGE(OFFSET($DS$3,0,0,'Données projet'!$E$14+1,1))-AVERAGE(OFFSET($H$3,0,0,'Données projet'!$E$14+1,1))</f>
        <v>500.25828825677058</v>
      </c>
      <c r="DU106" s="62">
        <f t="shared" si="98"/>
        <v>313.56299786481338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0.33884332547835794</v>
      </c>
      <c r="EC106" s="23">
        <f>EXP(-LN(2)/2)*EC105+(1-EXP(-LN(2)/2))/(LN(2)/2)*DW106*DZ106*VLOOKUP('Données projet'!$B$14,Paramètres!$A$1:$I$89,3,0)*0.475*44/12</f>
        <v>2.5858079522959398E-10</v>
      </c>
      <c r="ED106" s="24">
        <f t="shared" si="72"/>
        <v>0.33884332573693871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5.4</v>
      </c>
      <c r="EJ106" s="13">
        <f>IF('Données projet'!$A$192&gt;35,EJ105+EI106-ER105,IF(A106&lt;'Données projet'!$A$192,$EG$205^A106,IF(A106='Données projet'!$A$192,'Données projet'!$B$192,EJ105+EI106-ER105)))</f>
        <v>322.19999999999993</v>
      </c>
      <c r="EK106" s="18">
        <f>EJ106*VLOOKUP('Données projet'!$B$15,Paramètres!$A$1:$I$89,3,0)*VLOOKUP('Données projet'!$B$15,Paramètres!$A$1:$I$89,5,0)</f>
        <v>346.81607999999989</v>
      </c>
      <c r="EL106" s="14">
        <f t="shared" si="99"/>
        <v>80.90656076039194</v>
      </c>
      <c r="EM106" s="22">
        <f t="shared" si="73"/>
        <v>744.95026599101573</v>
      </c>
      <c r="EN106" s="62">
        <f t="shared" si="74"/>
        <v>1023.1690349207784</v>
      </c>
      <c r="EO106" s="62">
        <f ca="1">AVERAGE(OFFSET($EN$3,0,0,'Données projet'!$E$15+1,1))-AVERAGE(OFFSET($H$3,0,0,'Données projet'!$E$15+1,1))</f>
        <v>548.17046467409421</v>
      </c>
      <c r="EP106" s="62">
        <f t="shared" si="100"/>
        <v>341.9250949809848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0.37709982996785008</v>
      </c>
      <c r="EX106" s="23">
        <f>EXP(-LN(2)/2)*EX105+(1-EXP(-LN(2)/2))/(LN(2)/2)*ER106*EU106*VLOOKUP('Données projet'!$B$15,Paramètres!$A$1:$I$89,3,0)*0.475*44/12</f>
        <v>2.8777540114261244E-10</v>
      </c>
      <c r="EY106" s="24">
        <f t="shared" si="75"/>
        <v>0.37709983025562549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917.38759085609695</v>
      </c>
      <c r="S107" s="62">
        <f ca="1">AVERAGE(OFFSET($R$3,0,0,'Données projet'!$E$9+1,1))-AVERAGE(OFFSET($H$3,0,0,'Données projet'!$E$9+1,1))</f>
        <v>472.83070477639035</v>
      </c>
      <c r="T107" s="62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1.1733915344234183</v>
      </c>
      <c r="AB107" s="23">
        <f>EXP(-LN(2)/2)*AB106+(1-EXP(-LN(2)/2))/(LN(2)/2)*V107*Y107*VLOOKUP('Données projet'!$B$9,Paramètres!$A$1:$I$89,3,0)*0.475*44/12</f>
        <v>1.0848288835082827E-10</v>
      </c>
      <c r="AC107" s="24">
        <f t="shared" si="57"/>
        <v>1.173391534531901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332.18639999999994</v>
      </c>
      <c r="AK107" s="14">
        <f t="shared" si="89"/>
        <v>77.88342931194974</v>
      </c>
      <c r="AL107" s="22">
        <f t="shared" si="58"/>
        <v>714.20495271831226</v>
      </c>
      <c r="AM107" s="62">
        <f t="shared" si="59"/>
        <v>992.68592554937322</v>
      </c>
      <c r="AN107" s="62">
        <f ca="1">AVERAGE(OFFSET($AM$3,0,0,'Données projet'!$E$10+1,1))-AVERAGE(OFFSET($H$3,0,0,'Données projet'!$E$10+1,1))</f>
        <v>520.80494930257237</v>
      </c>
      <c r="AO107" s="62">
        <f t="shared" si="90"/>
        <v>325.72635759450861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1.3150077540952103</v>
      </c>
      <c r="AW107" s="23">
        <f>EXP(-LN(2)/2)*AW106+(1-EXP(-LN(2)/2))/(LN(2)/2)*AQ107*AT107*VLOOKUP('Données projet'!$B$10,Paramètres!$A$1:$I$89,3,0)*0.475*44/12</f>
        <v>1.2157565073799699E-10</v>
      </c>
      <c r="AX107" s="23">
        <f t="shared" si="60"/>
        <v>1.315007754216786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6.3550942286383367E-14</v>
      </c>
      <c r="BF107" s="14">
        <f t="shared" si="91"/>
        <v>1.0064464192543978E-12</v>
      </c>
      <c r="BG107" s="22">
        <f t="shared" si="61"/>
        <v>1.8635787380168604E-12</v>
      </c>
      <c r="BH107" s="62">
        <f t="shared" si="62"/>
        <v>278.48097283106279</v>
      </c>
      <c r="BI107" s="62">
        <f ca="1">AVERAGE(OFFSET($BH$3,0,0,'Données projet'!$E$11+1,1))-AVERAGE(OFFSET($H$3,0,0,'Données projet'!$E$11+1,1))</f>
        <v>321.60602866722138</v>
      </c>
      <c r="BJ107" s="62">
        <f t="shared" si="92"/>
        <v>375.18886653687389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2.9575621844041371</v>
      </c>
      <c r="BQ107" s="23">
        <f>EXP(-LN(2)/25)*BQ106+(1-EXP(-LN(2)/25))/(LN(2)/25)*Calculateur!BL107*Calculateur!BN107*VLOOKUP('Données projet'!$B$11,Paramètres!$A$1:$I$89,3,0)*0.475*44/12</f>
        <v>2.0526409113010295</v>
      </c>
      <c r="BR107" s="23">
        <f>EXP(-LN(2)/2)*BR106+(1-EXP(-LN(2)/2))/(LN(2)/2)*BL107*BO107*VLOOKUP('Données projet'!$B$11,Paramètres!$A$1:$I$89,3,0)*0.475*44/12</f>
        <v>5.3274045819756979E-11</v>
      </c>
      <c r="BS107" s="24">
        <f t="shared" si="63"/>
        <v>5.0102030957584409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2.8421709430404007E-14</v>
      </c>
      <c r="BZ107" s="14">
        <f>BY107*VLOOKUP('Données projet'!$B$12,Paramètres!$A$1:$I$89,3,0)*VLOOKUP('Données projet'!$B$12,Paramètres!$A$1:$I$89,5,0)</f>
        <v>1.5518253349000589E-14</v>
      </c>
      <c r="CA107" s="14">
        <f t="shared" si="93"/>
        <v>2.8958815659671149E-13</v>
      </c>
      <c r="CB107" s="22">
        <f t="shared" si="64"/>
        <v>5.3139366398878183E-13</v>
      </c>
      <c r="CC107" s="62">
        <f t="shared" si="65"/>
        <v>278.48097283106142</v>
      </c>
      <c r="CD107" s="62">
        <f ca="1">AVERAGE(OFFSET($CC$3,0,0,'Données projet'!$E$12+1,1))-AVERAGE(OFFSET($H$3,0,0,'Données projet'!$E$12+1,1))</f>
        <v>182.44246264133781</v>
      </c>
      <c r="CE107" s="62">
        <f t="shared" si="94"/>
        <v>262.5818213397049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0.99521852442076852</v>
      </c>
      <c r="CL107" s="23">
        <f>EXP(-LN(2)/25)*CL106+(1-EXP(-LN(2)/25))/(LN(2)/25)*Calculateur!CG107*Calculateur!CI107*VLOOKUP('Données projet'!$B$12,Paramètres!$A$1:$I$89,3,0)*0.475*44/12</f>
        <v>2.3260177658720655</v>
      </c>
      <c r="CM107" s="23">
        <f>EXP(-LN(2)/2)*CM106+(1-EXP(-LN(2)/2))/(LN(2)/2)*CG107*CJ107*VLOOKUP('Données projet'!$B$12,Paramètres!$A$1:$I$89,3,0)*0.475*44/12</f>
        <v>2.1962834553670905E-14</v>
      </c>
      <c r="CN107" s="24">
        <f t="shared" si="66"/>
        <v>3.3212362902928558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-5.3205440053716299E-14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426.87921482911719</v>
      </c>
      <c r="CZ107" s="62">
        <f t="shared" si="96"/>
        <v>313.49594674441835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5.4</v>
      </c>
      <c r="DO107" s="13">
        <f>IF('Données projet'!$A$166&gt;35,DO106+DN107-DW106,IF(A107&lt;'Données projet'!$A$166,$DL$205^A107,IF(A107='Données projet'!$A$166,'Données projet'!$B$166,DO106+DN107-DW106)))</f>
        <v>327.59999999999991</v>
      </c>
      <c r="DP107" s="18">
        <f>DO107*VLOOKUP('Données projet'!$B$14,Paramètres!$A$1:$I$89,3,0)*VLOOKUP('Données projet'!$B$14,Paramètres!$A$1:$I$89,5,0)</f>
        <v>316.85471999999993</v>
      </c>
      <c r="DQ107" s="14">
        <f t="shared" si="97"/>
        <v>74.698541244494848</v>
      </c>
      <c r="DR107" s="22">
        <f t="shared" si="70"/>
        <v>681.95526333416171</v>
      </c>
      <c r="DS107" s="62">
        <f t="shared" si="71"/>
        <v>960.43623616522268</v>
      </c>
      <c r="DT107" s="62">
        <f ca="1">AVERAGE(OFFSET($DS$3,0,0,'Données projet'!$E$14+1,1))-AVERAGE(OFFSET($H$3,0,0,'Données projet'!$E$14+1,1))</f>
        <v>500.25828825677058</v>
      </c>
      <c r="DU107" s="62">
        <f t="shared" si="98"/>
        <v>313.56299786481338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0.3295776369241562</v>
      </c>
      <c r="EC107" s="23">
        <f>EXP(-LN(2)/2)*EC106+(1-EXP(-LN(2)/2))/(LN(2)/2)*DW107*DZ107*VLOOKUP('Données projet'!$B$14,Paramètres!$A$1:$I$89,3,0)*0.475*44/12</f>
        <v>1.8284423379145597E-10</v>
      </c>
      <c r="ED107" s="24">
        <f t="shared" si="72"/>
        <v>0.32957763710700044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5.4</v>
      </c>
      <c r="EJ107" s="13">
        <f>IF('Données projet'!$A$192&gt;35,EJ106+EI107-ER106,IF(A107&lt;'Données projet'!$A$192,$EG$205^A107,IF(A107='Données projet'!$A$192,'Données projet'!$B$192,EJ106+EI107-ER106)))</f>
        <v>327.59999999999991</v>
      </c>
      <c r="EK107" s="18">
        <f>EJ107*VLOOKUP('Données projet'!$B$15,Paramètres!$A$1:$I$89,3,0)*VLOOKUP('Données projet'!$B$15,Paramètres!$A$1:$I$89,5,0)</f>
        <v>352.6286399999999</v>
      </c>
      <c r="EL107" s="14">
        <f t="shared" si="99"/>
        <v>82.103539582981469</v>
      </c>
      <c r="EM107" s="22">
        <f t="shared" si="73"/>
        <v>757.15854610702581</v>
      </c>
      <c r="EN107" s="62">
        <f t="shared" si="74"/>
        <v>1035.6395189380867</v>
      </c>
      <c r="EO107" s="62">
        <f ca="1">AVERAGE(OFFSET($EN$3,0,0,'Données projet'!$E$15+1,1))-AVERAGE(OFFSET($H$3,0,0,'Données projet'!$E$15+1,1))</f>
        <v>548.17046467409421</v>
      </c>
      <c r="EP107" s="62">
        <f t="shared" si="100"/>
        <v>341.9250949809848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0.36678801528656102</v>
      </c>
      <c r="EX107" s="23">
        <f>EXP(-LN(2)/2)*EX106+(1-EXP(-LN(2)/2))/(LN(2)/2)*ER107*EU107*VLOOKUP('Données projet'!$B$15,Paramètres!$A$1:$I$89,3,0)*0.475*44/12</f>
        <v>2.034879376066202E-10</v>
      </c>
      <c r="EY107" s="24">
        <f t="shared" si="75"/>
        <v>0.36678801549004897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927.93963485431334</v>
      </c>
      <c r="S108" s="62">
        <f ca="1">AVERAGE(OFFSET($R$3,0,0,'Données projet'!$E$9+1,1))-AVERAGE(OFFSET($H$3,0,0,'Données projet'!$E$9+1,1))</f>
        <v>472.83070477639035</v>
      </c>
      <c r="T108" s="62">
        <f t="shared" si="88"/>
        <v>297.32483725004136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1.1413050812086309</v>
      </c>
      <c r="AB108" s="23">
        <f>EXP(-LN(2)/2)*AB107+(1-EXP(-LN(2)/2))/(LN(2)/2)*V108*Y108*VLOOKUP('Données projet'!$B$9,Paramètres!$A$1:$I$89,3,0)*0.475*44/12</f>
        <v>7.6708985995573791E-11</v>
      </c>
      <c r="AC108" s="24">
        <f t="shared" si="57"/>
        <v>1.14130508128534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337.66199999999992</v>
      </c>
      <c r="AK108" s="14">
        <f t="shared" si="89"/>
        <v>79.016707002632685</v>
      </c>
      <c r="AL108" s="22">
        <f t="shared" si="58"/>
        <v>725.71541469625174</v>
      </c>
      <c r="AM108" s="62">
        <f t="shared" si="59"/>
        <v>1004.4540427771235</v>
      </c>
      <c r="AN108" s="62">
        <f ca="1">AVERAGE(OFFSET($AM$3,0,0,'Données projet'!$E$10+1,1))-AVERAGE(OFFSET($H$3,0,0,'Données projet'!$E$10+1,1))</f>
        <v>520.80494930257237</v>
      </c>
      <c r="AO108" s="62">
        <f t="shared" si="90"/>
        <v>325.72635759450861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1.2790487979062244</v>
      </c>
      <c r="AW108" s="23">
        <f>EXP(-LN(2)/2)*AW107+(1-EXP(-LN(2)/2))/(LN(2)/2)*AQ108*AT108*VLOOKUP('Données projet'!$B$10,Paramètres!$A$1:$I$89,3,0)*0.475*44/12</f>
        <v>8.5966967064004963E-11</v>
      </c>
      <c r="AX108" s="23">
        <f t="shared" si="60"/>
        <v>1.2790487979921914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6.3550942286383367E-14</v>
      </c>
      <c r="BF108" s="14">
        <f t="shared" si="91"/>
        <v>1.0064464192543978E-12</v>
      </c>
      <c r="BG108" s="22">
        <f t="shared" si="61"/>
        <v>1.8635787380168604E-12</v>
      </c>
      <c r="BH108" s="62">
        <f t="shared" si="62"/>
        <v>278.73862808087364</v>
      </c>
      <c r="BI108" s="62">
        <f ca="1">AVERAGE(OFFSET($BH$3,0,0,'Données projet'!$E$11+1,1))-AVERAGE(OFFSET($H$3,0,0,'Données projet'!$E$11+1,1))</f>
        <v>321.60602866722138</v>
      </c>
      <c r="BJ108" s="62">
        <f t="shared" si="92"/>
        <v>375.18886653687389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2.8995661939027806</v>
      </c>
      <c r="BQ108" s="23">
        <f>EXP(-LN(2)/25)*BQ107+(1-EXP(-LN(2)/25))/(LN(2)/25)*Calculateur!BL108*Calculateur!BN108*VLOOKUP('Données projet'!$B$11,Paramètres!$A$1:$I$89,3,0)*0.475*44/12</f>
        <v>1.9965113376378087</v>
      </c>
      <c r="BR108" s="23">
        <f>EXP(-LN(2)/2)*BR107+(1-EXP(-LN(2)/2))/(LN(2)/2)*BL108*BO108*VLOOKUP('Données projet'!$B$11,Paramètres!$A$1:$I$89,3,0)*0.475*44/12</f>
        <v>3.7670439060393005E-11</v>
      </c>
      <c r="BS108" s="24">
        <f t="shared" si="63"/>
        <v>4.8960775315782596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2.8421709430404007E-14</v>
      </c>
      <c r="BZ108" s="14">
        <f>BY108*VLOOKUP('Données projet'!$B$12,Paramètres!$A$1:$I$89,3,0)*VLOOKUP('Données projet'!$B$12,Paramètres!$A$1:$I$89,5,0)</f>
        <v>1.5518253349000589E-14</v>
      </c>
      <c r="CA108" s="14">
        <f t="shared" si="93"/>
        <v>2.8958815659671149E-13</v>
      </c>
      <c r="CB108" s="22">
        <f t="shared" si="64"/>
        <v>5.3139366398878183E-13</v>
      </c>
      <c r="CC108" s="62">
        <f t="shared" si="65"/>
        <v>278.73862808087227</v>
      </c>
      <c r="CD108" s="62">
        <f ca="1">AVERAGE(OFFSET($CC$3,0,0,'Données projet'!$E$12+1,1))-AVERAGE(OFFSET($H$3,0,0,'Données projet'!$E$12+1,1))</f>
        <v>182.44246264133781</v>
      </c>
      <c r="CE108" s="62">
        <f t="shared" si="94"/>
        <v>262.5818213397049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0.97570289618023853</v>
      </c>
      <c r="CL108" s="23">
        <f>EXP(-LN(2)/25)*CL107+(1-EXP(-LN(2)/25))/(LN(2)/25)*Calculateur!CG108*Calculateur!CI108*VLOOKUP('Données projet'!$B$12,Paramètres!$A$1:$I$89,3,0)*0.475*44/12</f>
        <v>2.2624126877443356</v>
      </c>
      <c r="CM108" s="23">
        <f>EXP(-LN(2)/2)*CM107+(1-EXP(-LN(2)/2))/(LN(2)/2)*CG108*CJ108*VLOOKUP('Données projet'!$B$12,Paramètres!$A$1:$I$89,3,0)*0.475*44/12</f>
        <v>1.5530069246978918E-14</v>
      </c>
      <c r="CN108" s="24">
        <f t="shared" si="66"/>
        <v>3.2381155839245896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-5.3205440053716299E-14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426.87921482911719</v>
      </c>
      <c r="CZ108" s="62">
        <f t="shared" si="96"/>
        <v>313.49594674441835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333</v>
      </c>
      <c r="DM108" s="13">
        <f>VLOOKUP(A108,'Données projet'!$A$165:$I$185,9,0)</f>
        <v>5.4</v>
      </c>
      <c r="DN108" s="13">
        <f t="array" ref="DN108">INDEX(DM:DM,MIN(IF(ISNUMBER(DM108:DM304),ROW(DM108:DM304),"")))</f>
        <v>5.4</v>
      </c>
      <c r="DO108" s="13">
        <f>IF('Données projet'!$A$166&gt;35,DO107+DN108-DW107,IF(A108&lt;'Données projet'!$A$166,$DL$205^A108,IF(A108='Données projet'!$A$166,'Données projet'!$B$166,DO107+DN108-DW107)))</f>
        <v>332.99999999999989</v>
      </c>
      <c r="DP108" s="18">
        <f>DO108*VLOOKUP('Données projet'!$B$14,Paramètres!$A$1:$I$89,3,0)*VLOOKUP('Données projet'!$B$14,Paramètres!$A$1:$I$89,5,0)</f>
        <v>322.0775999999999</v>
      </c>
      <c r="DQ108" s="14">
        <f t="shared" si="97"/>
        <v>75.785475796129404</v>
      </c>
      <c r="DR108" s="22">
        <f t="shared" si="70"/>
        <v>692.94485701159181</v>
      </c>
      <c r="DS108" s="62">
        <f t="shared" si="71"/>
        <v>971.68348509246357</v>
      </c>
      <c r="DT108" s="62">
        <f ca="1">AVERAGE(OFFSET($DS$3,0,0,'Données projet'!$E$14+1,1))-AVERAGE(OFFSET($H$3,0,0,'Données projet'!$E$14+1,1))</f>
        <v>500.25828825677058</v>
      </c>
      <c r="DU108" s="62">
        <f t="shared" si="98"/>
        <v>313.56299786481338</v>
      </c>
      <c r="DV108" s="16">
        <f>IF(ISNA(VLOOKUP(A108,'Données projet'!$A$165:$I$185,3,0)),0,VLOOKUP(A108,'Données projet'!$A$165:$I$185,3,0))</f>
        <v>18</v>
      </c>
      <c r="DW108" s="16">
        <f>IF(ISNA(VLOOKUP(A108,'Données projet'!$A$165:$I$185,4,0)),0,VLOOKUP(A108,'Données projet'!$A$165:$I$185,4,0))</f>
        <v>26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0.3205653191107305</v>
      </c>
      <c r="EC108" s="23">
        <f>EXP(-LN(2)/2)*EC107+(1-EXP(-LN(2)/2))/(LN(2)/2)*DW108*DZ108*VLOOKUP('Données projet'!$B$14,Paramètres!$A$1:$I$89,3,0)*0.475*44/12</f>
        <v>1.2929039761479699E-10</v>
      </c>
      <c r="ED108" s="24">
        <f t="shared" si="72"/>
        <v>0.32056531924002091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333</v>
      </c>
      <c r="EH108" s="13">
        <f>VLOOKUP(A108,'Données projet'!$A$191:$I$211,9,0)</f>
        <v>5.4</v>
      </c>
      <c r="EI108" s="13">
        <f t="array" ref="EI108">INDEX(EH:EH,MIN(IF(ISNUMBER(EH108:EH304),ROW(EH108:EH304),"")))</f>
        <v>5.4</v>
      </c>
      <c r="EJ108" s="13">
        <f>IF('Données projet'!$A$192&gt;35,EJ107+EI108-ER107,IF(A108&lt;'Données projet'!$A$192,$EG$205^A108,IF(A108='Données projet'!$A$192,'Données projet'!$B$192,EJ107+EI108-ER107)))</f>
        <v>332.99999999999989</v>
      </c>
      <c r="EK108" s="18">
        <f>EJ108*VLOOKUP('Données projet'!$B$15,Paramètres!$A$1:$I$89,3,0)*VLOOKUP('Données projet'!$B$15,Paramètres!$A$1:$I$89,5,0)</f>
        <v>358.44119999999987</v>
      </c>
      <c r="EL108" s="14">
        <f t="shared" si="99"/>
        <v>83.298223876643164</v>
      </c>
      <c r="EM108" s="22">
        <f t="shared" si="73"/>
        <v>769.36282991848657</v>
      </c>
      <c r="EN108" s="62">
        <f t="shared" si="74"/>
        <v>1048.1014579993584</v>
      </c>
      <c r="EO108" s="62">
        <f ca="1">AVERAGE(OFFSET($EN$3,0,0,'Données projet'!$E$15+1,1))-AVERAGE(OFFSET($H$3,0,0,'Données projet'!$E$15+1,1))</f>
        <v>548.17046467409421</v>
      </c>
      <c r="EP108" s="62">
        <f t="shared" si="100"/>
        <v>341.9250949809848</v>
      </c>
      <c r="EQ108" s="16">
        <f>IF(ISNA(VLOOKUP(A108,'Données projet'!$A$191:$I$211,3,0)),0,VLOOKUP(A108,'Données projet'!$A$191:$I$211,3,0))</f>
        <v>18</v>
      </c>
      <c r="ER108" s="16">
        <f>IF(ISNA(VLOOKUP(A108,'Données projet'!$A$191:$I$211,4,0)),0,VLOOKUP(A108,'Données projet'!$A$191:$I$211,4,0))</f>
        <v>26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0.35675817772000656</v>
      </c>
      <c r="EX108" s="23">
        <f>EXP(-LN(2)/2)*EX107+(1-EXP(-LN(2)/2))/(LN(2)/2)*ER108*EU108*VLOOKUP('Données projet'!$B$15,Paramètres!$A$1:$I$89,3,0)*0.475*44/12</f>
        <v>1.4388770057130622E-10</v>
      </c>
      <c r="EY108" s="24">
        <f t="shared" si="75"/>
        <v>0.35675817786389424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888.13960246778947</v>
      </c>
      <c r="S109" s="62">
        <f ca="1">AVERAGE(OFFSET($R$3,0,0,'Données projet'!$E$9+1,1))-AVERAGE(OFFSET($H$3,0,0,'Données projet'!$E$9+1,1))</f>
        <v>472.83070477639035</v>
      </c>
      <c r="T109" s="62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1.1100960337443553</v>
      </c>
      <c r="AB109" s="23">
        <f>EXP(-LN(2)/2)*AB108+(1-EXP(-LN(2)/2))/(LN(2)/2)*V109*Y109*VLOOKUP('Données projet'!$B$9,Paramètres!$A$1:$I$89,3,0)*0.475*44/12</f>
        <v>5.4241444175414136E-11</v>
      </c>
      <c r="AC109" s="24">
        <f t="shared" si="57"/>
        <v>1.1100960337985968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316.36799999999988</v>
      </c>
      <c r="AK109" s="14">
        <f t="shared" si="89"/>
        <v>74.597144109003438</v>
      </c>
      <c r="AL109" s="22">
        <f t="shared" si="58"/>
        <v>680.93095932318067</v>
      </c>
      <c r="AM109" s="62">
        <f t="shared" si="59"/>
        <v>959.92277291130972</v>
      </c>
      <c r="AN109" s="62">
        <f ca="1">AVERAGE(OFFSET($AM$3,0,0,'Données projet'!$E$10+1,1))-AVERAGE(OFFSET($H$3,0,0,'Données projet'!$E$10+1,1))</f>
        <v>520.80494930257237</v>
      </c>
      <c r="AO109" s="62">
        <f t="shared" si="90"/>
        <v>325.72635759450861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1.2440731412652257</v>
      </c>
      <c r="AW109" s="23">
        <f>EXP(-LN(2)/2)*AW108+(1-EXP(-LN(2)/2))/(LN(2)/2)*AQ109*AT109*VLOOKUP('Données projet'!$B$10,Paramètres!$A$1:$I$89,3,0)*0.475*44/12</f>
        <v>6.0787825368998495E-11</v>
      </c>
      <c r="AX109" s="23">
        <f t="shared" si="60"/>
        <v>1.2440731413260135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6.3550942286383367E-14</v>
      </c>
      <c r="BF109" s="14">
        <f t="shared" si="91"/>
        <v>1.0064464192543978E-12</v>
      </c>
      <c r="BG109" s="22">
        <f t="shared" si="61"/>
        <v>1.8635787380168604E-12</v>
      </c>
      <c r="BH109" s="62">
        <f t="shared" si="62"/>
        <v>278.99181358813098</v>
      </c>
      <c r="BI109" s="62">
        <f ca="1">AVERAGE(OFFSET($BH$3,0,0,'Données projet'!$E$11+1,1))-AVERAGE(OFFSET($H$3,0,0,'Données projet'!$E$11+1,1))</f>
        <v>321.60602866722138</v>
      </c>
      <c r="BJ109" s="62">
        <f t="shared" si="92"/>
        <v>375.18886653687389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2.8427074694010943</v>
      </c>
      <c r="BQ109" s="23">
        <f>EXP(-LN(2)/25)*BQ108+(1-EXP(-LN(2)/25))/(LN(2)/25)*Calculateur!BL109*Calculateur!BN109*VLOOKUP('Données projet'!$B$11,Paramètres!$A$1:$I$89,3,0)*0.475*44/12</f>
        <v>1.9419166301181348</v>
      </c>
      <c r="BR109" s="23">
        <f>EXP(-LN(2)/2)*BR108+(1-EXP(-LN(2)/2))/(LN(2)/2)*BL109*BO109*VLOOKUP('Données projet'!$B$11,Paramètres!$A$1:$I$89,3,0)*0.475*44/12</f>
        <v>2.663702290987849E-11</v>
      </c>
      <c r="BS109" s="24">
        <f t="shared" si="63"/>
        <v>4.7846240995458666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2.8421709430404007E-14</v>
      </c>
      <c r="BZ109" s="14">
        <f>BY109*VLOOKUP('Données projet'!$B$12,Paramètres!$A$1:$I$89,3,0)*VLOOKUP('Données projet'!$B$12,Paramètres!$A$1:$I$89,5,0)</f>
        <v>1.5518253349000589E-14</v>
      </c>
      <c r="CA109" s="14">
        <f t="shared" si="93"/>
        <v>2.8958815659671149E-13</v>
      </c>
      <c r="CB109" s="22">
        <f t="shared" si="64"/>
        <v>5.3139366398878183E-13</v>
      </c>
      <c r="CC109" s="62">
        <f t="shared" si="65"/>
        <v>278.99181358812962</v>
      </c>
      <c r="CD109" s="62">
        <f ca="1">AVERAGE(OFFSET($CC$3,0,0,'Données projet'!$E$12+1,1))-AVERAGE(OFFSET($H$3,0,0,'Données projet'!$E$12+1,1))</f>
        <v>182.44246264133781</v>
      </c>
      <c r="CE109" s="62">
        <f t="shared" si="94"/>
        <v>262.5818213397049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0.95656995750614748</v>
      </c>
      <c r="CL109" s="23">
        <f>EXP(-LN(2)/25)*CL108+(1-EXP(-LN(2)/25))/(LN(2)/25)*Calculateur!CG109*Calculateur!CI109*VLOOKUP('Données projet'!$B$12,Paramètres!$A$1:$I$89,3,0)*0.475*44/12</f>
        <v>2.2005468938228541</v>
      </c>
      <c r="CM109" s="23">
        <f>EXP(-LN(2)/2)*CM108+(1-EXP(-LN(2)/2))/(LN(2)/2)*CG109*CJ109*VLOOKUP('Données projet'!$B$12,Paramètres!$A$1:$I$89,3,0)*0.475*44/12</f>
        <v>1.0981417276835453E-14</v>
      </c>
      <c r="CN109" s="24">
        <f t="shared" si="66"/>
        <v>3.1571168513290124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-5.3205440053716299E-14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426.87921482911719</v>
      </c>
      <c r="CZ109" s="62">
        <f t="shared" si="96"/>
        <v>313.49594674441835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</v>
      </c>
      <c r="DO109" s="13">
        <f>IF('Données projet'!$A$166&gt;35,DO108+DN109-DW108,IF(A109&lt;'Données projet'!$A$166,$DL$205^A109,IF(A109='Données projet'!$A$166,'Données projet'!$B$166,DO108+DN109-DW108)))</f>
        <v>311.99999999999989</v>
      </c>
      <c r="DP109" s="18">
        <f>DO109*VLOOKUP('Données projet'!$B$14,Paramètres!$A$1:$I$89,3,0)*VLOOKUP('Données projet'!$B$14,Paramètres!$A$1:$I$89,5,0)</f>
        <v>301.76639999999992</v>
      </c>
      <c r="DQ109" s="14">
        <f t="shared" si="97"/>
        <v>71.546642144235292</v>
      </c>
      <c r="DR109" s="22">
        <f t="shared" si="70"/>
        <v>650.18688173454302</v>
      </c>
      <c r="DS109" s="62">
        <f t="shared" si="71"/>
        <v>929.17869532267218</v>
      </c>
      <c r="DT109" s="62">
        <f ca="1">AVERAGE(OFFSET($DS$3,0,0,'Données projet'!$E$14+1,1))-AVERAGE(OFFSET($H$3,0,0,'Données projet'!$E$14+1,1))</f>
        <v>500.25828825677058</v>
      </c>
      <c r="DU109" s="62">
        <f t="shared" si="98"/>
        <v>313.56299786481338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0.31179944360185008</v>
      </c>
      <c r="EC109" s="23">
        <f>EXP(-LN(2)/2)*EC108+(1-EXP(-LN(2)/2))/(LN(2)/2)*DW109*DZ109*VLOOKUP('Données projet'!$B$14,Paramètres!$A$1:$I$89,3,0)*0.475*44/12</f>
        <v>9.1422116895727984E-11</v>
      </c>
      <c r="ED109" s="24">
        <f t="shared" si="72"/>
        <v>0.31179944369327217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</v>
      </c>
      <c r="EJ109" s="13">
        <f>IF('Données projet'!$A$192&gt;35,EJ108+EI109-ER108,IF(A109&lt;'Données projet'!$A$192,$EG$205^A109,IF(A109='Données projet'!$A$192,'Données projet'!$B$192,EJ108+EI109-ER108)))</f>
        <v>311.99999999999989</v>
      </c>
      <c r="EK109" s="18">
        <f>EJ109*VLOOKUP('Données projet'!$B$15,Paramètres!$A$1:$I$89,3,0)*VLOOKUP('Données projet'!$B$15,Paramètres!$A$1:$I$89,5,0)</f>
        <v>335.83679999999987</v>
      </c>
      <c r="EL109" s="14">
        <f t="shared" si="99"/>
        <v>78.639187157507692</v>
      </c>
      <c r="EM109" s="22">
        <f t="shared" si="73"/>
        <v>721.87901096599228</v>
      </c>
      <c r="EN109" s="62">
        <f t="shared" si="74"/>
        <v>1000.8708245541213</v>
      </c>
      <c r="EO109" s="62">
        <f ca="1">AVERAGE(OFFSET($EN$3,0,0,'Données projet'!$E$15+1,1))-AVERAGE(OFFSET($H$3,0,0,'Données projet'!$E$15+1,1))</f>
        <v>548.17046467409421</v>
      </c>
      <c r="EP109" s="62">
        <f t="shared" si="100"/>
        <v>341.9250949809848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0.34700260658915583</v>
      </c>
      <c r="EX109" s="23">
        <f>EXP(-LN(2)/2)*EX108+(1-EXP(-LN(2)/2))/(LN(2)/2)*ER109*EU109*VLOOKUP('Données projet'!$B$15,Paramètres!$A$1:$I$89,3,0)*0.475*44/12</f>
        <v>1.017439688033101E-10</v>
      </c>
      <c r="EY109" s="24">
        <f t="shared" si="75"/>
        <v>0.34700260669089977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897.92969277978546</v>
      </c>
      <c r="S110" s="62">
        <f ca="1">AVERAGE(OFFSET($R$3,0,0,'Données projet'!$E$9+1,1))-AVERAGE(OFFSET($H$3,0,0,'Données projet'!$E$9+1,1))</f>
        <v>472.83070477639035</v>
      </c>
      <c r="T110" s="62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1.0797403993242027</v>
      </c>
      <c r="AB110" s="23">
        <f>EXP(-LN(2)/2)*AB109+(1-EXP(-LN(2)/2))/(LN(2)/2)*V110*Y110*VLOOKUP('Données projet'!$B$9,Paramètres!$A$1:$I$89,3,0)*0.475*44/12</f>
        <v>3.8354492997786895E-11</v>
      </c>
      <c r="AC110" s="24">
        <f t="shared" si="57"/>
        <v>1.0797403993625572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321.43799999999987</v>
      </c>
      <c r="AK110" s="14">
        <f t="shared" si="89"/>
        <v>75.652479406660177</v>
      </c>
      <c r="AL110" s="22">
        <f t="shared" si="58"/>
        <v>691.59925163326625</v>
      </c>
      <c r="AM110" s="62">
        <f t="shared" si="59"/>
        <v>970.83985852613989</v>
      </c>
      <c r="AN110" s="62">
        <f ca="1">AVERAGE(OFFSET($AM$3,0,0,'Données projet'!$E$10+1,1))-AVERAGE(OFFSET($H$3,0,0,'Données projet'!$E$10+1,1))</f>
        <v>520.80494930257237</v>
      </c>
      <c r="AO110" s="62">
        <f t="shared" si="90"/>
        <v>325.72635759450861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1.210053895794365</v>
      </c>
      <c r="AW110" s="23">
        <f>EXP(-LN(2)/2)*AW109+(1-EXP(-LN(2)/2))/(LN(2)/2)*AQ110*AT110*VLOOKUP('Données projet'!$B$10,Paramètres!$A$1:$I$89,3,0)*0.475*44/12</f>
        <v>4.2983483532002481E-11</v>
      </c>
      <c r="AX110" s="23">
        <f t="shared" si="60"/>
        <v>1.2100538958373483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6.3550942286383367E-14</v>
      </c>
      <c r="BF110" s="14">
        <f t="shared" si="91"/>
        <v>1.0064464192543978E-12</v>
      </c>
      <c r="BG110" s="22">
        <f t="shared" si="61"/>
        <v>1.8635787380168604E-12</v>
      </c>
      <c r="BH110" s="62">
        <f t="shared" si="62"/>
        <v>279.24060689287552</v>
      </c>
      <c r="BI110" s="62">
        <f ca="1">AVERAGE(OFFSET($BH$3,0,0,'Données projet'!$E$11+1,1))-AVERAGE(OFFSET($H$3,0,0,'Données projet'!$E$11+1,1))</f>
        <v>321.60602866722138</v>
      </c>
      <c r="BJ110" s="62">
        <f t="shared" si="92"/>
        <v>375.18886653687389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2.7869637098064888</v>
      </c>
      <c r="BQ110" s="23">
        <f>EXP(-LN(2)/25)*BQ109+(1-EXP(-LN(2)/25))/(LN(2)/25)*Calculateur!BL110*Calculateur!BN110*VLOOKUP('Données projet'!$B$11,Paramètres!$A$1:$I$89,3,0)*0.475*44/12</f>
        <v>1.8888148177465971</v>
      </c>
      <c r="BR110" s="23">
        <f>EXP(-LN(2)/2)*BR109+(1-EXP(-LN(2)/2))/(LN(2)/2)*BL110*BO110*VLOOKUP('Données projet'!$B$11,Paramètres!$A$1:$I$89,3,0)*0.475*44/12</f>
        <v>1.8835219530196502E-11</v>
      </c>
      <c r="BS110" s="24">
        <f t="shared" si="63"/>
        <v>4.6757785275719215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2.8421709430404007E-14</v>
      </c>
      <c r="BZ110" s="14">
        <f>BY110*VLOOKUP('Données projet'!$B$12,Paramètres!$A$1:$I$89,3,0)*VLOOKUP('Données projet'!$B$12,Paramètres!$A$1:$I$89,5,0)</f>
        <v>1.5518253349000589E-14</v>
      </c>
      <c r="CA110" s="14">
        <f t="shared" si="93"/>
        <v>2.8958815659671149E-13</v>
      </c>
      <c r="CB110" s="22">
        <f t="shared" si="64"/>
        <v>5.3139366398878183E-13</v>
      </c>
      <c r="CC110" s="62">
        <f t="shared" si="65"/>
        <v>279.24060689287415</v>
      </c>
      <c r="CD110" s="62">
        <f ca="1">AVERAGE(OFFSET($CC$3,0,0,'Données projet'!$E$12+1,1))-AVERAGE(OFFSET($H$3,0,0,'Données projet'!$E$12+1,1))</f>
        <v>182.44246264133781</v>
      </c>
      <c r="CE110" s="62">
        <f t="shared" si="94"/>
        <v>262.5818213397049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0.93781220408951516</v>
      </c>
      <c r="CL110" s="23">
        <f>EXP(-LN(2)/25)*CL109+(1-EXP(-LN(2)/25))/(LN(2)/25)*Calculateur!CG110*Calculateur!CI110*VLOOKUP('Données projet'!$B$12,Paramètres!$A$1:$I$89,3,0)*0.475*44/12</f>
        <v>2.1403728232895363</v>
      </c>
      <c r="CM110" s="23">
        <f>EXP(-LN(2)/2)*CM109+(1-EXP(-LN(2)/2))/(LN(2)/2)*CG110*CJ110*VLOOKUP('Données projet'!$B$12,Paramètres!$A$1:$I$89,3,0)*0.475*44/12</f>
        <v>7.765034623489459E-15</v>
      </c>
      <c r="CN110" s="24">
        <f t="shared" si="66"/>
        <v>3.078185027379059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-5.3205440053716299E-14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426.87921482911719</v>
      </c>
      <c r="CZ110" s="62">
        <f t="shared" si="96"/>
        <v>313.49594674441835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</v>
      </c>
      <c r="DO110" s="13">
        <f>IF('Données projet'!$A$166&gt;35,DO109+DN110-DW109,IF(A110&lt;'Données projet'!$A$166,$DL$205^A110,IF(A110='Données projet'!$A$166,'Données projet'!$B$166,DO109+DN110-DW109)))</f>
        <v>316.99999999999989</v>
      </c>
      <c r="DP110" s="18">
        <f>DO110*VLOOKUP('Données projet'!$B$14,Paramètres!$A$1:$I$89,3,0)*VLOOKUP('Données projet'!$B$14,Paramètres!$A$1:$I$89,5,0)</f>
        <v>306.60239999999993</v>
      </c>
      <c r="DQ110" s="14">
        <f t="shared" si="97"/>
        <v>72.558821602115088</v>
      </c>
      <c r="DR110" s="22">
        <f t="shared" si="70"/>
        <v>660.37246095701687</v>
      </c>
      <c r="DS110" s="62">
        <f t="shared" si="71"/>
        <v>939.61306784989051</v>
      </c>
      <c r="DT110" s="62">
        <f ca="1">AVERAGE(OFFSET($DS$3,0,0,'Données projet'!$E$14+1,1))-AVERAGE(OFFSET($H$3,0,0,'Données projet'!$E$14+1,1))</f>
        <v>500.25828825677058</v>
      </c>
      <c r="DU110" s="62">
        <f t="shared" si="98"/>
        <v>313.56299786481338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0.30327327141973737</v>
      </c>
      <c r="EC110" s="23">
        <f>EXP(-LN(2)/2)*EC109+(1-EXP(-LN(2)/2))/(LN(2)/2)*DW110*DZ110*VLOOKUP('Données projet'!$B$14,Paramètres!$A$1:$I$89,3,0)*0.475*44/12</f>
        <v>6.4645198807398496E-11</v>
      </c>
      <c r="ED110" s="24">
        <f t="shared" si="72"/>
        <v>0.30327327148438255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5</v>
      </c>
      <c r="EJ110" s="13">
        <f>IF('Données projet'!$A$192&gt;35,EJ109+EI110-ER109,IF(A110&lt;'Données projet'!$A$192,$EG$205^A110,IF(A110='Données projet'!$A$192,'Données projet'!$B$192,EJ109+EI110-ER109)))</f>
        <v>316.99999999999989</v>
      </c>
      <c r="EK110" s="18">
        <f>EJ110*VLOOKUP('Données projet'!$B$15,Paramètres!$A$1:$I$89,3,0)*VLOOKUP('Données projet'!$B$15,Paramètres!$A$1:$I$89,5,0)</f>
        <v>341.21879999999987</v>
      </c>
      <c r="EL110" s="14">
        <f t="shared" si="99"/>
        <v>79.751705752925901</v>
      </c>
      <c r="EM110" s="22">
        <f t="shared" si="73"/>
        <v>733.19029751967901</v>
      </c>
      <c r="EN110" s="62">
        <f t="shared" si="74"/>
        <v>1012.4309044125526</v>
      </c>
      <c r="EO110" s="62">
        <f ca="1">AVERAGE(OFFSET($EN$3,0,0,'Données projet'!$E$15+1,1))-AVERAGE(OFFSET($H$3,0,0,'Données projet'!$E$15+1,1))</f>
        <v>548.17046467409421</v>
      </c>
      <c r="EP110" s="62">
        <f t="shared" si="100"/>
        <v>341.9250949809848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0.33751380206390136</v>
      </c>
      <c r="EX110" s="23">
        <f>EXP(-LN(2)/2)*EX109+(1-EXP(-LN(2)/2))/(LN(2)/2)*ER110*EU110*VLOOKUP('Données projet'!$B$15,Paramètres!$A$1:$I$89,3,0)*0.475*44/12</f>
        <v>7.194385028565311E-11</v>
      </c>
      <c r="EY110" s="24">
        <f t="shared" si="75"/>
        <v>0.3375138021358452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907.71241838629953</v>
      </c>
      <c r="S111" s="62">
        <f ca="1">AVERAGE(OFFSET($R$3,0,0,'Données projet'!$E$9+1,1))-AVERAGE(OFFSET($H$3,0,0,'Données projet'!$E$9+1,1))</f>
        <v>472.83070477639035</v>
      </c>
      <c r="T111" s="62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1.0502148413236025</v>
      </c>
      <c r="AB111" s="23">
        <f>EXP(-LN(2)/2)*AB110+(1-EXP(-LN(2)/2))/(LN(2)/2)*V111*Y111*VLOOKUP('Données projet'!$B$9,Paramètres!$A$1:$I$89,3,0)*0.475*44/12</f>
        <v>2.7120722087707068E-11</v>
      </c>
      <c r="AC111" s="24">
        <f t="shared" si="57"/>
        <v>1.0502148413507233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326.50799999999987</v>
      </c>
      <c r="AK111" s="14">
        <f t="shared" si="89"/>
        <v>76.705878841344258</v>
      </c>
      <c r="AL111" s="22">
        <f t="shared" si="58"/>
        <v>702.26417231534106</v>
      </c>
      <c r="AM111" s="62">
        <f t="shared" si="59"/>
        <v>981.74925650534033</v>
      </c>
      <c r="AN111" s="62">
        <f ca="1">AVERAGE(OFFSET($AM$3,0,0,'Données projet'!$E$10+1,1))-AVERAGE(OFFSET($H$3,0,0,'Données projet'!$E$10+1,1))</f>
        <v>520.80494930257237</v>
      </c>
      <c r="AO111" s="62">
        <f t="shared" si="90"/>
        <v>325.72635759450861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1.1769649083798992</v>
      </c>
      <c r="AW111" s="23">
        <f>EXP(-LN(2)/2)*AW110+(1-EXP(-LN(2)/2))/(LN(2)/2)*AQ111*AT111*VLOOKUP('Données projet'!$B$10,Paramètres!$A$1:$I$89,3,0)*0.475*44/12</f>
        <v>3.0393912684499247E-11</v>
      </c>
      <c r="AX111" s="23">
        <f t="shared" si="60"/>
        <v>1.1769649084102931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6.3550942286383367E-14</v>
      </c>
      <c r="BF111" s="14">
        <f t="shared" si="91"/>
        <v>1.0064464192543978E-12</v>
      </c>
      <c r="BG111" s="22">
        <f t="shared" si="61"/>
        <v>1.8635787380168604E-12</v>
      </c>
      <c r="BH111" s="62">
        <f t="shared" si="62"/>
        <v>279.4850841900012</v>
      </c>
      <c r="BI111" s="62">
        <f ca="1">AVERAGE(OFFSET($BH$3,0,0,'Données projet'!$E$11+1,1))-AVERAGE(OFFSET($H$3,0,0,'Données projet'!$E$11+1,1))</f>
        <v>321.60602866722138</v>
      </c>
      <c r="BJ111" s="62">
        <f t="shared" si="92"/>
        <v>375.18886653687389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2.7323130513371972</v>
      </c>
      <c r="BQ111" s="23">
        <f>EXP(-LN(2)/25)*BQ110+(1-EXP(-LN(2)/25))/(LN(2)/25)*Calculateur!BL111*Calculateur!BN111*VLOOKUP('Données projet'!$B$11,Paramètres!$A$1:$I$89,3,0)*0.475*44/12</f>
        <v>1.8371650772268622</v>
      </c>
      <c r="BR111" s="23">
        <f>EXP(-LN(2)/2)*BR110+(1-EXP(-LN(2)/2))/(LN(2)/2)*BL111*BO111*VLOOKUP('Données projet'!$B$11,Paramètres!$A$1:$I$89,3,0)*0.475*44/12</f>
        <v>1.3318511454939245E-11</v>
      </c>
      <c r="BS111" s="24">
        <f t="shared" si="63"/>
        <v>4.5694781285773773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2.8421709430404007E-14</v>
      </c>
      <c r="BZ111" s="14">
        <f>BY111*VLOOKUP('Données projet'!$B$12,Paramètres!$A$1:$I$89,3,0)*VLOOKUP('Données projet'!$B$12,Paramètres!$A$1:$I$89,5,0)</f>
        <v>1.5518253349000589E-14</v>
      </c>
      <c r="CA111" s="14">
        <f t="shared" si="93"/>
        <v>2.8958815659671149E-13</v>
      </c>
      <c r="CB111" s="22">
        <f t="shared" si="64"/>
        <v>5.3139366398878183E-13</v>
      </c>
      <c r="CC111" s="62">
        <f t="shared" si="65"/>
        <v>279.48508418999984</v>
      </c>
      <c r="CD111" s="62">
        <f ca="1">AVERAGE(OFFSET($CC$3,0,0,'Données projet'!$E$12+1,1))-AVERAGE(OFFSET($H$3,0,0,'Données projet'!$E$12+1,1))</f>
        <v>182.44246264133781</v>
      </c>
      <c r="CE111" s="62">
        <f t="shared" si="94"/>
        <v>262.5818213397049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0.91942227877628302</v>
      </c>
      <c r="CL111" s="23">
        <f>EXP(-LN(2)/25)*CL110+(1-EXP(-LN(2)/25))/(LN(2)/25)*Calculateur!CG111*Calculateur!CI111*VLOOKUP('Données projet'!$B$12,Paramètres!$A$1:$I$89,3,0)*0.475*44/12</f>
        <v>2.0818442158793689</v>
      </c>
      <c r="CM111" s="23">
        <f>EXP(-LN(2)/2)*CM110+(1-EXP(-LN(2)/2))/(LN(2)/2)*CG111*CJ111*VLOOKUP('Données projet'!$B$12,Paramètres!$A$1:$I$89,3,0)*0.475*44/12</f>
        <v>5.4907086384177263E-15</v>
      </c>
      <c r="CN111" s="24">
        <f t="shared" si="66"/>
        <v>3.0012664946556571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-5.3205440053716299E-14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426.87921482911719</v>
      </c>
      <c r="CZ111" s="62">
        <f t="shared" si="96"/>
        <v>313.49594674441835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</v>
      </c>
      <c r="DO111" s="13">
        <f>IF('Données projet'!$A$166&gt;35,DO110+DN111-DW110,IF(A111&lt;'Données projet'!$A$166,$DL$205^A111,IF(A111='Données projet'!$A$166,'Données projet'!$B$166,DO110+DN111-DW110)))</f>
        <v>321.99999999999989</v>
      </c>
      <c r="DP111" s="18">
        <f>DO111*VLOOKUP('Données projet'!$B$14,Paramètres!$A$1:$I$89,3,0)*VLOOKUP('Données projet'!$B$14,Paramètres!$A$1:$I$89,5,0)</f>
        <v>311.43839999999989</v>
      </c>
      <c r="DQ111" s="14">
        <f t="shared" si="97"/>
        <v>73.569144360291361</v>
      </c>
      <c r="DR111" s="22">
        <f t="shared" si="70"/>
        <v>670.55480642750729</v>
      </c>
      <c r="DS111" s="62">
        <f t="shared" si="71"/>
        <v>950.03989061750667</v>
      </c>
      <c r="DT111" s="62">
        <f ca="1">AVERAGE(OFFSET($DS$3,0,0,'Données projet'!$E$14+1,1))-AVERAGE(OFFSET($H$3,0,0,'Données projet'!$E$14+1,1))</f>
        <v>500.25828825677058</v>
      </c>
      <c r="DU111" s="62">
        <f t="shared" si="98"/>
        <v>313.56299786481338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0.29498024786431642</v>
      </c>
      <c r="EC111" s="23">
        <f>EXP(-LN(2)/2)*EC110+(1-EXP(-LN(2)/2))/(LN(2)/2)*DW111*DZ111*VLOOKUP('Données projet'!$B$14,Paramètres!$A$1:$I$89,3,0)*0.475*44/12</f>
        <v>4.5711058447863992E-11</v>
      </c>
      <c r="ED111" s="24">
        <f t="shared" si="72"/>
        <v>0.29498024791002747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</v>
      </c>
      <c r="EJ111" s="13">
        <f>IF('Données projet'!$A$192&gt;35,EJ110+EI111-ER110,IF(A111&lt;'Données projet'!$A$192,$EG$205^A111,IF(A111='Données projet'!$A$192,'Données projet'!$B$192,EJ110+EI111-ER110)))</f>
        <v>321.99999999999989</v>
      </c>
      <c r="EK111" s="18">
        <f>EJ111*VLOOKUP('Données projet'!$B$15,Paramètres!$A$1:$I$89,3,0)*VLOOKUP('Données projet'!$B$15,Paramètres!$A$1:$I$89,5,0)</f>
        <v>346.60079999999982</v>
      </c>
      <c r="EL111" s="14">
        <f t="shared" si="99"/>
        <v>80.862183590719297</v>
      </c>
      <c r="EM111" s="22">
        <f t="shared" si="73"/>
        <v>744.49802975383579</v>
      </c>
      <c r="EN111" s="62">
        <f t="shared" si="74"/>
        <v>1023.9831139438352</v>
      </c>
      <c r="EO111" s="62">
        <f ca="1">AVERAGE(OFFSET($EN$3,0,0,'Données projet'!$E$15+1,1))-AVERAGE(OFFSET($H$3,0,0,'Données projet'!$E$15+1,1))</f>
        <v>548.17046467409421</v>
      </c>
      <c r="EP111" s="62">
        <f t="shared" si="100"/>
        <v>341.9250949809848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0.32828446939738454</v>
      </c>
      <c r="EX111" s="23">
        <f>EXP(-LN(2)/2)*EX110+(1-EXP(-LN(2)/2))/(LN(2)/2)*ER111*EU111*VLOOKUP('Données projet'!$B$15,Paramètres!$A$1:$I$89,3,0)*0.475*44/12</f>
        <v>5.0871984401655049E-11</v>
      </c>
      <c r="EY111" s="24">
        <f t="shared" si="75"/>
        <v>0.32828446944825651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917.48790696736285</v>
      </c>
      <c r="S112" s="62">
        <f ca="1">AVERAGE(OFFSET($R$3,0,0,'Données projet'!$E$9+1,1))-AVERAGE(OFFSET($H$3,0,0,'Données projet'!$E$9+1,1))</f>
        <v>472.83070477639035</v>
      </c>
      <c r="T112" s="62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1.0214966612592105</v>
      </c>
      <c r="AB112" s="23">
        <f>EXP(-LN(2)/2)*AB111+(1-EXP(-LN(2)/2))/(LN(2)/2)*V112*Y112*VLOOKUP('Données projet'!$B$9,Paramètres!$A$1:$I$89,3,0)*0.475*44/12</f>
        <v>1.9177246498893448E-11</v>
      </c>
      <c r="AC112" s="24">
        <f t="shared" si="57"/>
        <v>1.0214966612783878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331.57799999999992</v>
      </c>
      <c r="AK112" s="14">
        <f t="shared" si="89"/>
        <v>77.75737594442586</v>
      </c>
      <c r="AL112" s="22">
        <f t="shared" si="58"/>
        <v>712.92577976987479</v>
      </c>
      <c r="AM112" s="62">
        <f t="shared" si="59"/>
        <v>992.65110012246407</v>
      </c>
      <c r="AN112" s="62">
        <f ca="1">AVERAGE(OFFSET($AM$3,0,0,'Données projet'!$E$10+1,1))-AVERAGE(OFFSET($H$3,0,0,'Données projet'!$E$10+1,1))</f>
        <v>520.80494930257237</v>
      </c>
      <c r="AO112" s="62">
        <f t="shared" si="90"/>
        <v>325.72635759450861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1.1447807410663564</v>
      </c>
      <c r="AW112" s="23">
        <f>EXP(-LN(2)/2)*AW111+(1-EXP(-LN(2)/2))/(LN(2)/2)*AQ112*AT112*VLOOKUP('Données projet'!$B$10,Paramètres!$A$1:$I$89,3,0)*0.475*44/12</f>
        <v>2.1491741766001241E-11</v>
      </c>
      <c r="AX112" s="23">
        <f t="shared" si="60"/>
        <v>1.1447807410878481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6.3550942286383367E-14</v>
      </c>
      <c r="BF112" s="14">
        <f t="shared" si="91"/>
        <v>1.0064464192543978E-12</v>
      </c>
      <c r="BG112" s="22">
        <f t="shared" si="61"/>
        <v>1.8635787380168604E-12</v>
      </c>
      <c r="BH112" s="62">
        <f t="shared" si="62"/>
        <v>279.72532035259115</v>
      </c>
      <c r="BI112" s="62">
        <f ca="1">AVERAGE(OFFSET($BH$3,0,0,'Données projet'!$E$11+1,1))-AVERAGE(OFFSET($H$3,0,0,'Données projet'!$E$11+1,1))</f>
        <v>321.60602866722138</v>
      </c>
      <c r="BJ112" s="62">
        <f t="shared" si="92"/>
        <v>375.18886653687389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2.6787340589468784</v>
      </c>
      <c r="BQ112" s="23">
        <f>EXP(-LN(2)/25)*BQ111+(1-EXP(-LN(2)/25))/(LN(2)/25)*Calculateur!BL112*Calculateur!BN112*VLOOKUP('Données projet'!$B$11,Paramètres!$A$1:$I$89,3,0)*0.475*44/12</f>
        <v>1.7869277015777811</v>
      </c>
      <c r="BR112" s="23">
        <f>EXP(-LN(2)/2)*BR111+(1-EXP(-LN(2)/2))/(LN(2)/2)*BL112*BO112*VLOOKUP('Données projet'!$B$11,Paramètres!$A$1:$I$89,3,0)*0.475*44/12</f>
        <v>9.4176097650982512E-12</v>
      </c>
      <c r="BS112" s="24">
        <f t="shared" si="63"/>
        <v>4.4656617605340765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2.8421709430404007E-14</v>
      </c>
      <c r="BZ112" s="14">
        <f>BY112*VLOOKUP('Données projet'!$B$12,Paramètres!$A$1:$I$89,3,0)*VLOOKUP('Données projet'!$B$12,Paramètres!$A$1:$I$89,5,0)</f>
        <v>1.5518253349000589E-14</v>
      </c>
      <c r="CA112" s="14">
        <f t="shared" si="93"/>
        <v>2.8958815659671149E-13</v>
      </c>
      <c r="CB112" s="22">
        <f t="shared" si="64"/>
        <v>5.3139366398878183E-13</v>
      </c>
      <c r="CC112" s="62">
        <f t="shared" si="65"/>
        <v>279.72532035258979</v>
      </c>
      <c r="CD112" s="62">
        <f ca="1">AVERAGE(OFFSET($CC$3,0,0,'Données projet'!$E$12+1,1))-AVERAGE(OFFSET($H$3,0,0,'Données projet'!$E$12+1,1))</f>
        <v>182.44246264133781</v>
      </c>
      <c r="CE112" s="62">
        <f t="shared" si="94"/>
        <v>262.5818213397049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0.90139296868169649</v>
      </c>
      <c r="CL112" s="23">
        <f>EXP(-LN(2)/25)*CL111+(1-EXP(-LN(2)/25))/(LN(2)/25)*Calculateur!CG112*Calculateur!CI112*VLOOKUP('Données projet'!$B$12,Paramètres!$A$1:$I$89,3,0)*0.475*44/12</f>
        <v>2.0249160763167184</v>
      </c>
      <c r="CM112" s="23">
        <f>EXP(-LN(2)/2)*CM111+(1-EXP(-LN(2)/2))/(LN(2)/2)*CG112*CJ112*VLOOKUP('Données projet'!$B$12,Paramètres!$A$1:$I$89,3,0)*0.475*44/12</f>
        <v>3.8825173117447295E-15</v>
      </c>
      <c r="CN112" s="24">
        <f t="shared" si="66"/>
        <v>2.926309044998419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-5.3205440053716299E-14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426.87921482911719</v>
      </c>
      <c r="CZ112" s="62">
        <f t="shared" si="96"/>
        <v>313.49594674441835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</v>
      </c>
      <c r="DO112" s="13">
        <f>IF('Données projet'!$A$166&gt;35,DO111+DN112-DW111,IF(A112&lt;'Données projet'!$A$166,$DL$205^A112,IF(A112='Données projet'!$A$166,'Données projet'!$B$166,DO111+DN112-DW111)))</f>
        <v>326.99999999999989</v>
      </c>
      <c r="DP112" s="18">
        <f>DO112*VLOOKUP('Données projet'!$B$14,Paramètres!$A$1:$I$89,3,0)*VLOOKUP('Données projet'!$B$14,Paramètres!$A$1:$I$89,5,0)</f>
        <v>316.2743999999999</v>
      </c>
      <c r="DQ112" s="14">
        <f t="shared" si="97"/>
        <v>74.577642578935567</v>
      </c>
      <c r="DR112" s="22">
        <f t="shared" si="70"/>
        <v>680.73397415831266</v>
      </c>
      <c r="DS112" s="62">
        <f t="shared" si="71"/>
        <v>960.45929451090194</v>
      </c>
      <c r="DT112" s="62">
        <f ca="1">AVERAGE(OFFSET($DS$3,0,0,'Données projet'!$E$14+1,1))-AVERAGE(OFFSET($H$3,0,0,'Données projet'!$E$14+1,1))</f>
        <v>500.25828825677058</v>
      </c>
      <c r="DU112" s="62">
        <f t="shared" si="98"/>
        <v>313.56299786481338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0.28691399747412966</v>
      </c>
      <c r="EC112" s="23">
        <f>EXP(-LN(2)/2)*EC111+(1-EXP(-LN(2)/2))/(LN(2)/2)*DW112*DZ112*VLOOKUP('Données projet'!$B$14,Paramètres!$A$1:$I$89,3,0)*0.475*44/12</f>
        <v>3.2322599403699248E-11</v>
      </c>
      <c r="ED112" s="24">
        <f t="shared" si="72"/>
        <v>0.28691399750645225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5</v>
      </c>
      <c r="EJ112" s="13">
        <f>IF('Données projet'!$A$192&gt;35,EJ111+EI112-ER111,IF(A112&lt;'Données projet'!$A$192,$EG$205^A112,IF(A112='Données projet'!$A$192,'Données projet'!$B$192,EJ111+EI112-ER111)))</f>
        <v>326.99999999999989</v>
      </c>
      <c r="EK112" s="18">
        <f>EJ112*VLOOKUP('Données projet'!$B$15,Paramètres!$A$1:$I$89,3,0)*VLOOKUP('Données projet'!$B$15,Paramètres!$A$1:$I$89,5,0)</f>
        <v>351.98279999999988</v>
      </c>
      <c r="EL112" s="14">
        <f t="shared" si="99"/>
        <v>81.970656019154148</v>
      </c>
      <c r="EM112" s="22">
        <f t="shared" si="73"/>
        <v>755.80226923335988</v>
      </c>
      <c r="EN112" s="62">
        <f t="shared" si="74"/>
        <v>1035.527589585949</v>
      </c>
      <c r="EO112" s="62">
        <f ca="1">AVERAGE(OFFSET($EN$3,0,0,'Données projet'!$E$15+1,1))-AVERAGE(OFFSET($H$3,0,0,'Données projet'!$E$15+1,1))</f>
        <v>548.17046467409421</v>
      </c>
      <c r="EP112" s="62">
        <f t="shared" si="100"/>
        <v>341.9250949809848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0.31930751331798313</v>
      </c>
      <c r="EX112" s="23">
        <f>EXP(-LN(2)/2)*EX111+(1-EXP(-LN(2)/2))/(LN(2)/2)*ER112*EU112*VLOOKUP('Données projet'!$B$15,Paramètres!$A$1:$I$89,3,0)*0.475*44/12</f>
        <v>3.5971925142826555E-11</v>
      </c>
      <c r="EY112" s="24">
        <f t="shared" si="75"/>
        <v>0.31930751335395507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927.25628319657039</v>
      </c>
      <c r="S113" s="62">
        <f ca="1">AVERAGE(OFFSET($R$3,0,0,'Données projet'!$E$9+1,1))-AVERAGE(OFFSET($H$3,0,0,'Données projet'!$E$9+1,1))</f>
        <v>472.83070477639035</v>
      </c>
      <c r="T113" s="62">
        <f t="shared" si="88"/>
        <v>297.32483725004136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0.99356378133890255</v>
      </c>
      <c r="AB113" s="23">
        <f>EXP(-LN(2)/2)*AB112+(1-EXP(-LN(2)/2))/(LN(2)/2)*V113*Y113*VLOOKUP('Données projet'!$B$9,Paramètres!$A$1:$I$89,3,0)*0.475*44/12</f>
        <v>1.3560361043853534E-11</v>
      </c>
      <c r="AC113" s="24">
        <f t="shared" si="57"/>
        <v>0.99356378135246293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336.64799999999991</v>
      </c>
      <c r="AK113" s="14">
        <f t="shared" si="89"/>
        <v>78.807003163010307</v>
      </c>
      <c r="AL113" s="22">
        <f t="shared" si="58"/>
        <v>723.58413050890942</v>
      </c>
      <c r="AM113" s="62">
        <f t="shared" si="59"/>
        <v>1003.5455194637552</v>
      </c>
      <c r="AN113" s="62">
        <f ca="1">AVERAGE(OFFSET($AM$3,0,0,'Données projet'!$E$10+1,1))-AVERAGE(OFFSET($H$3,0,0,'Données projet'!$E$10+1,1))</f>
        <v>520.80494930257237</v>
      </c>
      <c r="AO113" s="62">
        <f t="shared" si="90"/>
        <v>325.72635759450861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1.1134766515004941</v>
      </c>
      <c r="AW113" s="23">
        <f>EXP(-LN(2)/2)*AW112+(1-EXP(-LN(2)/2))/(LN(2)/2)*AQ113*AT113*VLOOKUP('Données projet'!$B$10,Paramètres!$A$1:$I$89,3,0)*0.475*44/12</f>
        <v>1.5196956342249624E-11</v>
      </c>
      <c r="AX113" s="23">
        <f t="shared" si="60"/>
        <v>1.1134766515156911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6.3550942286383367E-14</v>
      </c>
      <c r="BF113" s="14">
        <f t="shared" si="91"/>
        <v>1.0064464192543978E-12</v>
      </c>
      <c r="BG113" s="22">
        <f t="shared" si="61"/>
        <v>1.8635787380168604E-12</v>
      </c>
      <c r="BH113" s="62">
        <f t="shared" si="62"/>
        <v>279.96138895484773</v>
      </c>
      <c r="BI113" s="62">
        <f ca="1">AVERAGE(OFFSET($BH$3,0,0,'Données projet'!$E$11+1,1))-AVERAGE(OFFSET($H$3,0,0,'Données projet'!$E$11+1,1))</f>
        <v>321.60602866722138</v>
      </c>
      <c r="BJ113" s="62">
        <f t="shared" si="92"/>
        <v>375.18886653687389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2.626205717917375</v>
      </c>
      <c r="BQ113" s="23">
        <f>EXP(-LN(2)/25)*BQ112+(1-EXP(-LN(2)/25))/(LN(2)/25)*Calculateur!BL113*Calculateur!BN113*VLOOKUP('Données projet'!$B$11,Paramètres!$A$1:$I$89,3,0)*0.475*44/12</f>
        <v>1.738064069607693</v>
      </c>
      <c r="BR113" s="23">
        <f>EXP(-LN(2)/2)*BR112+(1-EXP(-LN(2)/2))/(LN(2)/2)*BL113*BO113*VLOOKUP('Données projet'!$B$11,Paramètres!$A$1:$I$89,3,0)*0.475*44/12</f>
        <v>6.6592557274696224E-12</v>
      </c>
      <c r="BS113" s="24">
        <f t="shared" si="63"/>
        <v>4.3642697875317271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2.8421709430404007E-14</v>
      </c>
      <c r="BZ113" s="14">
        <f>BY113*VLOOKUP('Données projet'!$B$12,Paramètres!$A$1:$I$89,3,0)*VLOOKUP('Données projet'!$B$12,Paramètres!$A$1:$I$89,5,0)</f>
        <v>1.5518253349000589E-14</v>
      </c>
      <c r="CA113" s="14">
        <f t="shared" si="93"/>
        <v>2.8958815659671149E-13</v>
      </c>
      <c r="CB113" s="22">
        <f t="shared" si="64"/>
        <v>5.3139366398878183E-13</v>
      </c>
      <c r="CC113" s="62">
        <f t="shared" si="65"/>
        <v>279.96138895484637</v>
      </c>
      <c r="CD113" s="62">
        <f ca="1">AVERAGE(OFFSET($CC$3,0,0,'Données projet'!$E$12+1,1))-AVERAGE(OFFSET($H$3,0,0,'Données projet'!$E$12+1,1))</f>
        <v>182.44246264133781</v>
      </c>
      <c r="CE113" s="62">
        <f t="shared" si="94"/>
        <v>262.5818213397049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0.88371720236127149</v>
      </c>
      <c r="CL113" s="23">
        <f>EXP(-LN(2)/25)*CL112+(1-EXP(-LN(2)/25))/(LN(2)/25)*Calculateur!CG113*Calculateur!CI113*VLOOKUP('Données projet'!$B$12,Paramètres!$A$1:$I$89,3,0)*0.475*44/12</f>
        <v>1.9695446397241294</v>
      </c>
      <c r="CM113" s="23">
        <f>EXP(-LN(2)/2)*CM112+(1-EXP(-LN(2)/2))/(LN(2)/2)*CG113*CJ113*VLOOKUP('Données projet'!$B$12,Paramètres!$A$1:$I$89,3,0)*0.475*44/12</f>
        <v>2.7453543192088632E-15</v>
      </c>
      <c r="CN113" s="24">
        <f t="shared" si="66"/>
        <v>2.8532618420854035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-5.3205440053716299E-14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426.87921482911719</v>
      </c>
      <c r="CZ113" s="62">
        <f t="shared" si="96"/>
        <v>313.49594674441835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332</v>
      </c>
      <c r="DM113" s="13">
        <f>VLOOKUP(A113,'Données projet'!$A$165:$I$185,9,0)</f>
        <v>5</v>
      </c>
      <c r="DN113" s="13">
        <f t="array" ref="DN113">INDEX(DM:DM,MIN(IF(ISNUMBER(DM113:DM309),ROW(DM113:DM309),"")))</f>
        <v>5</v>
      </c>
      <c r="DO113" s="13">
        <f>IF('Données projet'!$A$166&gt;35,DO112+DN113-DW112,IF(A113&lt;'Données projet'!$A$166,$DL$205^A113,IF(A113='Données projet'!$A$166,'Données projet'!$B$166,DO112+DN113-DW112)))</f>
        <v>331.99999999999989</v>
      </c>
      <c r="DP113" s="18">
        <f>DO113*VLOOKUP('Données projet'!$B$14,Paramètres!$A$1:$I$89,3,0)*VLOOKUP('Données projet'!$B$14,Paramètres!$A$1:$I$89,5,0)</f>
        <v>321.11039999999986</v>
      </c>
      <c r="DQ113" s="14">
        <f t="shared" si="97"/>
        <v>75.584347378293316</v>
      </c>
      <c r="DR113" s="22">
        <f t="shared" si="70"/>
        <v>690.91001835052737</v>
      </c>
      <c r="DS113" s="62">
        <f t="shared" si="71"/>
        <v>970.87140730537317</v>
      </c>
      <c r="DT113" s="62">
        <f ca="1">AVERAGE(OFFSET($DS$3,0,0,'Données projet'!$E$14+1,1))-AVERAGE(OFFSET($H$3,0,0,'Données projet'!$E$14+1,1))</f>
        <v>500.25828825677058</v>
      </c>
      <c r="DU113" s="62">
        <f t="shared" si="98"/>
        <v>313.56299786481338</v>
      </c>
      <c r="DV113" s="16">
        <f>IF(ISNA(VLOOKUP(A113,'Données projet'!$A$165:$I$185,3,0)),0,VLOOKUP(A113,'Données projet'!$A$165:$I$185,3,0))</f>
        <v>19</v>
      </c>
      <c r="DW113" s="16">
        <f>IF(ISNA(VLOOKUP(A113,'Données projet'!$A$165:$I$185,4,0)),0,VLOOKUP(A113,'Données projet'!$A$165:$I$185,4,0))</f>
        <v>25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0.2790683191250482</v>
      </c>
      <c r="EC113" s="23">
        <f>EXP(-LN(2)/2)*EC112+(1-EXP(-LN(2)/2))/(LN(2)/2)*DW113*DZ113*VLOOKUP('Données projet'!$B$14,Paramètres!$A$1:$I$89,3,0)*0.475*44/12</f>
        <v>2.2855529223931996E-11</v>
      </c>
      <c r="ED113" s="24">
        <f t="shared" si="72"/>
        <v>0.27906831914790375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332</v>
      </c>
      <c r="EH113" s="13">
        <f>VLOOKUP(A113,'Données projet'!$A$191:$I$211,9,0)</f>
        <v>5</v>
      </c>
      <c r="EI113" s="13">
        <f t="array" ref="EI113">INDEX(EH:EH,MIN(IF(ISNUMBER(EH113:EH309),ROW(EH113:EH309),"")))</f>
        <v>5</v>
      </c>
      <c r="EJ113" s="13">
        <f>IF('Données projet'!$A$192&gt;35,EJ112+EI113-ER112,IF(A113&lt;'Données projet'!$A$192,$EG$205^A113,IF(A113='Données projet'!$A$192,'Données projet'!$B$192,EJ112+EI113-ER112)))</f>
        <v>331.99999999999989</v>
      </c>
      <c r="EK113" s="18">
        <f>EJ113*VLOOKUP('Données projet'!$B$15,Paramètres!$A$1:$I$89,3,0)*VLOOKUP('Données projet'!$B$15,Paramètres!$A$1:$I$89,5,0)</f>
        <v>357.36479999999983</v>
      </c>
      <c r="EL113" s="14">
        <f t="shared" si="99"/>
        <v>83.077157243480698</v>
      </c>
      <c r="EM113" s="22">
        <f t="shared" si="73"/>
        <v>767.10307553239511</v>
      </c>
      <c r="EN113" s="62">
        <f t="shared" si="74"/>
        <v>1047.0644644872409</v>
      </c>
      <c r="EO113" s="62">
        <f ca="1">AVERAGE(OFFSET($EN$3,0,0,'Données projet'!$E$15+1,1))-AVERAGE(OFFSET($H$3,0,0,'Données projet'!$E$15+1,1))</f>
        <v>548.17046467409421</v>
      </c>
      <c r="EP113" s="62">
        <f t="shared" si="100"/>
        <v>341.9250949809848</v>
      </c>
      <c r="EQ113" s="16">
        <f>IF(ISNA(VLOOKUP(A113,'Données projet'!$A$191:$I$211,3,0)),0,VLOOKUP(A113,'Données projet'!$A$191:$I$211,3,0))</f>
        <v>19</v>
      </c>
      <c r="ER113" s="16">
        <f>IF(ISNA(VLOOKUP(A113,'Données projet'!$A$191:$I$211,4,0)),0,VLOOKUP(A113,'Données projet'!$A$191:$I$211,4,0))</f>
        <v>25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0.31057603257465055</v>
      </c>
      <c r="EX113" s="23">
        <f>EXP(-LN(2)/2)*EX112+(1-EXP(-LN(2)/2))/(LN(2)/2)*ER113*EU113*VLOOKUP('Données projet'!$B$15,Paramètres!$A$1:$I$89,3,0)*0.475*44/12</f>
        <v>2.5435992200827525E-11</v>
      </c>
      <c r="EY113" s="24">
        <f t="shared" si="75"/>
        <v>0.31057603260008654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888.57771408731037</v>
      </c>
      <c r="S114" s="62">
        <f ca="1">AVERAGE(OFFSET($R$3,0,0,'Données projet'!$E$9+1,1))-AVERAGE(OFFSET($H$3,0,0,'Données projet'!$E$9+1,1))</f>
        <v>472.83070477639035</v>
      </c>
      <c r="T114" s="62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0.96639472748894184</v>
      </c>
      <c r="AB114" s="23">
        <f>EXP(-LN(2)/2)*AB113+(1-EXP(-LN(2)/2))/(LN(2)/2)*V114*Y114*VLOOKUP('Données projet'!$B$9,Paramètres!$A$1:$I$89,3,0)*0.475*44/12</f>
        <v>9.5886232494467239E-12</v>
      </c>
      <c r="AC114" s="24">
        <f t="shared" si="57"/>
        <v>0.9663947274985305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315.96239999999989</v>
      </c>
      <c r="AK114" s="14">
        <f t="shared" si="89"/>
        <v>74.512632625562503</v>
      </c>
      <c r="AL114" s="22">
        <f t="shared" si="58"/>
        <v>680.07734848952111</v>
      </c>
      <c r="AM114" s="62">
        <f t="shared" si="59"/>
        <v>960.27071078414474</v>
      </c>
      <c r="AN114" s="62">
        <f ca="1">AVERAGE(OFFSET($AM$3,0,0,'Données projet'!$E$10+1,1))-AVERAGE(OFFSET($H$3,0,0,'Données projet'!$E$10+1,1))</f>
        <v>520.80494930257237</v>
      </c>
      <c r="AO114" s="62">
        <f t="shared" si="90"/>
        <v>325.72635759450861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1.0830285739100209</v>
      </c>
      <c r="AW114" s="23">
        <f>EXP(-LN(2)/2)*AW113+(1-EXP(-LN(2)/2))/(LN(2)/2)*AQ114*AT114*VLOOKUP('Données projet'!$B$10,Paramètres!$A$1:$I$89,3,0)*0.475*44/12</f>
        <v>1.074587088300062E-11</v>
      </c>
      <c r="AX114" s="23">
        <f t="shared" si="60"/>
        <v>1.0830285739207668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6.3550942286383367E-14</v>
      </c>
      <c r="BF114" s="14">
        <f t="shared" si="91"/>
        <v>1.0064464192543978E-12</v>
      </c>
      <c r="BG114" s="22">
        <f t="shared" si="61"/>
        <v>1.8635787380168604E-12</v>
      </c>
      <c r="BH114" s="62">
        <f t="shared" si="62"/>
        <v>280.19336229462544</v>
      </c>
      <c r="BI114" s="62">
        <f ca="1">AVERAGE(OFFSET($BH$3,0,0,'Données projet'!$E$11+1,1))-AVERAGE(OFFSET($H$3,0,0,'Données projet'!$E$11+1,1))</f>
        <v>321.60602866722138</v>
      </c>
      <c r="BJ114" s="62">
        <f t="shared" si="92"/>
        <v>375.18886653687389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2.574707425616336</v>
      </c>
      <c r="BQ114" s="23">
        <f>EXP(-LN(2)/25)*BQ113+(1-EXP(-LN(2)/25))/(LN(2)/25)*Calculateur!BL114*Calculateur!BN114*VLOOKUP('Données projet'!$B$11,Paramètres!$A$1:$I$89,3,0)*0.475*44/12</f>
        <v>1.6905366162234536</v>
      </c>
      <c r="BR114" s="23">
        <f>EXP(-LN(2)/2)*BR113+(1-EXP(-LN(2)/2))/(LN(2)/2)*BL114*BO114*VLOOKUP('Données projet'!$B$11,Paramètres!$A$1:$I$89,3,0)*0.475*44/12</f>
        <v>4.7088048825491256E-12</v>
      </c>
      <c r="BS114" s="24">
        <f t="shared" si="63"/>
        <v>4.2652440418444986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2.8421709430404007E-14</v>
      </c>
      <c r="BZ114" s="14">
        <f>BY114*VLOOKUP('Données projet'!$B$12,Paramètres!$A$1:$I$89,3,0)*VLOOKUP('Données projet'!$B$12,Paramètres!$A$1:$I$89,5,0)</f>
        <v>1.5518253349000589E-14</v>
      </c>
      <c r="CA114" s="14">
        <f t="shared" si="93"/>
        <v>2.8958815659671149E-13</v>
      </c>
      <c r="CB114" s="22">
        <f t="shared" si="64"/>
        <v>5.3139366398878183E-13</v>
      </c>
      <c r="CC114" s="62">
        <f t="shared" si="65"/>
        <v>280.19336229462408</v>
      </c>
      <c r="CD114" s="62">
        <f ca="1">AVERAGE(OFFSET($CC$3,0,0,'Données projet'!$E$12+1,1))-AVERAGE(OFFSET($H$3,0,0,'Données projet'!$E$12+1,1))</f>
        <v>182.44246264133781</v>
      </c>
      <c r="CE114" s="62">
        <f t="shared" si="94"/>
        <v>262.5818213397049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0.86638804703723715</v>
      </c>
      <c r="CL114" s="23">
        <f>EXP(-LN(2)/25)*CL113+(1-EXP(-LN(2)/25))/(LN(2)/25)*Calculateur!CG114*Calculateur!CI114*VLOOKUP('Données projet'!$B$12,Paramètres!$A$1:$I$89,3,0)*0.475*44/12</f>
        <v>1.9156873379770218</v>
      </c>
      <c r="CM114" s="23">
        <f>EXP(-LN(2)/2)*CM113+(1-EXP(-LN(2)/2))/(LN(2)/2)*CG114*CJ114*VLOOKUP('Données projet'!$B$12,Paramètres!$A$1:$I$89,3,0)*0.475*44/12</f>
        <v>1.9412586558723648E-15</v>
      </c>
      <c r="CN114" s="24">
        <f t="shared" si="66"/>
        <v>2.7820753850142608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-5.3205440053716299E-14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426.87921482911719</v>
      </c>
      <c r="CZ114" s="62">
        <f t="shared" si="96"/>
        <v>313.49594674441835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4.5999999999999996</v>
      </c>
      <c r="DO114" s="13">
        <f>IF('Données projet'!$A$166&gt;35,DO113+DN114-DW113,IF(A114&lt;'Données projet'!$A$166,$DL$205^A114,IF(A114='Données projet'!$A$166,'Données projet'!$B$166,DO113+DN114-DW113)))</f>
        <v>311.59999999999991</v>
      </c>
      <c r="DP114" s="18">
        <f>DO114*VLOOKUP('Données projet'!$B$14,Paramètres!$A$1:$I$89,3,0)*VLOOKUP('Données projet'!$B$14,Paramètres!$A$1:$I$89,5,0)</f>
        <v>301.37951999999996</v>
      </c>
      <c r="DQ114" s="14">
        <f t="shared" si="97"/>
        <v>71.465586589963848</v>
      </c>
      <c r="DR114" s="22">
        <f t="shared" si="70"/>
        <v>649.37189397752024</v>
      </c>
      <c r="DS114" s="62">
        <f t="shared" si="71"/>
        <v>929.56525627214387</v>
      </c>
      <c r="DT114" s="62">
        <f ca="1">AVERAGE(OFFSET($DS$3,0,0,'Données projet'!$E$14+1,1))-AVERAGE(OFFSET($H$3,0,0,'Données projet'!$E$14+1,1))</f>
        <v>500.25828825677058</v>
      </c>
      <c r="DU114" s="62">
        <f t="shared" si="98"/>
        <v>313.56299786481338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0.2714371812630087</v>
      </c>
      <c r="EC114" s="23">
        <f>EXP(-LN(2)/2)*EC113+(1-EXP(-LN(2)/2))/(LN(2)/2)*DW114*DZ114*VLOOKUP('Données projet'!$B$14,Paramètres!$A$1:$I$89,3,0)*0.475*44/12</f>
        <v>1.6161299701849624E-11</v>
      </c>
      <c r="ED114" s="24">
        <f t="shared" si="72"/>
        <v>0.27143718127916999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4.5999999999999996</v>
      </c>
      <c r="EJ114" s="13">
        <f>IF('Données projet'!$A$192&gt;35,EJ113+EI114-ER113,IF(A114&lt;'Données projet'!$A$192,$EG$205^A114,IF(A114='Données projet'!$A$192,'Données projet'!$B$192,EJ113+EI114-ER113)))</f>
        <v>311.59999999999991</v>
      </c>
      <c r="EK114" s="18">
        <f>EJ114*VLOOKUP('Données projet'!$B$15,Paramètres!$A$1:$I$89,3,0)*VLOOKUP('Données projet'!$B$15,Paramètres!$A$1:$I$89,5,0)</f>
        <v>335.40623999999991</v>
      </c>
      <c r="EL114" s="14">
        <f t="shared" si="99"/>
        <v>78.550096422967442</v>
      </c>
      <c r="EM114" s="22">
        <f t="shared" si="73"/>
        <v>720.97395260333485</v>
      </c>
      <c r="EN114" s="62">
        <f t="shared" si="74"/>
        <v>1001.1673148979585</v>
      </c>
      <c r="EO114" s="62">
        <f ca="1">AVERAGE(OFFSET($EN$3,0,0,'Données projet'!$E$15+1,1))-AVERAGE(OFFSET($H$3,0,0,'Données projet'!$E$15+1,1))</f>
        <v>548.17046467409421</v>
      </c>
      <c r="EP114" s="62">
        <f t="shared" si="100"/>
        <v>341.9250949809848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0.30208331463141302</v>
      </c>
      <c r="EX114" s="23">
        <f>EXP(-LN(2)/2)*EX113+(1-EXP(-LN(2)/2))/(LN(2)/2)*ER114*EU114*VLOOKUP('Données projet'!$B$15,Paramètres!$A$1:$I$89,3,0)*0.475*44/12</f>
        <v>1.7985962571413278E-11</v>
      </c>
      <c r="EY114" s="24">
        <f t="shared" si="75"/>
        <v>0.30208331464939897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897.5839960506562</v>
      </c>
      <c r="S115" s="62">
        <f ca="1">AVERAGE(OFFSET($R$3,0,0,'Données projet'!$E$9+1,1))-AVERAGE(OFFSET($H$3,0,0,'Données projet'!$E$9+1,1))</f>
        <v>472.83070477639035</v>
      </c>
      <c r="T115" s="62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0.93996861284526678</v>
      </c>
      <c r="AB115" s="23">
        <f>EXP(-LN(2)/2)*AB114+(1-EXP(-LN(2)/2))/(LN(2)/2)*V115*Y115*VLOOKUP('Données projet'!$B$9,Paramètres!$A$1:$I$89,3,0)*0.475*44/12</f>
        <v>6.7801805219267669E-12</v>
      </c>
      <c r="AC115" s="24">
        <f t="shared" si="57"/>
        <v>0.93996861285204691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320.62679999999995</v>
      </c>
      <c r="AK115" s="14">
        <f t="shared" si="89"/>
        <v>75.483756735990909</v>
      </c>
      <c r="AL115" s="22">
        <f t="shared" si="58"/>
        <v>689.89255298185071</v>
      </c>
      <c r="AM115" s="62">
        <f t="shared" si="59"/>
        <v>970.31386439742164</v>
      </c>
      <c r="AN115" s="62">
        <f ca="1">AVERAGE(OFFSET($AM$3,0,0,'Données projet'!$E$10+1,1))-AVERAGE(OFFSET($H$3,0,0,'Données projet'!$E$10+1,1))</f>
        <v>520.80494930257237</v>
      </c>
      <c r="AO115" s="62">
        <f t="shared" si="90"/>
        <v>325.72635759450861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1.0534131006024541</v>
      </c>
      <c r="AW115" s="23">
        <f>EXP(-LN(2)/2)*AW114+(1-EXP(-LN(2)/2))/(LN(2)/2)*AQ115*AT115*VLOOKUP('Données projet'!$B$10,Paramètres!$A$1:$I$89,3,0)*0.475*44/12</f>
        <v>7.5984781711248118E-12</v>
      </c>
      <c r="AX115" s="23">
        <f t="shared" si="60"/>
        <v>1.0534131006100527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6.3550942286383367E-14</v>
      </c>
      <c r="BF115" s="14">
        <f t="shared" si="91"/>
        <v>1.0064464192543978E-12</v>
      </c>
      <c r="BG115" s="22">
        <f t="shared" si="61"/>
        <v>1.8635787380168604E-12</v>
      </c>
      <c r="BH115" s="62">
        <f t="shared" si="62"/>
        <v>280.42131141557275</v>
      </c>
      <c r="BI115" s="62">
        <f ca="1">AVERAGE(OFFSET($BH$3,0,0,'Données projet'!$E$11+1,1))-AVERAGE(OFFSET($H$3,0,0,'Données projet'!$E$11+1,1))</f>
        <v>321.60602866722138</v>
      </c>
      <c r="BJ115" s="62">
        <f t="shared" si="92"/>
        <v>375.18886653687389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2.5242189834164637</v>
      </c>
      <c r="BQ115" s="23">
        <f>EXP(-LN(2)/25)*BQ114+(1-EXP(-LN(2)/25))/(LN(2)/25)*Calculateur!BL115*Calculateur!BN115*VLOOKUP('Données projet'!$B$11,Paramètres!$A$1:$I$89,3,0)*0.475*44/12</f>
        <v>1.6443088035513664</v>
      </c>
      <c r="BR115" s="23">
        <f>EXP(-LN(2)/2)*BR114+(1-EXP(-LN(2)/2))/(LN(2)/2)*BL115*BO115*VLOOKUP('Données projet'!$B$11,Paramètres!$A$1:$I$89,3,0)*0.475*44/12</f>
        <v>3.3296278637348112E-12</v>
      </c>
      <c r="BS115" s="24">
        <f t="shared" si="63"/>
        <v>4.1685277869711603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2.8421709430404007E-14</v>
      </c>
      <c r="BZ115" s="14">
        <f>BY115*VLOOKUP('Données projet'!$B$12,Paramètres!$A$1:$I$89,3,0)*VLOOKUP('Données projet'!$B$12,Paramètres!$A$1:$I$89,5,0)</f>
        <v>1.5518253349000589E-14</v>
      </c>
      <c r="CA115" s="14">
        <f t="shared" si="93"/>
        <v>2.8958815659671149E-13</v>
      </c>
      <c r="CB115" s="22">
        <f t="shared" si="64"/>
        <v>5.3139366398878183E-13</v>
      </c>
      <c r="CC115" s="62">
        <f t="shared" si="65"/>
        <v>280.42131141557138</v>
      </c>
      <c r="CD115" s="62">
        <f ca="1">AVERAGE(OFFSET($CC$3,0,0,'Données projet'!$E$12+1,1))-AVERAGE(OFFSET($H$3,0,0,'Données projet'!$E$12+1,1))</f>
        <v>182.44246264133781</v>
      </c>
      <c r="CE115" s="62">
        <f t="shared" si="94"/>
        <v>262.5818213397049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0.84939870587936606</v>
      </c>
      <c r="CL115" s="23">
        <f>EXP(-LN(2)/25)*CL114+(1-EXP(-LN(2)/25))/(LN(2)/25)*Calculateur!CG115*Calculateur!CI115*VLOOKUP('Données projet'!$B$12,Paramètres!$A$1:$I$89,3,0)*0.475*44/12</f>
        <v>1.8633027669784215</v>
      </c>
      <c r="CM115" s="23">
        <f>EXP(-LN(2)/2)*CM114+(1-EXP(-LN(2)/2))/(LN(2)/2)*CG115*CJ115*VLOOKUP('Données projet'!$B$12,Paramètres!$A$1:$I$89,3,0)*0.475*44/12</f>
        <v>1.3726771596044316E-15</v>
      </c>
      <c r="CN115" s="24">
        <f t="shared" si="66"/>
        <v>2.712701472857789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-5.3205440053716299E-14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426.87921482911719</v>
      </c>
      <c r="CZ115" s="62">
        <f t="shared" si="96"/>
        <v>313.49594674441835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4.5999999999999996</v>
      </c>
      <c r="DO115" s="13">
        <f>IF('Données projet'!$A$166&gt;35,DO114+DN115-DW114,IF(A115&lt;'Données projet'!$A$166,$DL$205^A115,IF(A115='Données projet'!$A$166,'Données projet'!$B$166,DO114+DN115-DW114)))</f>
        <v>316.19999999999993</v>
      </c>
      <c r="DP115" s="18">
        <f>DO115*VLOOKUP('Données projet'!$B$14,Paramètres!$A$1:$I$89,3,0)*VLOOKUP('Données projet'!$B$14,Paramètres!$A$1:$I$89,5,0)</f>
        <v>305.82863999999995</v>
      </c>
      <c r="DQ115" s="14">
        <f t="shared" si="97"/>
        <v>72.396998509767741</v>
      </c>
      <c r="DR115" s="22">
        <f t="shared" si="70"/>
        <v>658.74298707117862</v>
      </c>
      <c r="DS115" s="62">
        <f t="shared" si="71"/>
        <v>939.16429848674943</v>
      </c>
      <c r="DT115" s="62">
        <f ca="1">AVERAGE(OFFSET($DS$3,0,0,'Données projet'!$E$14+1,1))-AVERAGE(OFFSET($H$3,0,0,'Données projet'!$E$14+1,1))</f>
        <v>500.25828825677058</v>
      </c>
      <c r="DU115" s="62">
        <f t="shared" si="98"/>
        <v>313.56299786481338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0.26401471726711073</v>
      </c>
      <c r="EC115" s="23">
        <f>EXP(-LN(2)/2)*EC114+(1-EXP(-LN(2)/2))/(LN(2)/2)*DW115*DZ115*VLOOKUP('Données projet'!$B$14,Paramètres!$A$1:$I$89,3,0)*0.475*44/12</f>
        <v>1.1427764611965998E-11</v>
      </c>
      <c r="ED115" s="24">
        <f t="shared" si="72"/>
        <v>0.26401471727853848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4.5999999999999996</v>
      </c>
      <c r="EJ115" s="13">
        <f>IF('Données projet'!$A$192&gt;35,EJ114+EI115-ER114,IF(A115&lt;'Données projet'!$A$192,$EG$205^A115,IF(A115='Données projet'!$A$192,'Données projet'!$B$192,EJ114+EI115-ER114)))</f>
        <v>316.19999999999993</v>
      </c>
      <c r="EK115" s="18">
        <f>EJ115*VLOOKUP('Données projet'!$B$15,Paramètres!$A$1:$I$89,3,0)*VLOOKUP('Données projet'!$B$15,Paramètres!$A$1:$I$89,5,0)</f>
        <v>340.3576799999999</v>
      </c>
      <c r="EL115" s="14">
        <f t="shared" si="99"/>
        <v>79.573840851595449</v>
      </c>
      <c r="EM115" s="22">
        <f t="shared" si="73"/>
        <v>731.38073214986196</v>
      </c>
      <c r="EN115" s="62">
        <f t="shared" si="74"/>
        <v>1011.8020435654328</v>
      </c>
      <c r="EO115" s="62">
        <f ca="1">AVERAGE(OFFSET($EN$3,0,0,'Données projet'!$E$15+1,1))-AVERAGE(OFFSET($H$3,0,0,'Données projet'!$E$15+1,1))</f>
        <v>548.17046467409421</v>
      </c>
      <c r="EP115" s="62">
        <f t="shared" si="100"/>
        <v>341.9250949809848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0.29382283050694596</v>
      </c>
      <c r="EX115" s="23">
        <f>EXP(-LN(2)/2)*EX114+(1-EXP(-LN(2)/2))/(LN(2)/2)*ER115*EU115*VLOOKUP('Données projet'!$B$15,Paramètres!$A$1:$I$89,3,0)*0.475*44/12</f>
        <v>1.2717996100413762E-11</v>
      </c>
      <c r="EY115" s="24">
        <f t="shared" si="75"/>
        <v>0.29382283051966396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906.58373591785903</v>
      </c>
      <c r="S116" s="62">
        <f ca="1">AVERAGE(OFFSET($R$3,0,0,'Données projet'!$E$9+1,1))-AVERAGE(OFFSET($H$3,0,0,'Données projet'!$E$9+1,1))</f>
        <v>472.83070477639035</v>
      </c>
      <c r="T116" s="62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0.91426512169621199</v>
      </c>
      <c r="AB116" s="23">
        <f>EXP(-LN(2)/2)*AB115+(1-EXP(-LN(2)/2))/(LN(2)/2)*V116*Y116*VLOOKUP('Données projet'!$B$9,Paramètres!$A$1:$I$89,3,0)*0.475*44/12</f>
        <v>4.7943116247233619E-12</v>
      </c>
      <c r="AC116" s="24">
        <f t="shared" si="57"/>
        <v>0.91426512170100627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325.2912</v>
      </c>
      <c r="AK116" s="14">
        <f t="shared" si="89"/>
        <v>76.453237715285965</v>
      </c>
      <c r="AL116" s="22">
        <f t="shared" si="58"/>
        <v>699.70489568745631</v>
      </c>
      <c r="AM116" s="62">
        <f t="shared" si="59"/>
        <v>980.350201816344</v>
      </c>
      <c r="AN116" s="62">
        <f ca="1">AVERAGE(OFFSET($AM$3,0,0,'Données projet'!$E$10+1,1))-AVERAGE(OFFSET($H$3,0,0,'Données projet'!$E$10+1,1))</f>
        <v>520.80494930257237</v>
      </c>
      <c r="AO116" s="62">
        <f t="shared" si="90"/>
        <v>325.72635759450861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1.0246074639698926</v>
      </c>
      <c r="AW116" s="23">
        <f>EXP(-LN(2)/2)*AW115+(1-EXP(-LN(2)/2))/(LN(2)/2)*AQ116*AT116*VLOOKUP('Données projet'!$B$10,Paramètres!$A$1:$I$89,3,0)*0.475*44/12</f>
        <v>5.3729354415003102E-12</v>
      </c>
      <c r="AX116" s="23">
        <f t="shared" si="60"/>
        <v>1.0246074639752656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6.3550942286383367E-14</v>
      </c>
      <c r="BF116" s="14">
        <f t="shared" si="91"/>
        <v>1.0064464192543978E-12</v>
      </c>
      <c r="BG116" s="22">
        <f t="shared" si="61"/>
        <v>1.8635787380168604E-12</v>
      </c>
      <c r="BH116" s="62">
        <f t="shared" si="62"/>
        <v>280.6453061288895</v>
      </c>
      <c r="BI116" s="62">
        <f ca="1">AVERAGE(OFFSET($BH$3,0,0,'Données projet'!$E$11+1,1))-AVERAGE(OFFSET($H$3,0,0,'Données projet'!$E$11+1,1))</f>
        <v>321.60602866722138</v>
      </c>
      <c r="BJ116" s="62">
        <f t="shared" si="92"/>
        <v>375.18886653687389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2.4747205887732218</v>
      </c>
      <c r="BQ116" s="23">
        <f>EXP(-LN(2)/25)*BQ115+(1-EXP(-LN(2)/25))/(LN(2)/25)*Calculateur!BL116*Calculateur!BN116*VLOOKUP('Données projet'!$B$11,Paramètres!$A$1:$I$89,3,0)*0.475*44/12</f>
        <v>1.5993450928478126</v>
      </c>
      <c r="BR116" s="23">
        <f>EXP(-LN(2)/2)*BR115+(1-EXP(-LN(2)/2))/(LN(2)/2)*BL116*BO116*VLOOKUP('Données projet'!$B$11,Paramètres!$A$1:$I$89,3,0)*0.475*44/12</f>
        <v>2.3544024412745628E-12</v>
      </c>
      <c r="BS116" s="24">
        <f t="shared" si="63"/>
        <v>4.0740656816233889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2.8421709430404007E-14</v>
      </c>
      <c r="BZ116" s="14">
        <f>BY116*VLOOKUP('Données projet'!$B$12,Paramètres!$A$1:$I$89,3,0)*VLOOKUP('Données projet'!$B$12,Paramètres!$A$1:$I$89,5,0)</f>
        <v>1.5518253349000589E-14</v>
      </c>
      <c r="CA116" s="14">
        <f t="shared" si="93"/>
        <v>2.8958815659671149E-13</v>
      </c>
      <c r="CB116" s="22">
        <f t="shared" si="64"/>
        <v>5.3139366398878183E-13</v>
      </c>
      <c r="CC116" s="62">
        <f t="shared" si="65"/>
        <v>280.64530612888814</v>
      </c>
      <c r="CD116" s="62">
        <f ca="1">AVERAGE(OFFSET($CC$3,0,0,'Données projet'!$E$12+1,1))-AVERAGE(OFFSET($H$3,0,0,'Données projet'!$E$12+1,1))</f>
        <v>182.44246264133781</v>
      </c>
      <c r="CE116" s="62">
        <f t="shared" si="94"/>
        <v>262.5818213397049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0.83274251533912591</v>
      </c>
      <c r="CL116" s="23">
        <f>EXP(-LN(2)/25)*CL115+(1-EXP(-LN(2)/25))/(LN(2)/25)*Calculateur!CG116*Calculateur!CI116*VLOOKUP('Données projet'!$B$12,Paramètres!$A$1:$I$89,3,0)*0.475*44/12</f>
        <v>1.8123506548285626</v>
      </c>
      <c r="CM116" s="23">
        <f>EXP(-LN(2)/2)*CM115+(1-EXP(-LN(2)/2))/(LN(2)/2)*CG116*CJ116*VLOOKUP('Données projet'!$B$12,Paramètres!$A$1:$I$89,3,0)*0.475*44/12</f>
        <v>9.7062932793618238E-16</v>
      </c>
      <c r="CN116" s="24">
        <f t="shared" si="66"/>
        <v>2.6450931701676894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-5.3205440053716299E-14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426.87921482911719</v>
      </c>
      <c r="CZ116" s="62">
        <f t="shared" si="96"/>
        <v>313.49594674441835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4.5999999999999996</v>
      </c>
      <c r="DO116" s="13">
        <f>IF('Données projet'!$A$166&gt;35,DO115+DN116-DW115,IF(A116&lt;'Données projet'!$A$166,$DL$205^A116,IF(A116='Données projet'!$A$166,'Données projet'!$B$166,DO115+DN116-DW115)))</f>
        <v>320.79999999999995</v>
      </c>
      <c r="DP116" s="18">
        <f>DO116*VLOOKUP('Données projet'!$B$14,Paramètres!$A$1:$I$89,3,0)*VLOOKUP('Données projet'!$B$14,Paramètres!$A$1:$I$89,5,0)</f>
        <v>310.27775999999994</v>
      </c>
      <c r="DQ116" s="14">
        <f t="shared" si="97"/>
        <v>73.326834491020819</v>
      </c>
      <c r="DR116" s="22">
        <f t="shared" si="70"/>
        <v>668.11133540519438</v>
      </c>
      <c r="DS116" s="62">
        <f t="shared" si="71"/>
        <v>948.75664153408206</v>
      </c>
      <c r="DT116" s="62">
        <f ca="1">AVERAGE(OFFSET($DS$3,0,0,'Données projet'!$E$14+1,1))-AVERAGE(OFFSET($H$3,0,0,'Données projet'!$E$14+1,1))</f>
        <v>500.25828825677058</v>
      </c>
      <c r="DU116" s="62">
        <f t="shared" si="98"/>
        <v>313.56299786481338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0.25679522093951102</v>
      </c>
      <c r="EC116" s="23">
        <f>EXP(-LN(2)/2)*EC115+(1-EXP(-LN(2)/2))/(LN(2)/2)*DW116*DZ116*VLOOKUP('Données projet'!$B$14,Paramètres!$A$1:$I$89,3,0)*0.475*44/12</f>
        <v>8.080649850924812E-12</v>
      </c>
      <c r="ED116" s="24">
        <f t="shared" si="72"/>
        <v>0.25679522094759166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4.5999999999999996</v>
      </c>
      <c r="EJ116" s="13">
        <f>IF('Données projet'!$A$192&gt;35,EJ115+EI116-ER115,IF(A116&lt;'Données projet'!$A$192,$EG$205^A116,IF(A116='Données projet'!$A$192,'Données projet'!$B$192,EJ115+EI116-ER115)))</f>
        <v>320.79999999999995</v>
      </c>
      <c r="EK116" s="18">
        <f>EJ116*VLOOKUP('Données projet'!$B$15,Paramètres!$A$1:$I$89,3,0)*VLOOKUP('Données projet'!$B$15,Paramètres!$A$1:$I$89,5,0)</f>
        <v>345.30911999999995</v>
      </c>
      <c r="EL116" s="14">
        <f t="shared" si="99"/>
        <v>80.595853116100187</v>
      </c>
      <c r="EM116" s="22">
        <f t="shared" si="73"/>
        <v>741.78449484387431</v>
      </c>
      <c r="EN116" s="62">
        <f t="shared" si="74"/>
        <v>1022.429800972762</v>
      </c>
      <c r="EO116" s="62">
        <f ca="1">AVERAGE(OFFSET($EN$3,0,0,'Données projet'!$E$15+1,1))-AVERAGE(OFFSET($H$3,0,0,'Données projet'!$E$15+1,1))</f>
        <v>548.17046467409421</v>
      </c>
      <c r="EP116" s="62">
        <f t="shared" si="100"/>
        <v>341.9250949809848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0.28578822975526241</v>
      </c>
      <c r="EX116" s="23">
        <f>EXP(-LN(2)/2)*EX115+(1-EXP(-LN(2)/2))/(LN(2)/2)*ER116*EU116*VLOOKUP('Données projet'!$B$15,Paramètres!$A$1:$I$89,3,0)*0.475*44/12</f>
        <v>8.9929812857066388E-12</v>
      </c>
      <c r="EY116" s="24">
        <f t="shared" si="75"/>
        <v>0.28578822976425539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915.57704368166696</v>
      </c>
      <c r="S117" s="62">
        <f ca="1">AVERAGE(OFFSET($R$3,0,0,'Données projet'!$E$9+1,1))-AVERAGE(OFFSET($H$3,0,0,'Données projet'!$E$9+1,1))</f>
        <v>472.83070477639035</v>
      </c>
      <c r="T117" s="62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0.88926449386431594</v>
      </c>
      <c r="AB117" s="23">
        <f>EXP(-LN(2)/2)*AB116+(1-EXP(-LN(2)/2))/(LN(2)/2)*V117*Y117*VLOOKUP('Données projet'!$B$9,Paramètres!$A$1:$I$89,3,0)*0.475*44/12</f>
        <v>3.3900902609633835E-12</v>
      </c>
      <c r="AC117" s="24">
        <f t="shared" si="57"/>
        <v>0.88926449386770601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329.9556</v>
      </c>
      <c r="AK117" s="14">
        <f t="shared" si="89"/>
        <v>77.421101846941795</v>
      </c>
      <c r="AL117" s="22">
        <f t="shared" si="58"/>
        <v>709.51442238342361</v>
      </c>
      <c r="AM117" s="62">
        <f t="shared" si="59"/>
        <v>990.379837418129</v>
      </c>
      <c r="AN117" s="62">
        <f ca="1">AVERAGE(OFFSET($AM$3,0,0,'Données projet'!$E$10+1,1))-AVERAGE(OFFSET($H$3,0,0,'Données projet'!$E$10+1,1))</f>
        <v>520.80494930257237</v>
      </c>
      <c r="AO117" s="62">
        <f t="shared" si="90"/>
        <v>325.72635759450861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0.99658951898587111</v>
      </c>
      <c r="AW117" s="23">
        <f>EXP(-LN(2)/2)*AW116+(1-EXP(-LN(2)/2))/(LN(2)/2)*AQ117*AT117*VLOOKUP('Données projet'!$B$10,Paramètres!$A$1:$I$89,3,0)*0.475*44/12</f>
        <v>3.7992390855624059E-12</v>
      </c>
      <c r="AX117" s="23">
        <f t="shared" si="60"/>
        <v>0.99658951898967041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6.3550942286383367E-14</v>
      </c>
      <c r="BF117" s="14">
        <f t="shared" si="91"/>
        <v>1.0064464192543978E-12</v>
      </c>
      <c r="BG117" s="22">
        <f t="shared" si="61"/>
        <v>1.8635787380168604E-12</v>
      </c>
      <c r="BH117" s="62">
        <f t="shared" si="62"/>
        <v>280.86541503470733</v>
      </c>
      <c r="BI117" s="62">
        <f ca="1">AVERAGE(OFFSET($BH$3,0,0,'Données projet'!$E$11+1,1))-AVERAGE(OFFSET($H$3,0,0,'Données projet'!$E$11+1,1))</f>
        <v>321.60602866722138</v>
      </c>
      <c r="BJ117" s="62">
        <f t="shared" si="92"/>
        <v>375.18886653687389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2.4261928274578941</v>
      </c>
      <c r="BQ117" s="23">
        <f>EXP(-LN(2)/25)*BQ116+(1-EXP(-LN(2)/25))/(LN(2)/25)*Calculateur!BL117*Calculateur!BN117*VLOOKUP('Données projet'!$B$11,Paramètres!$A$1:$I$89,3,0)*0.475*44/12</f>
        <v>1.5556109171779859</v>
      </c>
      <c r="BR117" s="23">
        <f>EXP(-LN(2)/2)*BR116+(1-EXP(-LN(2)/2))/(LN(2)/2)*BL117*BO117*VLOOKUP('Données projet'!$B$11,Paramètres!$A$1:$I$89,3,0)*0.475*44/12</f>
        <v>1.6648139318674056E-12</v>
      </c>
      <c r="BS117" s="24">
        <f t="shared" si="63"/>
        <v>3.9818037446375452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2.8421709430404007E-14</v>
      </c>
      <c r="BZ117" s="14">
        <f>BY117*VLOOKUP('Données projet'!$B$12,Paramètres!$A$1:$I$89,3,0)*VLOOKUP('Données projet'!$B$12,Paramètres!$A$1:$I$89,5,0)</f>
        <v>1.5518253349000589E-14</v>
      </c>
      <c r="CA117" s="14">
        <f t="shared" si="93"/>
        <v>2.8958815659671149E-13</v>
      </c>
      <c r="CB117" s="22">
        <f t="shared" si="64"/>
        <v>5.3139366398878183E-13</v>
      </c>
      <c r="CC117" s="62">
        <f t="shared" si="65"/>
        <v>280.86541503470596</v>
      </c>
      <c r="CD117" s="62">
        <f ca="1">AVERAGE(OFFSET($CC$3,0,0,'Données projet'!$E$12+1,1))-AVERAGE(OFFSET($H$3,0,0,'Données projet'!$E$12+1,1))</f>
        <v>182.44246264133781</v>
      </c>
      <c r="CE117" s="62">
        <f t="shared" si="94"/>
        <v>262.5818213397049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0.81641294253610674</v>
      </c>
      <c r="CL117" s="23">
        <f>EXP(-LN(2)/25)*CL116+(1-EXP(-LN(2)/25))/(LN(2)/25)*Calculateur!CG117*Calculateur!CI117*VLOOKUP('Données projet'!$B$12,Paramètres!$A$1:$I$89,3,0)*0.475*44/12</f>
        <v>1.7627918308648969</v>
      </c>
      <c r="CM117" s="23">
        <f>EXP(-LN(2)/2)*CM116+(1-EXP(-LN(2)/2))/(LN(2)/2)*CG117*CJ117*VLOOKUP('Données projet'!$B$12,Paramètres!$A$1:$I$89,3,0)*0.475*44/12</f>
        <v>6.8633857980221579E-16</v>
      </c>
      <c r="CN117" s="24">
        <f t="shared" si="66"/>
        <v>2.5792047734010044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-5.3205440053716299E-14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426.87921482911719</v>
      </c>
      <c r="CZ117" s="62">
        <f t="shared" si="96"/>
        <v>313.49594674441835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4.5999999999999996</v>
      </c>
      <c r="DO117" s="13">
        <f>IF('Données projet'!$A$166&gt;35,DO116+DN117-DW116,IF(A117&lt;'Données projet'!$A$166,$DL$205^A117,IF(A117='Données projet'!$A$166,'Données projet'!$B$166,DO116+DN117-DW116)))</f>
        <v>325.39999999999998</v>
      </c>
      <c r="DP117" s="18">
        <f>DO117*VLOOKUP('Données projet'!$B$14,Paramètres!$A$1:$I$89,3,0)*VLOOKUP('Données projet'!$B$14,Paramètres!$A$1:$I$89,5,0)</f>
        <v>314.72687999999999</v>
      </c>
      <c r="DQ117" s="14">
        <f t="shared" si="97"/>
        <v>74.255119742405697</v>
      </c>
      <c r="DR117" s="22">
        <f t="shared" si="70"/>
        <v>677.47698288468996</v>
      </c>
      <c r="DS117" s="62">
        <f t="shared" si="71"/>
        <v>958.34239791939535</v>
      </c>
      <c r="DT117" s="62">
        <f ca="1">AVERAGE(OFFSET($DS$3,0,0,'Données projet'!$E$14+1,1))-AVERAGE(OFFSET($H$3,0,0,'Données projet'!$E$14+1,1))</f>
        <v>500.25828825677058</v>
      </c>
      <c r="DU117" s="62">
        <f t="shared" si="98"/>
        <v>313.56299786481338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0.24977314211864632</v>
      </c>
      <c r="EC117" s="23">
        <f>EXP(-LN(2)/2)*EC116+(1-EXP(-LN(2)/2))/(LN(2)/2)*DW117*DZ117*VLOOKUP('Données projet'!$B$14,Paramètres!$A$1:$I$89,3,0)*0.475*44/12</f>
        <v>5.713882305982999E-12</v>
      </c>
      <c r="ED117" s="24">
        <f t="shared" si="72"/>
        <v>0.24977314212436019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4.5999999999999996</v>
      </c>
      <c r="EJ117" s="13">
        <f>IF('Données projet'!$A$192&gt;35,EJ116+EI117-ER116,IF(A117&lt;'Données projet'!$A$192,$EG$205^A117,IF(A117='Données projet'!$A$192,'Données projet'!$B$192,EJ116+EI117-ER116)))</f>
        <v>325.39999999999998</v>
      </c>
      <c r="EK117" s="18">
        <f>EJ117*VLOOKUP('Données projet'!$B$15,Paramètres!$A$1:$I$89,3,0)*VLOOKUP('Données projet'!$B$15,Paramètres!$A$1:$I$89,5,0)</f>
        <v>350.26055999999994</v>
      </c>
      <c r="EL117" s="14">
        <f t="shared" si="99"/>
        <v>81.616160924145817</v>
      </c>
      <c r="EM117" s="22">
        <f t="shared" si="73"/>
        <v>752.18528894288704</v>
      </c>
      <c r="EN117" s="62">
        <f t="shared" si="74"/>
        <v>1033.0507039775925</v>
      </c>
      <c r="EO117" s="62">
        <f ca="1">AVERAGE(OFFSET($EN$3,0,0,'Données projet'!$E$15+1,1))-AVERAGE(OFFSET($H$3,0,0,'Données projet'!$E$15+1,1))</f>
        <v>548.17046467409421</v>
      </c>
      <c r="EP117" s="62">
        <f t="shared" si="100"/>
        <v>341.9250949809848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0.27797333558365495</v>
      </c>
      <c r="EX117" s="23">
        <f>EXP(-LN(2)/2)*EX116+(1-EXP(-LN(2)/2))/(LN(2)/2)*ER117*EU117*VLOOKUP('Données projet'!$B$15,Paramètres!$A$1:$I$89,3,0)*0.475*44/12</f>
        <v>6.3589980502068811E-12</v>
      </c>
      <c r="EY117" s="24">
        <f t="shared" si="75"/>
        <v>0.27797333559001397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924.56402690726372</v>
      </c>
      <c r="S118" s="62">
        <f ca="1">AVERAGE(OFFSET($R$3,0,0,'Données projet'!$E$9+1,1))-AVERAGE(OFFSET($H$3,0,0,'Données projet'!$E$9+1,1))</f>
        <v>472.83070477639035</v>
      </c>
      <c r="T118" s="62">
        <f t="shared" si="88"/>
        <v>297.32483725004136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0.86494750951520893</v>
      </c>
      <c r="AB118" s="23">
        <f>EXP(-LN(2)/2)*AB117+(1-EXP(-LN(2)/2))/(LN(2)/2)*V118*Y118*VLOOKUP('Données projet'!$B$9,Paramètres!$A$1:$I$89,3,0)*0.475*44/12</f>
        <v>2.397155812361681E-12</v>
      </c>
      <c r="AC118" s="24">
        <f t="shared" si="57"/>
        <v>0.86494750951760613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334.62</v>
      </c>
      <c r="AK118" s="14">
        <f t="shared" si="89"/>
        <v>78.387374628661505</v>
      </c>
      <c r="AL118" s="22">
        <f t="shared" si="58"/>
        <v>719.32117747825214</v>
      </c>
      <c r="AM118" s="62">
        <f t="shared" si="59"/>
        <v>1000.4028830213495</v>
      </c>
      <c r="AN118" s="62">
        <f ca="1">AVERAGE(OFFSET($AM$3,0,0,'Données projet'!$E$10+1,1))-AVERAGE(OFFSET($H$3,0,0,'Données projet'!$E$10+1,1))</f>
        <v>520.80494930257237</v>
      </c>
      <c r="AO118" s="62">
        <f t="shared" si="90"/>
        <v>325.72635759450861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0.96933772618083736</v>
      </c>
      <c r="AW118" s="23">
        <f>EXP(-LN(2)/2)*AW117+(1-EXP(-LN(2)/2))/(LN(2)/2)*AQ118*AT118*VLOOKUP('Données projet'!$B$10,Paramètres!$A$1:$I$89,3,0)*0.475*44/12</f>
        <v>2.6864677207501551E-12</v>
      </c>
      <c r="AX118" s="23">
        <f t="shared" si="60"/>
        <v>0.96933772618352387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6.3550942286383367E-14</v>
      </c>
      <c r="BF118" s="14">
        <f t="shared" si="91"/>
        <v>1.0064464192543978E-12</v>
      </c>
      <c r="BG118" s="22">
        <f t="shared" si="61"/>
        <v>1.8635787380168604E-12</v>
      </c>
      <c r="BH118" s="62">
        <f t="shared" si="62"/>
        <v>281.08170554309913</v>
      </c>
      <c r="BI118" s="62">
        <f ca="1">AVERAGE(OFFSET($BH$3,0,0,'Données projet'!$E$11+1,1))-AVERAGE(OFFSET($H$3,0,0,'Données projet'!$E$11+1,1))</f>
        <v>321.60602866722138</v>
      </c>
      <c r="BJ118" s="62">
        <f t="shared" si="92"/>
        <v>375.18886653687389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2.3786166659429484</v>
      </c>
      <c r="BQ118" s="23">
        <f>EXP(-LN(2)/25)*BQ117+(1-EXP(-LN(2)/25))/(LN(2)/25)*Calculateur!BL118*Calculateur!BN118*VLOOKUP('Données projet'!$B$11,Paramètres!$A$1:$I$89,3,0)*0.475*44/12</f>
        <v>1.5130726548417313</v>
      </c>
      <c r="BR118" s="23">
        <f>EXP(-LN(2)/2)*BR117+(1-EXP(-LN(2)/2))/(LN(2)/2)*BL118*BO118*VLOOKUP('Données projet'!$B$11,Paramètres!$A$1:$I$89,3,0)*0.475*44/12</f>
        <v>1.1772012206372814E-12</v>
      </c>
      <c r="BS118" s="24">
        <f t="shared" si="63"/>
        <v>3.8916893207858569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2.8421709430404007E-14</v>
      </c>
      <c r="BZ118" s="14">
        <f>BY118*VLOOKUP('Données projet'!$B$12,Paramètres!$A$1:$I$89,3,0)*VLOOKUP('Données projet'!$B$12,Paramètres!$A$1:$I$89,5,0)</f>
        <v>1.5518253349000589E-14</v>
      </c>
      <c r="CA118" s="14">
        <f t="shared" si="93"/>
        <v>2.8958815659671149E-13</v>
      </c>
      <c r="CB118" s="22">
        <f t="shared" si="64"/>
        <v>5.3139366398878183E-13</v>
      </c>
      <c r="CC118" s="62">
        <f t="shared" si="65"/>
        <v>281.08170554309777</v>
      </c>
      <c r="CD118" s="62">
        <f ca="1">AVERAGE(OFFSET($CC$3,0,0,'Données projet'!$E$12+1,1))-AVERAGE(OFFSET($H$3,0,0,'Données projet'!$E$12+1,1))</f>
        <v>182.44246264133781</v>
      </c>
      <c r="CE118" s="62">
        <f t="shared" si="94"/>
        <v>262.5818213397049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0.80040358269569889</v>
      </c>
      <c r="CL118" s="23">
        <f>EXP(-LN(2)/25)*CL117+(1-EXP(-LN(2)/25))/(LN(2)/25)*Calculateur!CG118*Calculateur!CI118*VLOOKUP('Données projet'!$B$12,Paramètres!$A$1:$I$89,3,0)*0.475*44/12</f>
        <v>1.7145881955487028</v>
      </c>
      <c r="CM118" s="23">
        <f>EXP(-LN(2)/2)*CM117+(1-EXP(-LN(2)/2))/(LN(2)/2)*CG118*CJ118*VLOOKUP('Données projet'!$B$12,Paramètres!$A$1:$I$89,3,0)*0.475*44/12</f>
        <v>4.8531466396809119E-16</v>
      </c>
      <c r="CN118" s="24">
        <f t="shared" si="66"/>
        <v>2.514991778244402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-5.3205440053716299E-14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426.87921482911719</v>
      </c>
      <c r="CZ118" s="62">
        <f t="shared" si="96"/>
        <v>313.49594674441835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330</v>
      </c>
      <c r="DM118" s="13">
        <f>VLOOKUP(A118,'Données projet'!$A$165:$I$185,9,0)</f>
        <v>4.5999999999999996</v>
      </c>
      <c r="DN118" s="13">
        <f t="array" ref="DN118">INDEX(DM:DM,MIN(IF(ISNUMBER(DM118:DM314),ROW(DM118:DM314),"")))</f>
        <v>4.5999999999999996</v>
      </c>
      <c r="DO118" s="13">
        <f>IF('Données projet'!$A$166&gt;35,DO117+DN118-DW117,IF(A118&lt;'Données projet'!$A$166,$DL$205^A118,IF(A118='Données projet'!$A$166,'Données projet'!$B$166,DO117+DN118-DW117)))</f>
        <v>330</v>
      </c>
      <c r="DP118" s="18">
        <f>DO118*VLOOKUP('Données projet'!$B$14,Paramètres!$A$1:$I$89,3,0)*VLOOKUP('Données projet'!$B$14,Paramètres!$A$1:$I$89,5,0)</f>
        <v>319.17599999999999</v>
      </c>
      <c r="DQ118" s="14">
        <f t="shared" si="97"/>
        <v>75.181878718947672</v>
      </c>
      <c r="DR118" s="22">
        <f t="shared" si="70"/>
        <v>686.83997210216705</v>
      </c>
      <c r="DS118" s="62">
        <f t="shared" si="71"/>
        <v>967.92167764526425</v>
      </c>
      <c r="DT118" s="62">
        <f ca="1">AVERAGE(OFFSET($DS$3,0,0,'Données projet'!$E$14+1,1))-AVERAGE(OFFSET($H$3,0,0,'Données projet'!$E$14+1,1))</f>
        <v>500.25828825677058</v>
      </c>
      <c r="DU118" s="62">
        <f t="shared" si="98"/>
        <v>313.56299786481338</v>
      </c>
      <c r="DV118" s="16">
        <f>IF(ISNA(VLOOKUP(A118,'Données projet'!$A$165:$I$185,3,0)),0,VLOOKUP(A118,'Données projet'!$A$165:$I$185,3,0))</f>
        <v>20</v>
      </c>
      <c r="DW118" s="16">
        <f>IF(ISNA(VLOOKUP(A118,'Données projet'!$A$165:$I$185,4,0)),0,VLOOKUP(A118,'Données projet'!$A$165:$I$185,4,0))</f>
        <v>330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0.24294308241241325</v>
      </c>
      <c r="EC118" s="23">
        <f>EXP(-LN(2)/2)*EC117+(1-EXP(-LN(2)/2))/(LN(2)/2)*DW118*DZ118*VLOOKUP('Données projet'!$B$14,Paramètres!$A$1:$I$89,3,0)*0.475*44/12</f>
        <v>4.040324925462406E-12</v>
      </c>
      <c r="ED118" s="24">
        <f t="shared" si="72"/>
        <v>0.24294308241645357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330</v>
      </c>
      <c r="EH118" s="13">
        <f>VLOOKUP(A118,'Données projet'!$A$191:$I$211,9,0)</f>
        <v>4.5999999999999996</v>
      </c>
      <c r="EI118" s="13">
        <f t="array" ref="EI118">INDEX(EH:EH,MIN(IF(ISNUMBER(EH118:EH314),ROW(EH118:EH314),"")))</f>
        <v>4.5999999999999996</v>
      </c>
      <c r="EJ118" s="13">
        <f>IF('Données projet'!$A$192&gt;35,EJ117+EI118-ER117,IF(A118&lt;'Données projet'!$A$192,$EG$205^A118,IF(A118='Données projet'!$A$192,'Données projet'!$B$192,EJ117+EI118-ER117)))</f>
        <v>330</v>
      </c>
      <c r="EK118" s="18">
        <f>EJ118*VLOOKUP('Données projet'!$B$15,Paramètres!$A$1:$I$89,3,0)*VLOOKUP('Données projet'!$B$15,Paramètres!$A$1:$I$89,5,0)</f>
        <v>355.21199999999999</v>
      </c>
      <c r="EL118" s="14">
        <f t="shared" si="99"/>
        <v>82.634791155027401</v>
      </c>
      <c r="EM118" s="22">
        <f t="shared" si="73"/>
        <v>762.58316126167267</v>
      </c>
      <c r="EN118" s="62">
        <f t="shared" si="74"/>
        <v>1043.6648668047699</v>
      </c>
      <c r="EO118" s="62">
        <f ca="1">AVERAGE(OFFSET($EN$3,0,0,'Données projet'!$E$15+1,1))-AVERAGE(OFFSET($H$3,0,0,'Données projet'!$E$15+1,1))</f>
        <v>548.17046467409421</v>
      </c>
      <c r="EP118" s="62">
        <f t="shared" si="100"/>
        <v>341.9250949809848</v>
      </c>
      <c r="EQ118" s="16">
        <f>IF(ISNA(VLOOKUP(A118,'Données projet'!$A$191:$I$211,3,0)),0,VLOOKUP(A118,'Données projet'!$A$191:$I$211,3,0))</f>
        <v>20</v>
      </c>
      <c r="ER118" s="16">
        <f>IF(ISNA(VLOOKUP(A118,'Données projet'!$A$191:$I$211,4,0)),0,VLOOKUP(A118,'Données projet'!$A$191:$I$211,4,0))</f>
        <v>330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0.27037214010413751</v>
      </c>
      <c r="EX118" s="23">
        <f>EXP(-LN(2)/2)*EX117+(1-EXP(-LN(2)/2))/(LN(2)/2)*ER118*EU118*VLOOKUP('Données projet'!$B$15,Paramètres!$A$1:$I$89,3,0)*0.475*44/12</f>
        <v>4.4964906428533194E-12</v>
      </c>
      <c r="EY118" s="24">
        <f t="shared" si="75"/>
        <v>0.27037214010863403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472.83070477639035</v>
      </c>
      <c r="T119" s="62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0.84129547438190289</v>
      </c>
      <c r="AB119" s="23">
        <f>EXP(-LN(2)/2)*AB118+(1-EXP(-LN(2)/2))/(LN(2)/2)*V119*Y119*VLOOKUP('Données projet'!$B$9,Paramètres!$A$1:$I$89,3,0)*0.475*44/12</f>
        <v>1.6950451304816917E-12</v>
      </c>
      <c r="AC119" s="24">
        <f t="shared" si="57"/>
        <v>0.84129547438359797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520.80494930257237</v>
      </c>
      <c r="AO119" s="62">
        <f t="shared" si="90"/>
        <v>325.72635759450861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0.94283113508316674</v>
      </c>
      <c r="AW119" s="23">
        <f>EXP(-LN(2)/2)*AW118+(1-EXP(-LN(2)/2))/(LN(2)/2)*AQ119*AT119*VLOOKUP('Données projet'!$B$10,Paramètres!$A$1:$I$89,3,0)*0.475*44/12</f>
        <v>1.899619542781203E-12</v>
      </c>
      <c r="AX119" s="23">
        <f t="shared" si="60"/>
        <v>0.94283113508506633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6.3550942286383367E-14</v>
      </c>
      <c r="BF119" s="14">
        <f t="shared" si="91"/>
        <v>1.0064464192543978E-12</v>
      </c>
      <c r="BG119" s="22">
        <f t="shared" si="61"/>
        <v>1.8635787380168604E-12</v>
      </c>
      <c r="BH119" s="62">
        <f t="shared" si="62"/>
        <v>281.29424389472337</v>
      </c>
      <c r="BI119" s="62">
        <f ca="1">AVERAGE(OFFSET($BH$3,0,0,'Données projet'!$E$11+1,1))-AVERAGE(OFFSET($H$3,0,0,'Données projet'!$E$11+1,1))</f>
        <v>321.60602866722138</v>
      </c>
      <c r="BJ119" s="62">
        <f t="shared" si="92"/>
        <v>375.18886653687389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2.3319734439367177</v>
      </c>
      <c r="BQ119" s="23">
        <f>EXP(-LN(2)/25)*BQ118+(1-EXP(-LN(2)/25))/(LN(2)/25)*Calculateur!BL119*Calculateur!BN119*VLOOKUP('Données projet'!$B$11,Paramètres!$A$1:$I$89,3,0)*0.475*44/12</f>
        <v>1.4716976035260514</v>
      </c>
      <c r="BR119" s="23">
        <f>EXP(-LN(2)/2)*BR118+(1-EXP(-LN(2)/2))/(LN(2)/2)*BL119*BO119*VLOOKUP('Données projet'!$B$11,Paramètres!$A$1:$I$89,3,0)*0.475*44/12</f>
        <v>8.324069659337028E-13</v>
      </c>
      <c r="BS119" s="24">
        <f t="shared" si="63"/>
        <v>3.8036710474636015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2.8421709430404007E-14</v>
      </c>
      <c r="BZ119" s="14">
        <f>BY119*VLOOKUP('Données projet'!$B$12,Paramètres!$A$1:$I$89,3,0)*VLOOKUP('Données projet'!$B$12,Paramètres!$A$1:$I$89,5,0)</f>
        <v>1.5518253349000589E-14</v>
      </c>
      <c r="CA119" s="14">
        <f t="shared" si="93"/>
        <v>2.8958815659671149E-13</v>
      </c>
      <c r="CB119" s="22">
        <f t="shared" si="64"/>
        <v>5.3139366398878183E-13</v>
      </c>
      <c r="CC119" s="62">
        <f t="shared" si="65"/>
        <v>281.294243894722</v>
      </c>
      <c r="CD119" s="62">
        <f ca="1">AVERAGE(OFFSET($CC$3,0,0,'Données projet'!$E$12+1,1))-AVERAGE(OFFSET($H$3,0,0,'Données projet'!$E$12+1,1))</f>
        <v>182.44246264133781</v>
      </c>
      <c r="CE119" s="62">
        <f t="shared" si="94"/>
        <v>262.5818213397049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0.7847081566370161</v>
      </c>
      <c r="CL119" s="23">
        <f>EXP(-LN(2)/25)*CL118+(1-EXP(-LN(2)/25))/(LN(2)/25)*Calculateur!CG119*Calculateur!CI119*VLOOKUP('Données projet'!$B$12,Paramètres!$A$1:$I$89,3,0)*0.475*44/12</f>
        <v>1.6677026911751491</v>
      </c>
      <c r="CM119" s="23">
        <f>EXP(-LN(2)/2)*CM118+(1-EXP(-LN(2)/2))/(LN(2)/2)*CG119*CJ119*VLOOKUP('Données projet'!$B$12,Paramètres!$A$1:$I$89,3,0)*0.475*44/12</f>
        <v>3.431692899011079E-16</v>
      </c>
      <c r="CN119" s="24">
        <f t="shared" si="66"/>
        <v>2.4524108478121658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-5.3205440053716299E-14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426.87921482911719</v>
      </c>
      <c r="CZ119" s="62">
        <f t="shared" si="96"/>
        <v>313.49594674441835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500.25828825677058</v>
      </c>
      <c r="DU119" s="62">
        <f t="shared" si="98"/>
        <v>313.56299786481338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0.23629979104802434</v>
      </c>
      <c r="EC119" s="23">
        <f>EXP(-LN(2)/2)*EC118+(1-EXP(-LN(2)/2))/(LN(2)/2)*DW119*DZ119*VLOOKUP('Données projet'!$B$14,Paramètres!$A$1:$I$89,3,0)*0.475*44/12</f>
        <v>2.8569411529914995E-12</v>
      </c>
      <c r="ED119" s="24">
        <f t="shared" si="72"/>
        <v>0.23629979105088128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548.17046467409421</v>
      </c>
      <c r="EP119" s="62">
        <f t="shared" si="100"/>
        <v>341.9250949809848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0.26297879971473698</v>
      </c>
      <c r="EX119" s="23">
        <f>EXP(-LN(2)/2)*EX118+(1-EXP(-LN(2)/2))/(LN(2)/2)*ER119*EU119*VLOOKUP('Données projet'!$B$15,Paramètres!$A$1:$I$89,3,0)*0.475*44/12</f>
        <v>3.1794990251034406E-12</v>
      </c>
      <c r="EY119" s="24">
        <f t="shared" si="75"/>
        <v>0.26297879971791649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472.83070477639035</v>
      </c>
      <c r="T120" s="62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0.81829020539312358</v>
      </c>
      <c r="AB120" s="23">
        <f>EXP(-LN(2)/2)*AB119+(1-EXP(-LN(2)/2))/(LN(2)/2)*V120*Y120*VLOOKUP('Données projet'!$B$9,Paramètres!$A$1:$I$89,3,0)*0.475*44/12</f>
        <v>1.1985779061808405E-12</v>
      </c>
      <c r="AC120" s="24">
        <f t="shared" si="57"/>
        <v>0.81829020539432218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520.80494930257237</v>
      </c>
      <c r="AO120" s="62">
        <f t="shared" si="90"/>
        <v>325.72635759450861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0.91704936811298299</v>
      </c>
      <c r="AW120" s="23">
        <f>EXP(-LN(2)/2)*AW119+(1-EXP(-LN(2)/2))/(LN(2)/2)*AQ120*AT120*VLOOKUP('Données projet'!$B$10,Paramètres!$A$1:$I$89,3,0)*0.475*44/12</f>
        <v>1.3432338603750775E-12</v>
      </c>
      <c r="AX120" s="23">
        <f t="shared" si="60"/>
        <v>0.91704936811432625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6.3550942286383367E-14</v>
      </c>
      <c r="BF120" s="14">
        <f t="shared" si="91"/>
        <v>1.0064464192543978E-12</v>
      </c>
      <c r="BG120" s="22">
        <f t="shared" si="61"/>
        <v>1.8635787380168604E-12</v>
      </c>
      <c r="BH120" s="62">
        <f t="shared" si="62"/>
        <v>281.50309518111152</v>
      </c>
      <c r="BI120" s="62">
        <f ca="1">AVERAGE(OFFSET($BH$3,0,0,'Données projet'!$E$11+1,1))-AVERAGE(OFFSET($H$3,0,0,'Données projet'!$E$11+1,1))</f>
        <v>321.60602866722138</v>
      </c>
      <c r="BJ120" s="62">
        <f t="shared" si="92"/>
        <v>375.18886653687389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2.2862448670644726</v>
      </c>
      <c r="BQ120" s="23">
        <f>EXP(-LN(2)/25)*BQ119+(1-EXP(-LN(2)/25))/(LN(2)/25)*Calculateur!BL120*Calculateur!BN120*VLOOKUP('Données projet'!$B$11,Paramètres!$A$1:$I$89,3,0)*0.475*44/12</f>
        <v>1.4314539551644181</v>
      </c>
      <c r="BR120" s="23">
        <f>EXP(-LN(2)/2)*BR119+(1-EXP(-LN(2)/2))/(LN(2)/2)*BL120*BO120*VLOOKUP('Données projet'!$B$11,Paramètres!$A$1:$I$89,3,0)*0.475*44/12</f>
        <v>5.886006103186407E-13</v>
      </c>
      <c r="BS120" s="24">
        <f t="shared" si="63"/>
        <v>3.7176988222294791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2.8421709430404007E-14</v>
      </c>
      <c r="BZ120" s="14">
        <f>BY120*VLOOKUP('Données projet'!$B$12,Paramètres!$A$1:$I$89,3,0)*VLOOKUP('Données projet'!$B$12,Paramètres!$A$1:$I$89,5,0)</f>
        <v>1.5518253349000589E-14</v>
      </c>
      <c r="CA120" s="14">
        <f t="shared" si="93"/>
        <v>2.8958815659671149E-13</v>
      </c>
      <c r="CB120" s="22">
        <f t="shared" si="64"/>
        <v>5.3139366398878183E-13</v>
      </c>
      <c r="CC120" s="62">
        <f t="shared" si="65"/>
        <v>281.50309518111015</v>
      </c>
      <c r="CD120" s="62">
        <f ca="1">AVERAGE(OFFSET($CC$3,0,0,'Données projet'!$E$12+1,1))-AVERAGE(OFFSET($H$3,0,0,'Données projet'!$E$12+1,1))</f>
        <v>182.44246264133781</v>
      </c>
      <c r="CE120" s="62">
        <f t="shared" si="94"/>
        <v>262.5818213397049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0.76932050831007948</v>
      </c>
      <c r="CL120" s="23">
        <f>EXP(-LN(2)/25)*CL119+(1-EXP(-LN(2)/25))/(LN(2)/25)*Calculateur!CG120*Calculateur!CI120*VLOOKUP('Données projet'!$B$12,Paramètres!$A$1:$I$89,3,0)*0.475*44/12</f>
        <v>1.6220992733842918</v>
      </c>
      <c r="CM120" s="23">
        <f>EXP(-LN(2)/2)*CM119+(1-EXP(-LN(2)/2))/(LN(2)/2)*CG120*CJ120*VLOOKUP('Données projet'!$B$12,Paramètres!$A$1:$I$89,3,0)*0.475*44/12</f>
        <v>2.4265733198404559E-16</v>
      </c>
      <c r="CN120" s="24">
        <f t="shared" si="66"/>
        <v>2.3914197816943719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-5.3205440053716299E-14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426.87921482911719</v>
      </c>
      <c r="CZ120" s="62">
        <f t="shared" si="96"/>
        <v>313.49594674441835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500.25828825677058</v>
      </c>
      <c r="DU120" s="62">
        <f t="shared" si="98"/>
        <v>313.56299786481338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0.22983816083535016</v>
      </c>
      <c r="EC120" s="23">
        <f>EXP(-LN(2)/2)*EC119+(1-EXP(-LN(2)/2))/(LN(2)/2)*DW120*DZ120*VLOOKUP('Données projet'!$B$14,Paramètres!$A$1:$I$89,3,0)*0.475*44/12</f>
        <v>2.020162462731203E-12</v>
      </c>
      <c r="ED120" s="24">
        <f t="shared" si="72"/>
        <v>0.22983816083737033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548.17046467409421</v>
      </c>
      <c r="EP120" s="62">
        <f t="shared" si="100"/>
        <v>341.9250949809848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0.25578763060708348</v>
      </c>
      <c r="EX120" s="23">
        <f>EXP(-LN(2)/2)*EX119+(1-EXP(-LN(2)/2))/(LN(2)/2)*ER120*EU120*VLOOKUP('Données projet'!$B$15,Paramètres!$A$1:$I$89,3,0)*0.475*44/12</f>
        <v>2.2482453214266597E-12</v>
      </c>
      <c r="EY120" s="24">
        <f t="shared" si="75"/>
        <v>0.25578763060933174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472.83070477639035</v>
      </c>
      <c r="T121" s="62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0.79591401669463691</v>
      </c>
      <c r="AB121" s="23">
        <f>EXP(-LN(2)/2)*AB120+(1-EXP(-LN(2)/2))/(LN(2)/2)*V121*Y121*VLOOKUP('Données projet'!$B$9,Paramètres!$A$1:$I$89,3,0)*0.475*44/12</f>
        <v>8.4752256524084587E-13</v>
      </c>
      <c r="AC121" s="24">
        <f t="shared" si="57"/>
        <v>0.79591401669548445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520.80494930257237</v>
      </c>
      <c r="AO121" s="62">
        <f t="shared" si="90"/>
        <v>325.72635759450861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0.89197260491640318</v>
      </c>
      <c r="AW121" s="23">
        <f>EXP(-LN(2)/2)*AW120+(1-EXP(-LN(2)/2))/(LN(2)/2)*AQ121*AT121*VLOOKUP('Données projet'!$B$10,Paramètres!$A$1:$I$89,3,0)*0.475*44/12</f>
        <v>9.4980977139060148E-13</v>
      </c>
      <c r="AX121" s="23">
        <f t="shared" si="60"/>
        <v>0.89197260491735297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6.3550942286383367E-14</v>
      </c>
      <c r="BF121" s="14">
        <f t="shared" si="91"/>
        <v>1.0064464192543978E-12</v>
      </c>
      <c r="BG121" s="22">
        <f t="shared" si="61"/>
        <v>1.8635787380168604E-12</v>
      </c>
      <c r="BH121" s="62">
        <f t="shared" si="62"/>
        <v>281.70832336460228</v>
      </c>
      <c r="BI121" s="62">
        <f ca="1">AVERAGE(OFFSET($BH$3,0,0,'Données projet'!$E$11+1,1))-AVERAGE(OFFSET($H$3,0,0,'Données projet'!$E$11+1,1))</f>
        <v>321.60602866722138</v>
      </c>
      <c r="BJ121" s="62">
        <f t="shared" si="92"/>
        <v>375.18886653687389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2.2414129996930146</v>
      </c>
      <c r="BQ121" s="23">
        <f>EXP(-LN(2)/25)*BQ120+(1-EXP(-LN(2)/25))/(LN(2)/25)*Calculateur!BL121*Calculateur!BN121*VLOOKUP('Données projet'!$B$11,Paramètres!$A$1:$I$89,3,0)*0.475*44/12</f>
        <v>1.3923107714835552</v>
      </c>
      <c r="BR121" s="23">
        <f>EXP(-LN(2)/2)*BR120+(1-EXP(-LN(2)/2))/(LN(2)/2)*BL121*BO121*VLOOKUP('Données projet'!$B$11,Paramètres!$A$1:$I$89,3,0)*0.475*44/12</f>
        <v>4.162034829668514E-13</v>
      </c>
      <c r="BS121" s="24">
        <f t="shared" si="63"/>
        <v>3.6337237711769856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2.8421709430404007E-14</v>
      </c>
      <c r="BZ121" s="14">
        <f>BY121*VLOOKUP('Données projet'!$B$12,Paramètres!$A$1:$I$89,3,0)*VLOOKUP('Données projet'!$B$12,Paramètres!$A$1:$I$89,5,0)</f>
        <v>1.5518253349000589E-14</v>
      </c>
      <c r="CA121" s="14">
        <f t="shared" si="93"/>
        <v>2.8958815659671149E-13</v>
      </c>
      <c r="CB121" s="22">
        <f t="shared" si="64"/>
        <v>5.3139366398878183E-13</v>
      </c>
      <c r="CC121" s="62">
        <f t="shared" si="65"/>
        <v>281.70832336460091</v>
      </c>
      <c r="CD121" s="62">
        <f ca="1">AVERAGE(OFFSET($CC$3,0,0,'Données projet'!$E$12+1,1))-AVERAGE(OFFSET($H$3,0,0,'Données projet'!$E$12+1,1))</f>
        <v>182.44246264133781</v>
      </c>
      <c r="CE121" s="62">
        <f t="shared" si="94"/>
        <v>262.5818213397049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0.75423460238129536</v>
      </c>
      <c r="CL121" s="23">
        <f>EXP(-LN(2)/25)*CL120+(1-EXP(-LN(2)/25))/(LN(2)/25)*Calculateur!CG121*Calculateur!CI121*VLOOKUP('Données projet'!$B$12,Paramètres!$A$1:$I$89,3,0)*0.475*44/12</f>
        <v>1.5777428834511049</v>
      </c>
      <c r="CM121" s="23">
        <f>EXP(-LN(2)/2)*CM120+(1-EXP(-LN(2)/2))/(LN(2)/2)*CG121*CJ121*VLOOKUP('Données projet'!$B$12,Paramètres!$A$1:$I$89,3,0)*0.475*44/12</f>
        <v>1.7158464495055395E-16</v>
      </c>
      <c r="CN121" s="24">
        <f t="shared" si="66"/>
        <v>2.3319774858324003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-5.3205440053716299E-14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426.87921482911719</v>
      </c>
      <c r="CZ121" s="62">
        <f t="shared" si="96"/>
        <v>313.49594674441835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500.25828825677058</v>
      </c>
      <c r="DU121" s="62">
        <f t="shared" si="98"/>
        <v>313.56299786481338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0.22355322424064394</v>
      </c>
      <c r="EC121" s="23">
        <f>EXP(-LN(2)/2)*EC120+(1-EXP(-LN(2)/2))/(LN(2)/2)*DW121*DZ121*VLOOKUP('Données projet'!$B$14,Paramètres!$A$1:$I$89,3,0)*0.475*44/12</f>
        <v>1.4284705764957497E-12</v>
      </c>
      <c r="ED121" s="24">
        <f t="shared" si="72"/>
        <v>0.22355322424207241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548.17046467409421</v>
      </c>
      <c r="EP121" s="62">
        <f t="shared" si="100"/>
        <v>341.9250949809848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0.2487931043968459</v>
      </c>
      <c r="EX121" s="23">
        <f>EXP(-LN(2)/2)*EX120+(1-EXP(-LN(2)/2))/(LN(2)/2)*ER121*EU121*VLOOKUP('Données projet'!$B$15,Paramètres!$A$1:$I$89,3,0)*0.475*44/12</f>
        <v>1.5897495125517203E-12</v>
      </c>
      <c r="EY121" s="24">
        <f t="shared" si="75"/>
        <v>0.24879310439843566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472.83070477639035</v>
      </c>
      <c r="T122" s="62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0.77414970605282296</v>
      </c>
      <c r="AB122" s="23">
        <f>EXP(-LN(2)/2)*AB121+(1-EXP(-LN(2)/2))/(LN(2)/2)*V122*Y122*VLOOKUP('Données projet'!$B$9,Paramètres!$A$1:$I$89,3,0)*0.475*44/12</f>
        <v>5.9928895309042024E-13</v>
      </c>
      <c r="AC122" s="24">
        <f t="shared" si="57"/>
        <v>0.77414970605342226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520.80494930257237</v>
      </c>
      <c r="AO122" s="62">
        <f t="shared" si="90"/>
        <v>325.72635759450861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0.86758156712816348</v>
      </c>
      <c r="AW122" s="23">
        <f>EXP(-LN(2)/2)*AW121+(1-EXP(-LN(2)/2))/(LN(2)/2)*AQ122*AT122*VLOOKUP('Données projet'!$B$10,Paramètres!$A$1:$I$89,3,0)*0.475*44/12</f>
        <v>6.7161693018753877E-13</v>
      </c>
      <c r="AX122" s="23">
        <f t="shared" si="60"/>
        <v>0.86758156712883505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6.3550942286383367E-14</v>
      </c>
      <c r="BF122" s="14">
        <f t="shared" si="91"/>
        <v>1.0064464192543978E-12</v>
      </c>
      <c r="BG122" s="22">
        <f t="shared" si="61"/>
        <v>1.8635787380168604E-12</v>
      </c>
      <c r="BH122" s="62">
        <f t="shared" si="62"/>
        <v>281.90999129793101</v>
      </c>
      <c r="BI122" s="62">
        <f ca="1">AVERAGE(OFFSET($BH$3,0,0,'Données projet'!$E$11+1,1))-AVERAGE(OFFSET($H$3,0,0,'Données projet'!$E$11+1,1))</f>
        <v>321.60602866722138</v>
      </c>
      <c r="BJ122" s="62">
        <f t="shared" si="92"/>
        <v>375.18886653687389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2.1974602578959717</v>
      </c>
      <c r="BQ122" s="23">
        <f>EXP(-LN(2)/25)*BQ121+(1-EXP(-LN(2)/25))/(LN(2)/25)*Calculateur!BL122*Calculateur!BN122*VLOOKUP('Données projet'!$B$11,Paramètres!$A$1:$I$89,3,0)*0.475*44/12</f>
        <v>1.3542379602188961</v>
      </c>
      <c r="BR122" s="23">
        <f>EXP(-LN(2)/2)*BR121+(1-EXP(-LN(2)/2))/(LN(2)/2)*BL122*BO122*VLOOKUP('Données projet'!$B$11,Paramètres!$A$1:$I$89,3,0)*0.475*44/12</f>
        <v>2.9430030515932035E-13</v>
      </c>
      <c r="BS122" s="24">
        <f t="shared" si="63"/>
        <v>3.551698218115162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2.8421709430404007E-14</v>
      </c>
      <c r="BZ122" s="14">
        <f>BY122*VLOOKUP('Données projet'!$B$12,Paramètres!$A$1:$I$89,3,0)*VLOOKUP('Données projet'!$B$12,Paramètres!$A$1:$I$89,5,0)</f>
        <v>1.5518253349000589E-14</v>
      </c>
      <c r="CA122" s="14">
        <f t="shared" si="93"/>
        <v>2.8958815659671149E-13</v>
      </c>
      <c r="CB122" s="22">
        <f t="shared" si="64"/>
        <v>5.3139366398878183E-13</v>
      </c>
      <c r="CC122" s="62">
        <f t="shared" si="65"/>
        <v>281.90999129792965</v>
      </c>
      <c r="CD122" s="62">
        <f ca="1">AVERAGE(OFFSET($CC$3,0,0,'Données projet'!$E$12+1,1))-AVERAGE(OFFSET($H$3,0,0,'Données projet'!$E$12+1,1))</f>
        <v>182.44246264133781</v>
      </c>
      <c r="CE122" s="62">
        <f t="shared" si="94"/>
        <v>262.5818213397049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0.73944452186628062</v>
      </c>
      <c r="CL122" s="23">
        <f>EXP(-LN(2)/25)*CL121+(1-EXP(-LN(2)/25))/(LN(2)/25)*Calculateur!CG122*Calculateur!CI122*VLOOKUP('Données projet'!$B$12,Paramètres!$A$1:$I$89,3,0)*0.475*44/12</f>
        <v>1.5345994213332421</v>
      </c>
      <c r="CM122" s="23">
        <f>EXP(-LN(2)/2)*CM121+(1-EXP(-LN(2)/2))/(LN(2)/2)*CG122*CJ122*VLOOKUP('Données projet'!$B$12,Paramètres!$A$1:$I$89,3,0)*0.475*44/12</f>
        <v>1.213286659920228E-16</v>
      </c>
      <c r="CN122" s="24">
        <f t="shared" si="66"/>
        <v>2.2740439431995227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-5.3205440053716299E-14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426.87921482911719</v>
      </c>
      <c r="CZ122" s="62">
        <f t="shared" si="96"/>
        <v>313.49594674441835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500.25828825677058</v>
      </c>
      <c r="DU122" s="62">
        <f t="shared" si="98"/>
        <v>313.56299786481338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0.21744014956763041</v>
      </c>
      <c r="EC122" s="23">
        <f>EXP(-LN(2)/2)*EC121+(1-EXP(-LN(2)/2))/(LN(2)/2)*DW122*DZ122*VLOOKUP('Données projet'!$B$14,Paramètres!$A$1:$I$89,3,0)*0.475*44/12</f>
        <v>1.0100812313656015E-12</v>
      </c>
      <c r="ED122" s="24">
        <f t="shared" si="72"/>
        <v>0.2174401495686405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548.17046467409421</v>
      </c>
      <c r="EP122" s="62">
        <f t="shared" si="100"/>
        <v>341.9250949809848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0.24198984387365341</v>
      </c>
      <c r="EX122" s="23">
        <f>EXP(-LN(2)/2)*EX121+(1-EXP(-LN(2)/2))/(LN(2)/2)*ER122*EU122*VLOOKUP('Données projet'!$B$15,Paramètres!$A$1:$I$89,3,0)*0.475*44/12</f>
        <v>1.1241226607133298E-12</v>
      </c>
      <c r="EY122" s="24">
        <f t="shared" si="75"/>
        <v>0.24198984387477754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472.83070477639035</v>
      </c>
      <c r="T123" s="62">
        <f t="shared" si="88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0.7529805416300448</v>
      </c>
      <c r="AB123" s="23">
        <f>EXP(-LN(2)/2)*AB122+(1-EXP(-LN(2)/2))/(LN(2)/2)*V123*Y123*VLOOKUP('Données projet'!$B$9,Paramètres!$A$1:$I$89,3,0)*0.475*44/12</f>
        <v>4.2376128262042293E-13</v>
      </c>
      <c r="AC123" s="24">
        <f t="shared" si="57"/>
        <v>0.75298054163046857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520.80494930257237</v>
      </c>
      <c r="AO123" s="62">
        <f t="shared" si="90"/>
        <v>325.72635759450861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0.84385750355091216</v>
      </c>
      <c r="AW123" s="23">
        <f>EXP(-LN(2)/2)*AW122+(1-EXP(-LN(2)/2))/(LN(2)/2)*AQ123*AT123*VLOOKUP('Données projet'!$B$10,Paramètres!$A$1:$I$89,3,0)*0.475*44/12</f>
        <v>4.7490488569530074E-13</v>
      </c>
      <c r="AX123" s="23">
        <f t="shared" si="60"/>
        <v>0.84385750355138711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6.3550942286383367E-14</v>
      </c>
      <c r="BF123" s="14">
        <f t="shared" si="91"/>
        <v>1.0064464192543978E-12</v>
      </c>
      <c r="BG123" s="22">
        <f t="shared" si="61"/>
        <v>1.8635787380168604E-12</v>
      </c>
      <c r="BH123" s="62">
        <f t="shared" si="62"/>
        <v>282.10816074347849</v>
      </c>
      <c r="BI123" s="62">
        <f ca="1">AVERAGE(OFFSET($BH$3,0,0,'Données projet'!$E$11+1,1))-AVERAGE(OFFSET($H$3,0,0,'Données projet'!$E$11+1,1))</f>
        <v>321.60602866722138</v>
      </c>
      <c r="BJ123" s="62">
        <f t="shared" si="92"/>
        <v>375.18886653687389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2.1543694025570437</v>
      </c>
      <c r="BQ123" s="23">
        <f>EXP(-LN(2)/25)*BQ122+(1-EXP(-LN(2)/25))/(LN(2)/25)*Calculateur!BL123*Calculateur!BN123*VLOOKUP('Données projet'!$B$11,Paramètres!$A$1:$I$89,3,0)*0.475*44/12</f>
        <v>1.3172062519804313</v>
      </c>
      <c r="BR123" s="23">
        <f>EXP(-LN(2)/2)*BR122+(1-EXP(-LN(2)/2))/(LN(2)/2)*BL123*BO123*VLOOKUP('Données projet'!$B$11,Paramètres!$A$1:$I$89,3,0)*0.475*44/12</f>
        <v>2.081017414834257E-13</v>
      </c>
      <c r="BS123" s="24">
        <f t="shared" si="63"/>
        <v>3.4715756545376832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2.8421709430404007E-14</v>
      </c>
      <c r="BZ123" s="14">
        <f>BY123*VLOOKUP('Données projet'!$B$12,Paramètres!$A$1:$I$89,3,0)*VLOOKUP('Données projet'!$B$12,Paramètres!$A$1:$I$89,5,0)</f>
        <v>1.5518253349000589E-14</v>
      </c>
      <c r="CA123" s="14">
        <f t="shared" si="93"/>
        <v>2.8958815659671149E-13</v>
      </c>
      <c r="CB123" s="22">
        <f t="shared" si="64"/>
        <v>5.3139366398878183E-13</v>
      </c>
      <c r="CC123" s="62">
        <f t="shared" si="65"/>
        <v>282.10816074347713</v>
      </c>
      <c r="CD123" s="62">
        <f ca="1">AVERAGE(OFFSET($CC$3,0,0,'Données projet'!$E$12+1,1))-AVERAGE(OFFSET($H$3,0,0,'Données projet'!$E$12+1,1))</f>
        <v>182.44246264133781</v>
      </c>
      <c r="CE123" s="62">
        <f t="shared" si="94"/>
        <v>262.5818213397049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0.72494446580910699</v>
      </c>
      <c r="CL123" s="23">
        <f>EXP(-LN(2)/25)*CL122+(1-EXP(-LN(2)/25))/(LN(2)/25)*Calculateur!CG123*Calculateur!CI123*VLOOKUP('Données projet'!$B$12,Paramètres!$A$1:$I$89,3,0)*0.475*44/12</f>
        <v>1.4926357194558084</v>
      </c>
      <c r="CM123" s="23">
        <f>EXP(-LN(2)/2)*CM122+(1-EXP(-LN(2)/2))/(LN(2)/2)*CG123*CJ123*VLOOKUP('Données projet'!$B$12,Paramètres!$A$1:$I$89,3,0)*0.475*44/12</f>
        <v>8.5792322475276974E-17</v>
      </c>
      <c r="CN123" s="24">
        <f t="shared" si="66"/>
        <v>2.2175801852649153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-5.3205440053716299E-14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426.87921482911719</v>
      </c>
      <c r="CZ123" s="62">
        <f t="shared" si="96"/>
        <v>313.49594674441835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500.25828825677058</v>
      </c>
      <c r="DU123" s="62">
        <f t="shared" si="98"/>
        <v>313.56299786481338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0.21149423724302305</v>
      </c>
      <c r="EC123" s="23">
        <f>EXP(-LN(2)/2)*EC122+(1-EXP(-LN(2)/2))/(LN(2)/2)*DW123*DZ123*VLOOKUP('Données projet'!$B$14,Paramètres!$A$1:$I$89,3,0)*0.475*44/12</f>
        <v>7.1423528824787487E-13</v>
      </c>
      <c r="ED123" s="24">
        <f t="shared" si="72"/>
        <v>0.21149423724373728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548.17046467409421</v>
      </c>
      <c r="EP123" s="62">
        <f t="shared" si="100"/>
        <v>341.9250949809848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0.23537261886723554</v>
      </c>
      <c r="EX123" s="23">
        <f>EXP(-LN(2)/2)*EX122+(1-EXP(-LN(2)/2))/(LN(2)/2)*ER123*EU123*VLOOKUP('Données projet'!$B$15,Paramètres!$A$1:$I$89,3,0)*0.475*44/12</f>
        <v>7.9487475627586014E-13</v>
      </c>
      <c r="EY123" s="24">
        <f t="shared" si="75"/>
        <v>0.2353726188680304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472.83070477639035</v>
      </c>
      <c r="T124" s="62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0.73239024912164552</v>
      </c>
      <c r="AB124" s="23">
        <f>EXP(-LN(2)/2)*AB123+(1-EXP(-LN(2)/2))/(LN(2)/2)*V124*Y124*VLOOKUP('Données projet'!$B$9,Paramètres!$A$1:$I$89,3,0)*0.475*44/12</f>
        <v>2.9964447654521012E-13</v>
      </c>
      <c r="AC124" s="24">
        <f t="shared" si="57"/>
        <v>0.73239024912194517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520.80494930257237</v>
      </c>
      <c r="AO124" s="62">
        <f t="shared" si="90"/>
        <v>325.72635759450861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0.82078217573977497</v>
      </c>
      <c r="AW124" s="23">
        <f>EXP(-LN(2)/2)*AW123+(1-EXP(-LN(2)/2))/(LN(2)/2)*AQ124*AT124*VLOOKUP('Données projet'!$B$10,Paramètres!$A$1:$I$89,3,0)*0.475*44/12</f>
        <v>3.3580846509376939E-13</v>
      </c>
      <c r="AX124" s="23">
        <f t="shared" si="60"/>
        <v>0.82078217574011081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6.3550942286383367E-14</v>
      </c>
      <c r="BF124" s="14">
        <f t="shared" si="91"/>
        <v>1.0064464192543978E-12</v>
      </c>
      <c r="BG124" s="22">
        <f t="shared" si="61"/>
        <v>1.8635787380168604E-12</v>
      </c>
      <c r="BH124" s="62">
        <f t="shared" si="62"/>
        <v>282.30289239218627</v>
      </c>
      <c r="BI124" s="62">
        <f ca="1">AVERAGE(OFFSET($BH$3,0,0,'Données projet'!$E$11+1,1))-AVERAGE(OFFSET($H$3,0,0,'Données projet'!$E$11+1,1))</f>
        <v>321.60602866722138</v>
      </c>
      <c r="BJ124" s="62">
        <f t="shared" si="92"/>
        <v>375.18886653687389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2.1121235326084853</v>
      </c>
      <c r="BQ124" s="23">
        <f>EXP(-LN(2)/25)*BQ123+(1-EXP(-LN(2)/25))/(LN(2)/25)*Calculateur!BL124*Calculateur!BN124*VLOOKUP('Données projet'!$B$11,Paramètres!$A$1:$I$89,3,0)*0.475*44/12</f>
        <v>1.2811871777511601</v>
      </c>
      <c r="BR124" s="23">
        <f>EXP(-LN(2)/2)*BR123+(1-EXP(-LN(2)/2))/(LN(2)/2)*BL124*BO124*VLOOKUP('Données projet'!$B$11,Paramètres!$A$1:$I$89,3,0)*0.475*44/12</f>
        <v>1.4715015257966018E-13</v>
      </c>
      <c r="BS124" s="24">
        <f t="shared" si="63"/>
        <v>3.3933107103597924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2.8421709430404007E-14</v>
      </c>
      <c r="BZ124" s="14">
        <f>BY124*VLOOKUP('Données projet'!$B$12,Paramètres!$A$1:$I$89,3,0)*VLOOKUP('Données projet'!$B$12,Paramètres!$A$1:$I$89,5,0)</f>
        <v>1.5518253349000589E-14</v>
      </c>
      <c r="CA124" s="14">
        <f t="shared" si="93"/>
        <v>2.8958815659671149E-13</v>
      </c>
      <c r="CB124" s="22">
        <f t="shared" si="64"/>
        <v>5.3139366398878183E-13</v>
      </c>
      <c r="CC124" s="62">
        <f t="shared" si="65"/>
        <v>282.3028923921849</v>
      </c>
      <c r="CD124" s="62">
        <f ca="1">AVERAGE(OFFSET($CC$3,0,0,'Données projet'!$E$12+1,1))-AVERAGE(OFFSET($H$3,0,0,'Données projet'!$E$12+1,1))</f>
        <v>182.44246264133781</v>
      </c>
      <c r="CE124" s="62">
        <f t="shared" si="94"/>
        <v>262.5818213397049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0.71072874700705369</v>
      </c>
      <c r="CL124" s="23">
        <f>EXP(-LN(2)/25)*CL123+(1-EXP(-LN(2)/25))/(LN(2)/25)*Calculateur!CG124*Calculateur!CI124*VLOOKUP('Données projet'!$B$12,Paramètres!$A$1:$I$89,3,0)*0.475*44/12</f>
        <v>1.4518195172129884</v>
      </c>
      <c r="CM124" s="23">
        <f>EXP(-LN(2)/2)*CM123+(1-EXP(-LN(2)/2))/(LN(2)/2)*CG124*CJ124*VLOOKUP('Données projet'!$B$12,Paramètres!$A$1:$I$89,3,0)*0.475*44/12</f>
        <v>6.0664332996011398E-17</v>
      </c>
      <c r="CN124" s="24">
        <f t="shared" si="66"/>
        <v>2.162548264220042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-5.3205440053716299E-14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426.87921482911719</v>
      </c>
      <c r="CZ124" s="62">
        <f t="shared" si="96"/>
        <v>313.49594674441835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500.25828825677058</v>
      </c>
      <c r="DU124" s="62">
        <f t="shared" si="98"/>
        <v>313.56299786481338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0.20571091620361404</v>
      </c>
      <c r="EC124" s="23">
        <f>EXP(-LN(2)/2)*EC123+(1-EXP(-LN(2)/2))/(LN(2)/2)*DW124*DZ124*VLOOKUP('Données projet'!$B$14,Paramètres!$A$1:$I$89,3,0)*0.475*44/12</f>
        <v>5.0504061568280075E-13</v>
      </c>
      <c r="ED124" s="24">
        <f t="shared" si="72"/>
        <v>0.20571091620411908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548.17046467409421</v>
      </c>
      <c r="EP124" s="62">
        <f t="shared" si="100"/>
        <v>341.9250949809848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0.22893634222660292</v>
      </c>
      <c r="EX124" s="23">
        <f>EXP(-LN(2)/2)*EX123+(1-EXP(-LN(2)/2))/(LN(2)/2)*ER124*EU124*VLOOKUP('Données projet'!$B$15,Paramètres!$A$1:$I$89,3,0)*0.475*44/12</f>
        <v>5.6206133035666492E-13</v>
      </c>
      <c r="EY124" s="24">
        <f t="shared" si="75"/>
        <v>0.22893634222716497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472.83070477639035</v>
      </c>
      <c r="T125" s="62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0.71236299924468482</v>
      </c>
      <c r="AB125" s="23">
        <f>EXP(-LN(2)/2)*AB124+(1-EXP(-LN(2)/2))/(LN(2)/2)*V125*Y125*VLOOKUP('Données projet'!$B$9,Paramètres!$A$1:$I$89,3,0)*0.475*44/12</f>
        <v>2.1188064131021147E-13</v>
      </c>
      <c r="AC125" s="24">
        <f t="shared" si="57"/>
        <v>0.71236299924489666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520.80494930257237</v>
      </c>
      <c r="AO125" s="62">
        <f t="shared" si="90"/>
        <v>325.72635759450861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0.79833784398111207</v>
      </c>
      <c r="AW125" s="23">
        <f>EXP(-LN(2)/2)*AW124+(1-EXP(-LN(2)/2))/(LN(2)/2)*AQ125*AT125*VLOOKUP('Données projet'!$B$10,Paramètres!$A$1:$I$89,3,0)*0.475*44/12</f>
        <v>2.3745244284765037E-13</v>
      </c>
      <c r="AX125" s="23">
        <f t="shared" si="60"/>
        <v>0.79833784398134955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6.3550942286383367E-14</v>
      </c>
      <c r="BF125" s="14">
        <f t="shared" si="91"/>
        <v>1.0064464192543978E-12</v>
      </c>
      <c r="BG125" s="22">
        <f t="shared" si="61"/>
        <v>1.8635787380168604E-12</v>
      </c>
      <c r="BH125" s="62">
        <f t="shared" si="62"/>
        <v>282.49424588214367</v>
      </c>
      <c r="BI125" s="62">
        <f ca="1">AVERAGE(OFFSET($BH$3,0,0,'Données projet'!$E$11+1,1))-AVERAGE(OFFSET($H$3,0,0,'Données projet'!$E$11+1,1))</f>
        <v>321.60602866722138</v>
      </c>
      <c r="BJ125" s="62">
        <f t="shared" si="92"/>
        <v>375.18886653687389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2.070706078402182</v>
      </c>
      <c r="BQ125" s="23">
        <f>EXP(-LN(2)/25)*BQ124+(1-EXP(-LN(2)/25))/(LN(2)/25)*Calculateur!BL125*Calculateur!BN125*VLOOKUP('Données projet'!$B$11,Paramètres!$A$1:$I$89,3,0)*0.475*44/12</f>
        <v>1.2461530470008491</v>
      </c>
      <c r="BR125" s="23">
        <f>EXP(-LN(2)/2)*BR124+(1-EXP(-LN(2)/2))/(LN(2)/2)*BL125*BO125*VLOOKUP('Données projet'!$B$11,Paramètres!$A$1:$I$89,3,0)*0.475*44/12</f>
        <v>1.0405087074171285E-13</v>
      </c>
      <c r="BS125" s="24">
        <f t="shared" si="63"/>
        <v>3.316859125403135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2.8421709430404007E-14</v>
      </c>
      <c r="BZ125" s="14">
        <f>BY125*VLOOKUP('Données projet'!$B$12,Paramètres!$A$1:$I$89,3,0)*VLOOKUP('Données projet'!$B$12,Paramètres!$A$1:$I$89,5,0)</f>
        <v>1.5518253349000589E-14</v>
      </c>
      <c r="CA125" s="14">
        <f t="shared" si="93"/>
        <v>2.8958815659671149E-13</v>
      </c>
      <c r="CB125" s="22">
        <f t="shared" si="64"/>
        <v>5.3139366398878183E-13</v>
      </c>
      <c r="CC125" s="62">
        <f t="shared" si="65"/>
        <v>282.49424588214231</v>
      </c>
      <c r="CD125" s="62">
        <f ca="1">AVERAGE(OFFSET($CC$3,0,0,'Données projet'!$E$12+1,1))-AVERAGE(OFFSET($H$3,0,0,'Données projet'!$E$12+1,1))</f>
        <v>182.44246264133781</v>
      </c>
      <c r="CE125" s="62">
        <f t="shared" si="94"/>
        <v>262.5818213397049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0.69679178977997625</v>
      </c>
      <c r="CL125" s="23">
        <f>EXP(-LN(2)/25)*CL124+(1-EXP(-LN(2)/25))/(LN(2)/25)*Calculateur!CG125*Calculateur!CI125*VLOOKUP('Données projet'!$B$12,Paramètres!$A$1:$I$89,3,0)*0.475*44/12</f>
        <v>1.4121194361669289</v>
      </c>
      <c r="CM125" s="23">
        <f>EXP(-LN(2)/2)*CM124+(1-EXP(-LN(2)/2))/(LN(2)/2)*CG125*CJ125*VLOOKUP('Données projet'!$B$12,Paramètres!$A$1:$I$89,3,0)*0.475*44/12</f>
        <v>4.2896161237638487E-17</v>
      </c>
      <c r="CN125" s="24">
        <f t="shared" si="66"/>
        <v>2.1089112259469052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-5.3205440053716299E-14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426.87921482911719</v>
      </c>
      <c r="CZ125" s="62">
        <f t="shared" si="96"/>
        <v>313.49594674441835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500.25828825677058</v>
      </c>
      <c r="DU125" s="62">
        <f t="shared" si="98"/>
        <v>313.56299786481338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0.20008574038215929</v>
      </c>
      <c r="EC125" s="23">
        <f>EXP(-LN(2)/2)*EC124+(1-EXP(-LN(2)/2))/(LN(2)/2)*DW125*DZ125*VLOOKUP('Données projet'!$B$14,Paramètres!$A$1:$I$89,3,0)*0.475*44/12</f>
        <v>3.5711764412393744E-13</v>
      </c>
      <c r="ED125" s="24">
        <f t="shared" si="72"/>
        <v>0.20008574038251642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548.17046467409421</v>
      </c>
      <c r="EP125" s="62">
        <f t="shared" si="100"/>
        <v>341.9250949809848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0.22267606590917746</v>
      </c>
      <c r="EX125" s="23">
        <f>EXP(-LN(2)/2)*EX124+(1-EXP(-LN(2)/2))/(LN(2)/2)*ER125*EU125*VLOOKUP('Données projet'!$B$15,Paramètres!$A$1:$I$89,3,0)*0.475*44/12</f>
        <v>3.9743737813793007E-13</v>
      </c>
      <c r="EY125" s="24">
        <f t="shared" si="75"/>
        <v>0.22267606590957489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472.83070477639035</v>
      </c>
      <c r="T126" s="62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0.69288339556879697</v>
      </c>
      <c r="AB126" s="23">
        <f>EXP(-LN(2)/2)*AB125+(1-EXP(-LN(2)/2))/(LN(2)/2)*V126*Y126*VLOOKUP('Données projet'!$B$9,Paramètres!$A$1:$I$89,3,0)*0.475*44/12</f>
        <v>1.4982223827260506E-13</v>
      </c>
      <c r="AC126" s="24">
        <f t="shared" si="57"/>
        <v>0.69288339556894674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520.80494930257237</v>
      </c>
      <c r="AO126" s="62">
        <f t="shared" si="90"/>
        <v>325.72635759450861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0.77650725365468598</v>
      </c>
      <c r="AW126" s="23">
        <f>EXP(-LN(2)/2)*AW125+(1-EXP(-LN(2)/2))/(LN(2)/2)*AQ126*AT126*VLOOKUP('Données projet'!$B$10,Paramètres!$A$1:$I$89,3,0)*0.475*44/12</f>
        <v>1.6790423254688469E-13</v>
      </c>
      <c r="AX126" s="23">
        <f t="shared" si="60"/>
        <v>0.77650725365485385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6.3550942286383367E-14</v>
      </c>
      <c r="BF126" s="14">
        <f t="shared" si="91"/>
        <v>1.0064464192543978E-12</v>
      </c>
      <c r="BG126" s="22">
        <f t="shared" si="61"/>
        <v>1.8635787380168604E-12</v>
      </c>
      <c r="BH126" s="62">
        <f t="shared" si="62"/>
        <v>282.68227981685254</v>
      </c>
      <c r="BI126" s="62">
        <f ca="1">AVERAGE(OFFSET($BH$3,0,0,'Données projet'!$E$11+1,1))-AVERAGE(OFFSET($H$3,0,0,'Données projet'!$E$11+1,1))</f>
        <v>321.60602866722138</v>
      </c>
      <c r="BJ126" s="62">
        <f t="shared" si="92"/>
        <v>375.18886653687389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2.0301007952107115</v>
      </c>
      <c r="BQ126" s="23">
        <f>EXP(-LN(2)/25)*BQ125+(1-EXP(-LN(2)/25))/(LN(2)/25)*Calculateur!BL126*Calculateur!BN126*VLOOKUP('Données projet'!$B$11,Paramètres!$A$1:$I$89,3,0)*0.475*44/12</f>
        <v>1.2120769263982702</v>
      </c>
      <c r="BR126" s="23">
        <f>EXP(-LN(2)/2)*BR125+(1-EXP(-LN(2)/2))/(LN(2)/2)*BL126*BO126*VLOOKUP('Données projet'!$B$11,Paramètres!$A$1:$I$89,3,0)*0.475*44/12</f>
        <v>7.3575076289830088E-14</v>
      </c>
      <c r="BS126" s="24">
        <f t="shared" si="63"/>
        <v>3.2421777216090555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2.8421709430404007E-14</v>
      </c>
      <c r="BZ126" s="14">
        <f>BY126*VLOOKUP('Données projet'!$B$12,Paramètres!$A$1:$I$89,3,0)*VLOOKUP('Données projet'!$B$12,Paramètres!$A$1:$I$89,5,0)</f>
        <v>1.5518253349000589E-14</v>
      </c>
      <c r="CA126" s="14">
        <f t="shared" si="93"/>
        <v>2.8958815659671149E-13</v>
      </c>
      <c r="CB126" s="22">
        <f t="shared" si="64"/>
        <v>5.3139366398878183E-13</v>
      </c>
      <c r="CC126" s="62">
        <f t="shared" si="65"/>
        <v>282.68227981685118</v>
      </c>
      <c r="CD126" s="62">
        <f ca="1">AVERAGE(OFFSET($CC$3,0,0,'Données projet'!$E$12+1,1))-AVERAGE(OFFSET($H$3,0,0,'Données projet'!$E$12+1,1))</f>
        <v>182.44246264133781</v>
      </c>
      <c r="CE126" s="62">
        <f t="shared" si="94"/>
        <v>262.5818213397049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0.68312812778341736</v>
      </c>
      <c r="CL126" s="23">
        <f>EXP(-LN(2)/25)*CL125+(1-EXP(-LN(2)/25))/(LN(2)/25)*Calculateur!CG126*Calculateur!CI126*VLOOKUP('Données projet'!$B$12,Paramètres!$A$1:$I$89,3,0)*0.475*44/12</f>
        <v>1.3735049559248105</v>
      </c>
      <c r="CM126" s="23">
        <f>EXP(-LN(2)/2)*CM125+(1-EXP(-LN(2)/2))/(LN(2)/2)*CG126*CJ126*VLOOKUP('Données projet'!$B$12,Paramètres!$A$1:$I$89,3,0)*0.475*44/12</f>
        <v>3.0332166498005699E-17</v>
      </c>
      <c r="CN126" s="24">
        <f t="shared" si="66"/>
        <v>2.0566330837082276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-5.3205440053716299E-14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426.87921482911719</v>
      </c>
      <c r="CZ126" s="62">
        <f t="shared" si="96"/>
        <v>313.49594674441835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500.25828825677058</v>
      </c>
      <c r="DU126" s="62">
        <f t="shared" si="98"/>
        <v>313.56299786481338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0.19461438528935734</v>
      </c>
      <c r="EC126" s="23">
        <f>EXP(-LN(2)/2)*EC125+(1-EXP(-LN(2)/2))/(LN(2)/2)*DW126*DZ126*VLOOKUP('Données projet'!$B$14,Paramètres!$A$1:$I$89,3,0)*0.475*44/12</f>
        <v>2.5252030784140037E-13</v>
      </c>
      <c r="ED126" s="24">
        <f t="shared" si="72"/>
        <v>0.19461438528960986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548.17046467409421</v>
      </c>
      <c r="EP126" s="62">
        <f t="shared" si="100"/>
        <v>341.9250949809848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0.21658697717686562</v>
      </c>
      <c r="EX126" s="23">
        <f>EXP(-LN(2)/2)*EX125+(1-EXP(-LN(2)/2))/(LN(2)/2)*ER126*EU126*VLOOKUP('Données projet'!$B$15,Paramètres!$A$1:$I$89,3,0)*0.475*44/12</f>
        <v>2.8103066517833246E-13</v>
      </c>
      <c r="EY126" s="24">
        <f t="shared" si="75"/>
        <v>0.21658697717714664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472.83070477639035</v>
      </c>
      <c r="T127" s="62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0.673936462679814</v>
      </c>
      <c r="AB127" s="23">
        <f>EXP(-LN(2)/2)*AB126+(1-EXP(-LN(2)/2))/(LN(2)/2)*V127*Y127*VLOOKUP('Données projet'!$B$9,Paramètres!$A$1:$I$89,3,0)*0.475*44/12</f>
        <v>1.0594032065510573E-13</v>
      </c>
      <c r="AC127" s="24">
        <f t="shared" si="57"/>
        <v>0.67393646267991991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520.80494930257237</v>
      </c>
      <c r="AO127" s="62">
        <f t="shared" si="90"/>
        <v>325.72635759450861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0.7552736219687568</v>
      </c>
      <c r="AW127" s="23">
        <f>EXP(-LN(2)/2)*AW126+(1-EXP(-LN(2)/2))/(LN(2)/2)*AQ127*AT127*VLOOKUP('Données projet'!$B$10,Paramètres!$A$1:$I$89,3,0)*0.475*44/12</f>
        <v>1.1872622142382518E-13</v>
      </c>
      <c r="AX127" s="23">
        <f t="shared" si="60"/>
        <v>0.75527362196887549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6.3550942286383367E-14</v>
      </c>
      <c r="BF127" s="14">
        <f t="shared" si="91"/>
        <v>1.0064464192543978E-12</v>
      </c>
      <c r="BG127" s="22">
        <f t="shared" si="61"/>
        <v>1.8635787380168604E-12</v>
      </c>
      <c r="BH127" s="62">
        <f t="shared" si="62"/>
        <v>282.86705178317521</v>
      </c>
      <c r="BI127" s="62">
        <f ca="1">AVERAGE(OFFSET($BH$3,0,0,'Données projet'!$E$11+1,1))-AVERAGE(OFFSET($H$3,0,0,'Données projet'!$E$11+1,1))</f>
        <v>321.60602866722138</v>
      </c>
      <c r="BJ127" s="62">
        <f t="shared" si="92"/>
        <v>375.18886653687389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1.9902917568558485</v>
      </c>
      <c r="BQ127" s="23">
        <f>EXP(-LN(2)/25)*BQ126+(1-EXP(-LN(2)/25))/(LN(2)/25)*Calculateur!BL127*Calculateur!BN127*VLOOKUP('Données projet'!$B$11,Paramètres!$A$1:$I$89,3,0)*0.475*44/12</f>
        <v>1.1789326191055542</v>
      </c>
      <c r="BR127" s="23">
        <f>EXP(-LN(2)/2)*BR126+(1-EXP(-LN(2)/2))/(LN(2)/2)*BL127*BO127*VLOOKUP('Données projet'!$B$11,Paramètres!$A$1:$I$89,3,0)*0.475*44/12</f>
        <v>5.2025435370856425E-14</v>
      </c>
      <c r="BS127" s="24">
        <f t="shared" si="63"/>
        <v>3.1692243759614547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2.8421709430404007E-14</v>
      </c>
      <c r="BZ127" s="14">
        <f>BY127*VLOOKUP('Données projet'!$B$12,Paramètres!$A$1:$I$89,3,0)*VLOOKUP('Données projet'!$B$12,Paramètres!$A$1:$I$89,5,0)</f>
        <v>1.5518253349000589E-14</v>
      </c>
      <c r="CA127" s="14">
        <f t="shared" si="93"/>
        <v>2.8958815659671149E-13</v>
      </c>
      <c r="CB127" s="22">
        <f t="shared" si="64"/>
        <v>5.3139366398878183E-13</v>
      </c>
      <c r="CC127" s="62">
        <f t="shared" si="65"/>
        <v>282.86705178317385</v>
      </c>
      <c r="CD127" s="62">
        <f ca="1">AVERAGE(OFFSET($CC$3,0,0,'Données projet'!$E$12+1,1))-AVERAGE(OFFSET($H$3,0,0,'Données projet'!$E$12+1,1))</f>
        <v>182.44246264133781</v>
      </c>
      <c r="CE127" s="62">
        <f t="shared" si="94"/>
        <v>262.5818213397049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0.66973240186460004</v>
      </c>
      <c r="CL127" s="23">
        <f>EXP(-LN(2)/25)*CL126+(1-EXP(-LN(2)/25))/(LN(2)/25)*Calculateur!CG127*Calculateur!CI127*VLOOKUP('Données projet'!$B$12,Paramètres!$A$1:$I$89,3,0)*0.475*44/12</f>
        <v>1.33594639067556</v>
      </c>
      <c r="CM127" s="23">
        <f>EXP(-LN(2)/2)*CM126+(1-EXP(-LN(2)/2))/(LN(2)/2)*CG127*CJ127*VLOOKUP('Données projet'!$B$12,Paramètres!$A$1:$I$89,3,0)*0.475*44/12</f>
        <v>2.1448080618819244E-17</v>
      </c>
      <c r="CN127" s="24">
        <f t="shared" si="66"/>
        <v>2.0056787925401602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-5.3205440053716299E-14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426.87921482911719</v>
      </c>
      <c r="CZ127" s="62">
        <f t="shared" si="96"/>
        <v>313.49594674441835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500.25828825677058</v>
      </c>
      <c r="DU127" s="62">
        <f t="shared" si="98"/>
        <v>313.56299786481338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0.18929264468929413</v>
      </c>
      <c r="EC127" s="23">
        <f>EXP(-LN(2)/2)*EC126+(1-EXP(-LN(2)/2))/(LN(2)/2)*DW127*DZ127*VLOOKUP('Données projet'!$B$14,Paramètres!$A$1:$I$89,3,0)*0.475*44/12</f>
        <v>1.7855882206196872E-13</v>
      </c>
      <c r="ED127" s="24">
        <f t="shared" si="72"/>
        <v>0.18929264468947268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548.17046467409421</v>
      </c>
      <c r="EP127" s="62">
        <f t="shared" si="100"/>
        <v>341.9250949809848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0.2106643948961501</v>
      </c>
      <c r="EX127" s="23">
        <f>EXP(-LN(2)/2)*EX126+(1-EXP(-LN(2)/2))/(LN(2)/2)*ER127*EU127*VLOOKUP('Données projet'!$B$15,Paramètres!$A$1:$I$89,3,0)*0.475*44/12</f>
        <v>1.9871868906896504E-13</v>
      </c>
      <c r="EY127" s="24">
        <f t="shared" si="75"/>
        <v>0.21066439489634883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472.83070477639035</v>
      </c>
      <c r="T128" s="62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0.65550763466705619</v>
      </c>
      <c r="AB128" s="23">
        <f>EXP(-LN(2)/2)*AB127+(1-EXP(-LN(2)/2))/(LN(2)/2)*V128*Y128*VLOOKUP('Données projet'!$B$9,Paramètres!$A$1:$I$89,3,0)*0.475*44/12</f>
        <v>7.491111913630253E-14</v>
      </c>
      <c r="AC128" s="24">
        <f t="shared" si="57"/>
        <v>0.65550763466713113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520.80494930257237</v>
      </c>
      <c r="AO128" s="62">
        <f t="shared" si="90"/>
        <v>325.72635759450861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0.73462062505790759</v>
      </c>
      <c r="AW128" s="23">
        <f>EXP(-LN(2)/2)*AW127+(1-EXP(-LN(2)/2))/(LN(2)/2)*AQ128*AT128*VLOOKUP('Données projet'!$B$10,Paramètres!$A$1:$I$89,3,0)*0.475*44/12</f>
        <v>8.3952116273442347E-14</v>
      </c>
      <c r="AX128" s="23">
        <f t="shared" si="60"/>
        <v>0.73462062505799153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6.3550942286383367E-14</v>
      </c>
      <c r="BF128" s="14">
        <f t="shared" si="91"/>
        <v>1.0064464192543978E-12</v>
      </c>
      <c r="BG128" s="22">
        <f t="shared" si="61"/>
        <v>1.8635787380168604E-12</v>
      </c>
      <c r="BH128" s="62">
        <f t="shared" si="62"/>
        <v>283.04861836897038</v>
      </c>
      <c r="BI128" s="62">
        <f ca="1">AVERAGE(OFFSET($BH$3,0,0,'Données projet'!$E$11+1,1))-AVERAGE(OFFSET($H$3,0,0,'Données projet'!$E$11+1,1))</f>
        <v>321.60602866722138</v>
      </c>
      <c r="BJ128" s="62">
        <f t="shared" si="92"/>
        <v>375.18886653687389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1.9512633494620086</v>
      </c>
      <c r="BQ128" s="23">
        <f>EXP(-LN(2)/25)*BQ127+(1-EXP(-LN(2)/25))/(LN(2)/25)*Calculateur!BL128*Calculateur!BN128*VLOOKUP('Données projet'!$B$11,Paramètres!$A$1:$I$89,3,0)*0.475*44/12</f>
        <v>1.1466946446387409</v>
      </c>
      <c r="BR128" s="23">
        <f>EXP(-LN(2)/2)*BR127+(1-EXP(-LN(2)/2))/(LN(2)/2)*BL128*BO128*VLOOKUP('Données projet'!$B$11,Paramètres!$A$1:$I$89,3,0)*0.475*44/12</f>
        <v>3.6787538144915044E-14</v>
      </c>
      <c r="BS128" s="24">
        <f t="shared" si="63"/>
        <v>3.0979579941007862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2.8421709430404007E-14</v>
      </c>
      <c r="BZ128" s="14">
        <f>BY128*VLOOKUP('Données projet'!$B$12,Paramètres!$A$1:$I$89,3,0)*VLOOKUP('Données projet'!$B$12,Paramètres!$A$1:$I$89,5,0)</f>
        <v>1.5518253349000589E-14</v>
      </c>
      <c r="CA128" s="14">
        <f t="shared" si="93"/>
        <v>2.8958815659671149E-13</v>
      </c>
      <c r="CB128" s="22">
        <f t="shared" si="64"/>
        <v>5.3139366398878183E-13</v>
      </c>
      <c r="CC128" s="62">
        <f t="shared" si="65"/>
        <v>283.04861836896902</v>
      </c>
      <c r="CD128" s="62">
        <f ca="1">AVERAGE(OFFSET($CC$3,0,0,'Données projet'!$E$12+1,1))-AVERAGE(OFFSET($H$3,0,0,'Données projet'!$E$12+1,1))</f>
        <v>182.44246264133781</v>
      </c>
      <c r="CE128" s="62">
        <f t="shared" si="94"/>
        <v>262.5818213397049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0.65659935796046465</v>
      </c>
      <c r="CL128" s="23">
        <f>EXP(-LN(2)/25)*CL127+(1-EXP(-LN(2)/25))/(LN(2)/25)*Calculateur!CG128*Calculateur!CI128*VLOOKUP('Données projet'!$B$12,Paramètres!$A$1:$I$89,3,0)*0.475*44/12</f>
        <v>1.2994148663681695</v>
      </c>
      <c r="CM128" s="23">
        <f>EXP(-LN(2)/2)*CM127+(1-EXP(-LN(2)/2))/(LN(2)/2)*CG128*CJ128*VLOOKUP('Données projet'!$B$12,Paramètres!$A$1:$I$89,3,0)*0.475*44/12</f>
        <v>1.516608324900285E-17</v>
      </c>
      <c r="CN128" s="24">
        <f t="shared" si="66"/>
        <v>1.956014224328634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-5.3205440053716299E-14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426.87921482911719</v>
      </c>
      <c r="CZ128" s="62">
        <f t="shared" si="96"/>
        <v>313.49594674441835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500.25828825677058</v>
      </c>
      <c r="DU128" s="62">
        <f t="shared" si="98"/>
        <v>313.56299786481338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0.18411642736579784</v>
      </c>
      <c r="EC128" s="23">
        <f>EXP(-LN(2)/2)*EC127+(1-EXP(-LN(2)/2))/(LN(2)/2)*DW128*DZ128*VLOOKUP('Données projet'!$B$14,Paramètres!$A$1:$I$89,3,0)*0.475*44/12</f>
        <v>1.2626015392070019E-13</v>
      </c>
      <c r="ED128" s="24">
        <f t="shared" si="72"/>
        <v>0.1841164273659241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548.17046467409421</v>
      </c>
      <c r="EP128" s="62">
        <f t="shared" si="100"/>
        <v>341.9250949809848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0.20490376593935583</v>
      </c>
      <c r="EX128" s="23">
        <f>EXP(-LN(2)/2)*EX127+(1-EXP(-LN(2)/2))/(LN(2)/2)*ER128*EU128*VLOOKUP('Données projet'!$B$15,Paramètres!$A$1:$I$89,3,0)*0.475*44/12</f>
        <v>1.4051533258916623E-13</v>
      </c>
      <c r="EY128" s="24">
        <f t="shared" si="75"/>
        <v>0.20490376593949636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472.83070477639035</v>
      </c>
      <c r="T129" s="62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0.63758274392543723</v>
      </c>
      <c r="AB129" s="23">
        <f>EXP(-LN(2)/2)*AB128+(1-EXP(-LN(2)/2))/(LN(2)/2)*V129*Y129*VLOOKUP('Données projet'!$B$9,Paramètres!$A$1:$I$89,3,0)*0.475*44/12</f>
        <v>5.2970160327552867E-14</v>
      </c>
      <c r="AC129" s="24">
        <f t="shared" si="57"/>
        <v>0.63758274392549019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520.80494930257237</v>
      </c>
      <c r="AO129" s="62">
        <f t="shared" si="90"/>
        <v>325.72635759450861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0.71453238543367947</v>
      </c>
      <c r="AW129" s="23">
        <f>EXP(-LN(2)/2)*AW128+(1-EXP(-LN(2)/2))/(LN(2)/2)*AQ129*AT129*VLOOKUP('Données projet'!$B$10,Paramètres!$A$1:$I$89,3,0)*0.475*44/12</f>
        <v>5.9363110711912592E-14</v>
      </c>
      <c r="AX129" s="23">
        <f t="shared" si="60"/>
        <v>0.71453238543373887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6.3550942286383367E-14</v>
      </c>
      <c r="BF129" s="14">
        <f t="shared" si="91"/>
        <v>1.0064464192543978E-12</v>
      </c>
      <c r="BG129" s="22">
        <f t="shared" si="61"/>
        <v>1.8635787380168604E-12</v>
      </c>
      <c r="BH129" s="62">
        <f t="shared" si="62"/>
        <v>283.22703518042408</v>
      </c>
      <c r="BI129" s="62">
        <f ca="1">AVERAGE(OFFSET($BH$3,0,0,'Données projet'!$E$11+1,1))-AVERAGE(OFFSET($H$3,0,0,'Données projet'!$E$11+1,1))</f>
        <v>321.60602866722138</v>
      </c>
      <c r="BJ129" s="62">
        <f t="shared" si="92"/>
        <v>375.18886653687389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1.913000265332184</v>
      </c>
      <c r="BQ129" s="23">
        <f>EXP(-LN(2)/25)*BQ128+(1-EXP(-LN(2)/25))/(LN(2)/25)*Calculateur!BL129*Calculateur!BN129*VLOOKUP('Données projet'!$B$11,Paramètres!$A$1:$I$89,3,0)*0.475*44/12</f>
        <v>1.115338219279044</v>
      </c>
      <c r="BR129" s="23">
        <f>EXP(-LN(2)/2)*BR128+(1-EXP(-LN(2)/2))/(LN(2)/2)*BL129*BO129*VLOOKUP('Données projet'!$B$11,Paramètres!$A$1:$I$89,3,0)*0.475*44/12</f>
        <v>2.6012717685428213E-14</v>
      </c>
      <c r="BS129" s="24">
        <f t="shared" si="63"/>
        <v>3.0283384846112544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2.8421709430404007E-14</v>
      </c>
      <c r="BZ129" s="14">
        <f>BY129*VLOOKUP('Données projet'!$B$12,Paramètres!$A$1:$I$89,3,0)*VLOOKUP('Données projet'!$B$12,Paramètres!$A$1:$I$89,5,0)</f>
        <v>1.5518253349000589E-14</v>
      </c>
      <c r="CA129" s="14">
        <f t="shared" si="93"/>
        <v>2.8958815659671149E-13</v>
      </c>
      <c r="CB129" s="22">
        <f t="shared" si="64"/>
        <v>5.3139366398878183E-13</v>
      </c>
      <c r="CC129" s="62">
        <f t="shared" si="65"/>
        <v>283.22703518042272</v>
      </c>
      <c r="CD129" s="62">
        <f ca="1">AVERAGE(OFFSET($CC$3,0,0,'Données projet'!$E$12+1,1))-AVERAGE(OFFSET($H$3,0,0,'Données projet'!$E$12+1,1))</f>
        <v>182.44246264133781</v>
      </c>
      <c r="CE129" s="62">
        <f t="shared" si="94"/>
        <v>262.5818213397049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0.64372384503692359</v>
      </c>
      <c r="CL129" s="23">
        <f>EXP(-LN(2)/25)*CL128+(1-EXP(-LN(2)/25))/(LN(2)/25)*Calculateur!CG129*Calculateur!CI129*VLOOKUP('Données projet'!$B$12,Paramètres!$A$1:$I$89,3,0)*0.475*44/12</f>
        <v>1.2638822985140739</v>
      </c>
      <c r="CM129" s="23">
        <f>EXP(-LN(2)/2)*CM128+(1-EXP(-LN(2)/2))/(LN(2)/2)*CG129*CJ129*VLOOKUP('Données projet'!$B$12,Paramètres!$A$1:$I$89,3,0)*0.475*44/12</f>
        <v>1.0724040309409622E-17</v>
      </c>
      <c r="CN129" s="24">
        <f t="shared" si="66"/>
        <v>1.9076061435509974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-5.3205440053716299E-14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426.87921482911719</v>
      </c>
      <c r="CZ129" s="62">
        <f t="shared" si="96"/>
        <v>313.49594674441835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500.25828825677058</v>
      </c>
      <c r="DU129" s="62">
        <f t="shared" si="98"/>
        <v>313.56299786481338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0.17908175397721798</v>
      </c>
      <c r="EC129" s="23">
        <f>EXP(-LN(2)/2)*EC128+(1-EXP(-LN(2)/2))/(LN(2)/2)*DW129*DZ129*VLOOKUP('Données projet'!$B$14,Paramètres!$A$1:$I$89,3,0)*0.475*44/12</f>
        <v>8.9279411030984359E-14</v>
      </c>
      <c r="ED129" s="24">
        <f t="shared" si="72"/>
        <v>0.17908175397730727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548.17046467409421</v>
      </c>
      <c r="EP129" s="62">
        <f t="shared" si="100"/>
        <v>341.9250949809848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0.19930066168432342</v>
      </c>
      <c r="EX129" s="23">
        <f>EXP(-LN(2)/2)*EX128+(1-EXP(-LN(2)/2))/(LN(2)/2)*ER129*EU129*VLOOKUP('Données projet'!$B$15,Paramètres!$A$1:$I$89,3,0)*0.475*44/12</f>
        <v>9.9359344534482518E-14</v>
      </c>
      <c r="EY129" s="24">
        <f t="shared" si="75"/>
        <v>0.19930066168442279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472.83070477639035</v>
      </c>
      <c r="T130" s="62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0.62014801026377686</v>
      </c>
      <c r="AB130" s="23">
        <f>EXP(-LN(2)/2)*AB129+(1-EXP(-LN(2)/2))/(LN(2)/2)*V130*Y130*VLOOKUP('Données projet'!$B$9,Paramètres!$A$1:$I$89,3,0)*0.475*44/12</f>
        <v>3.7455559568151265E-14</v>
      </c>
      <c r="AC130" s="24">
        <f t="shared" si="57"/>
        <v>0.62014801026381428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520.80494930257237</v>
      </c>
      <c r="AO130" s="62">
        <f t="shared" si="90"/>
        <v>325.72635759450861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0.69499345977837046</v>
      </c>
      <c r="AW130" s="23">
        <f>EXP(-LN(2)/2)*AW129+(1-EXP(-LN(2)/2))/(LN(2)/2)*AQ130*AT130*VLOOKUP('Données projet'!$B$10,Paramètres!$A$1:$I$89,3,0)*0.475*44/12</f>
        <v>4.1976058136721173E-14</v>
      </c>
      <c r="AX130" s="23">
        <f t="shared" si="60"/>
        <v>0.69499345977841243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6.3550942286383367E-14</v>
      </c>
      <c r="BF130" s="14">
        <f t="shared" si="91"/>
        <v>1.0064464192543978E-12</v>
      </c>
      <c r="BG130" s="22">
        <f t="shared" si="61"/>
        <v>1.8635787380168604E-12</v>
      </c>
      <c r="BH130" s="62">
        <f t="shared" si="62"/>
        <v>283.4023568590793</v>
      </c>
      <c r="BI130" s="62">
        <f ca="1">AVERAGE(OFFSET($BH$3,0,0,'Données projet'!$E$11+1,1))-AVERAGE(OFFSET($H$3,0,0,'Données projet'!$E$11+1,1))</f>
        <v>321.60602866722138</v>
      </c>
      <c r="BJ130" s="62">
        <f t="shared" si="92"/>
        <v>375.18886653687389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1.8754874969439683</v>
      </c>
      <c r="BQ130" s="23">
        <f>EXP(-LN(2)/25)*BQ129+(1-EXP(-LN(2)/25))/(LN(2)/25)*Calculateur!BL130*Calculateur!BN130*VLOOKUP('Données projet'!$B$11,Paramètres!$A$1:$I$89,3,0)*0.475*44/12</f>
        <v>1.0848392370197708</v>
      </c>
      <c r="BR130" s="23">
        <f>EXP(-LN(2)/2)*BR129+(1-EXP(-LN(2)/2))/(LN(2)/2)*BL130*BO130*VLOOKUP('Données projet'!$B$11,Paramètres!$A$1:$I$89,3,0)*0.475*44/12</f>
        <v>1.8393769072457522E-14</v>
      </c>
      <c r="BS130" s="24">
        <f t="shared" si="63"/>
        <v>2.9603267339637571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2.8421709430404007E-14</v>
      </c>
      <c r="BZ130" s="14">
        <f>BY130*VLOOKUP('Données projet'!$B$12,Paramètres!$A$1:$I$89,3,0)*VLOOKUP('Données projet'!$B$12,Paramètres!$A$1:$I$89,5,0)</f>
        <v>1.5518253349000589E-14</v>
      </c>
      <c r="CA130" s="14">
        <f t="shared" si="93"/>
        <v>2.8958815659671149E-13</v>
      </c>
      <c r="CB130" s="22">
        <f t="shared" si="64"/>
        <v>5.3139366398878183E-13</v>
      </c>
      <c r="CC130" s="62">
        <f t="shared" si="65"/>
        <v>283.40235685907794</v>
      </c>
      <c r="CD130" s="62">
        <f ca="1">AVERAGE(OFFSET($CC$3,0,0,'Données projet'!$E$12+1,1))-AVERAGE(OFFSET($H$3,0,0,'Données projet'!$E$12+1,1))</f>
        <v>182.44246264133781</v>
      </c>
      <c r="CE130" s="62">
        <f t="shared" si="94"/>
        <v>262.5818213397049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0.63110081306852572</v>
      </c>
      <c r="CL130" s="23">
        <f>EXP(-LN(2)/25)*CL129+(1-EXP(-LN(2)/25))/(LN(2)/25)*Calculateur!CG130*Calculateur!CI130*VLOOKUP('Données projet'!$B$12,Paramètres!$A$1:$I$89,3,0)*0.475*44/12</f>
        <v>1.2293213705965251</v>
      </c>
      <c r="CM130" s="23">
        <f>EXP(-LN(2)/2)*CM129+(1-EXP(-LN(2)/2))/(LN(2)/2)*CG130*CJ130*VLOOKUP('Données projet'!$B$12,Paramètres!$A$1:$I$89,3,0)*0.475*44/12</f>
        <v>7.5830416245014248E-18</v>
      </c>
      <c r="CN130" s="24">
        <f t="shared" si="66"/>
        <v>1.860422183665051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-5.3205440053716299E-14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426.87921482911719</v>
      </c>
      <c r="CZ130" s="62">
        <f t="shared" si="96"/>
        <v>313.49594674441835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500.25828825677058</v>
      </c>
      <c r="DU130" s="62">
        <f t="shared" si="98"/>
        <v>313.56299786481338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0.17418475399721081</v>
      </c>
      <c r="EC130" s="23">
        <f>EXP(-LN(2)/2)*EC129+(1-EXP(-LN(2)/2))/(LN(2)/2)*DW130*DZ130*VLOOKUP('Données projet'!$B$14,Paramètres!$A$1:$I$89,3,0)*0.475*44/12</f>
        <v>6.3130076960350094E-14</v>
      </c>
      <c r="ED130" s="24">
        <f t="shared" si="72"/>
        <v>0.17418475399727396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548.17046467409421</v>
      </c>
      <c r="EP130" s="62">
        <f t="shared" si="100"/>
        <v>341.9250949809848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0.1938507746097993</v>
      </c>
      <c r="EX130" s="23">
        <f>EXP(-LN(2)/2)*EX129+(1-EXP(-LN(2)/2))/(LN(2)/2)*ER130*EU130*VLOOKUP('Données projet'!$B$15,Paramètres!$A$1:$I$89,3,0)*0.475*44/12</f>
        <v>7.0257666294583115E-14</v>
      </c>
      <c r="EY130" s="24">
        <f t="shared" si="75"/>
        <v>0.19385077460986955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472.83070477639035</v>
      </c>
      <c r="T131" s="62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0.60319003031094742</v>
      </c>
      <c r="AB131" s="23">
        <f>EXP(-LN(2)/2)*AB130+(1-EXP(-LN(2)/2))/(LN(2)/2)*V131*Y131*VLOOKUP('Données projet'!$B$9,Paramètres!$A$1:$I$89,3,0)*0.475*44/12</f>
        <v>2.6485080163776433E-14</v>
      </c>
      <c r="AC131" s="24">
        <f t="shared" si="57"/>
        <v>0.60319003031097396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520.80494930257237</v>
      </c>
      <c r="AO131" s="62">
        <f t="shared" si="90"/>
        <v>325.72635759450861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0.67598882707261332</v>
      </c>
      <c r="AW131" s="23">
        <f>EXP(-LN(2)/2)*AW130+(1-EXP(-LN(2)/2))/(LN(2)/2)*AQ131*AT131*VLOOKUP('Données projet'!$B$10,Paramètres!$A$1:$I$89,3,0)*0.475*44/12</f>
        <v>2.9681555355956296E-14</v>
      </c>
      <c r="AX131" s="23">
        <f t="shared" si="60"/>
        <v>0.67598882707264296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6.3550942286383367E-14</v>
      </c>
      <c r="BF131" s="14">
        <f t="shared" si="91"/>
        <v>1.0064464192543978E-12</v>
      </c>
      <c r="BG131" s="22">
        <f t="shared" si="61"/>
        <v>1.8635787380168604E-12</v>
      </c>
      <c r="BH131" s="62">
        <f t="shared" si="62"/>
        <v>283.57463709857041</v>
      </c>
      <c r="BI131" s="62">
        <f ca="1">AVERAGE(OFFSET($BH$3,0,0,'Données projet'!$E$11+1,1))-AVERAGE(OFFSET($H$3,0,0,'Données projet'!$E$11+1,1))</f>
        <v>321.60602866722138</v>
      </c>
      <c r="BJ131" s="62">
        <f t="shared" si="92"/>
        <v>375.18886653687389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1.8387103310633162</v>
      </c>
      <c r="BQ131" s="23">
        <f>EXP(-LN(2)/25)*BQ130+(1-EXP(-LN(2)/25))/(LN(2)/25)*Calculateur!BL131*Calculateur!BN131*VLOOKUP('Données projet'!$B$11,Paramètres!$A$1:$I$89,3,0)*0.475*44/12</f>
        <v>1.0551742510342492</v>
      </c>
      <c r="BR131" s="23">
        <f>EXP(-LN(2)/2)*BR130+(1-EXP(-LN(2)/2))/(LN(2)/2)*BL131*BO131*VLOOKUP('Données projet'!$B$11,Paramètres!$A$1:$I$89,3,0)*0.475*44/12</f>
        <v>1.3006358842714106E-14</v>
      </c>
      <c r="BS131" s="24">
        <f t="shared" si="63"/>
        <v>2.8938845820975785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2.8421709430404007E-14</v>
      </c>
      <c r="BZ131" s="14">
        <f>BY131*VLOOKUP('Données projet'!$B$12,Paramètres!$A$1:$I$89,3,0)*VLOOKUP('Données projet'!$B$12,Paramètres!$A$1:$I$89,5,0)</f>
        <v>1.5518253349000589E-14</v>
      </c>
      <c r="CA131" s="14">
        <f t="shared" si="93"/>
        <v>2.8958815659671149E-13</v>
      </c>
      <c r="CB131" s="22">
        <f t="shared" si="64"/>
        <v>5.3139366398878183E-13</v>
      </c>
      <c r="CC131" s="62">
        <f t="shared" si="65"/>
        <v>283.57463709856904</v>
      </c>
      <c r="CD131" s="62">
        <f ca="1">AVERAGE(OFFSET($CC$3,0,0,'Données projet'!$E$12+1,1))-AVERAGE(OFFSET($H$3,0,0,'Données projet'!$E$12+1,1))</f>
        <v>182.44246264133781</v>
      </c>
      <c r="CE131" s="62">
        <f t="shared" si="94"/>
        <v>262.5818213397049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0.61872531105773887</v>
      </c>
      <c r="CL131" s="23">
        <f>EXP(-LN(2)/25)*CL130+(1-EXP(-LN(2)/25))/(LN(2)/25)*Calculateur!CG131*Calculateur!CI131*VLOOKUP('Données projet'!$B$12,Paramètres!$A$1:$I$89,3,0)*0.475*44/12</f>
        <v>1.195705513070362</v>
      </c>
      <c r="CM131" s="23">
        <f>EXP(-LN(2)/2)*CM130+(1-EXP(-LN(2)/2))/(LN(2)/2)*CG131*CJ131*VLOOKUP('Données projet'!$B$12,Paramètres!$A$1:$I$89,3,0)*0.475*44/12</f>
        <v>5.3620201547048109E-18</v>
      </c>
      <c r="CN131" s="24">
        <f t="shared" si="66"/>
        <v>1.8144308241281009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-5.3205440053716299E-14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426.87921482911719</v>
      </c>
      <c r="CZ131" s="62">
        <f t="shared" si="96"/>
        <v>313.49594674441835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500.25828825677058</v>
      </c>
      <c r="DU131" s="62">
        <f t="shared" si="98"/>
        <v>313.56299786481338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0.16942166273917897</v>
      </c>
      <c r="EC131" s="23">
        <f>EXP(-LN(2)/2)*EC130+(1-EXP(-LN(2)/2))/(LN(2)/2)*DW131*DZ131*VLOOKUP('Données projet'!$B$14,Paramètres!$A$1:$I$89,3,0)*0.475*44/12</f>
        <v>4.463970551549218E-14</v>
      </c>
      <c r="ED131" s="24">
        <f t="shared" si="72"/>
        <v>0.1694216627392236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548.17046467409421</v>
      </c>
      <c r="EP131" s="62">
        <f t="shared" si="100"/>
        <v>341.9250949809848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0.18854991498392515</v>
      </c>
      <c r="EX131" s="23">
        <f>EXP(-LN(2)/2)*EX130+(1-EXP(-LN(2)/2))/(LN(2)/2)*ER131*EU131*VLOOKUP('Données projet'!$B$15,Paramètres!$A$1:$I$89,3,0)*0.475*44/12</f>
        <v>4.9679672267241259E-14</v>
      </c>
      <c r="EY131" s="24">
        <f t="shared" si="75"/>
        <v>0.18854991498397483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472.83070477639035</v>
      </c>
      <c r="T132" s="62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0.58669576721170946</v>
      </c>
      <c r="AB132" s="23">
        <f>EXP(-LN(2)/2)*AB131+(1-EXP(-LN(2)/2))/(LN(2)/2)*V132*Y132*VLOOKUP('Données projet'!$B$9,Paramètres!$A$1:$I$89,3,0)*0.475*44/12</f>
        <v>1.8727779784075633E-14</v>
      </c>
      <c r="AC132" s="24">
        <f t="shared" ref="AC132:AC153" si="111">SUM(Z132:AB132)</f>
        <v>0.58669576721172823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520.80494930257237</v>
      </c>
      <c r="AO132" s="62">
        <f t="shared" si="90"/>
        <v>325.72635759450861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0.65750387704760527</v>
      </c>
      <c r="AW132" s="23">
        <f>EXP(-LN(2)/2)*AW131+(1-EXP(-LN(2)/2))/(LN(2)/2)*AQ132*AT132*VLOOKUP('Données projet'!$B$10,Paramètres!$A$1:$I$89,3,0)*0.475*44/12</f>
        <v>2.0988029068360587E-14</v>
      </c>
      <c r="AX132" s="23">
        <f t="shared" ref="AX132:AX153" si="114">SUM(AU132:AW132)</f>
        <v>0.65750387704762625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6.3550942286383367E-14</v>
      </c>
      <c r="BF132" s="14">
        <f t="shared" si="91"/>
        <v>1.0064464192543978E-12</v>
      </c>
      <c r="BG132" s="22">
        <f t="shared" ref="BG132:BG153" si="115">(BE132+BF132)*0.475*44/12</f>
        <v>1.8635787380168604E-12</v>
      </c>
      <c r="BH132" s="62">
        <f t="shared" ref="BH132:BH195" si="116">BG132+(AY132+AZ132)*44/12</f>
        <v>283.74392866106723</v>
      </c>
      <c r="BI132" s="62">
        <f ca="1">AVERAGE(OFFSET($BH$3,0,0,'Données projet'!$E$11+1,1))-AVERAGE(OFFSET($H$3,0,0,'Données projet'!$E$11+1,1))</f>
        <v>321.60602866722138</v>
      </c>
      <c r="BJ132" s="62">
        <f t="shared" si="92"/>
        <v>375.18886653687389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1.8026543429737274</v>
      </c>
      <c r="BQ132" s="23">
        <f>EXP(-LN(2)/25)*BQ131+(1-EXP(-LN(2)/25))/(LN(2)/25)*Calculateur!BL132*Calculateur!BN132*VLOOKUP('Données projet'!$B$11,Paramètres!$A$1:$I$89,3,0)*0.475*44/12</f>
        <v>1.0263204556505154</v>
      </c>
      <c r="BR132" s="23">
        <f>EXP(-LN(2)/2)*BR131+(1-EXP(-LN(2)/2))/(LN(2)/2)*BL132*BO132*VLOOKUP('Données projet'!$B$11,Paramètres!$A$1:$I$89,3,0)*0.475*44/12</f>
        <v>9.1968845362287609E-15</v>
      </c>
      <c r="BS132" s="24">
        <f t="shared" ref="BS132:BS153" si="117">SUM(BP132:BR132)</f>
        <v>2.8289747986242522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2.8421709430404007E-14</v>
      </c>
      <c r="BZ132" s="14">
        <f>BY132*VLOOKUP('Données projet'!$B$12,Paramètres!$A$1:$I$89,3,0)*VLOOKUP('Données projet'!$B$12,Paramètres!$A$1:$I$89,5,0)</f>
        <v>1.5518253349000589E-14</v>
      </c>
      <c r="CA132" s="14">
        <f t="shared" si="93"/>
        <v>2.8958815659671149E-13</v>
      </c>
      <c r="CB132" s="22">
        <f t="shared" ref="CB132:CB153" si="118">(BZ132+CA132)*0.475*44/12</f>
        <v>5.3139366398878183E-13</v>
      </c>
      <c r="CC132" s="62">
        <f t="shared" ref="CC132:CC195" si="119">CB132+(BT132+BU132)*44/12</f>
        <v>283.74392866106587</v>
      </c>
      <c r="CD132" s="62">
        <f ca="1">AVERAGE(OFFSET($CC$3,0,0,'Données projet'!$E$12+1,1))-AVERAGE(OFFSET($H$3,0,0,'Données projet'!$E$12+1,1))</f>
        <v>182.44246264133781</v>
      </c>
      <c r="CE132" s="62">
        <f t="shared" si="94"/>
        <v>262.5818213397049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0.60659248509307262</v>
      </c>
      <c r="CL132" s="23">
        <f>EXP(-LN(2)/25)*CL131+(1-EXP(-LN(2)/25))/(LN(2)/25)*Calculateur!CG132*Calculateur!CI132*VLOOKUP('Données projet'!$B$12,Paramètres!$A$1:$I$89,3,0)*0.475*44/12</f>
        <v>1.1630088829360328</v>
      </c>
      <c r="CM132" s="23">
        <f>EXP(-LN(2)/2)*CM131+(1-EXP(-LN(2)/2))/(LN(2)/2)*CG132*CJ132*VLOOKUP('Données projet'!$B$12,Paramètres!$A$1:$I$89,3,0)*0.475*44/12</f>
        <v>3.7915208122507124E-18</v>
      </c>
      <c r="CN132" s="24">
        <f t="shared" ref="CN132:CN153" si="120">SUM(CK132:CM132)</f>
        <v>1.7696013680291054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-5.3205440053716299E-14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426.87921482911719</v>
      </c>
      <c r="CZ132" s="62">
        <f t="shared" si="96"/>
        <v>313.49594674441835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500.25828825677058</v>
      </c>
      <c r="DU132" s="62">
        <f t="shared" si="98"/>
        <v>313.56299786481338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0.1647888184620781</v>
      </c>
      <c r="EC132" s="23">
        <f>EXP(-LN(2)/2)*EC131+(1-EXP(-LN(2)/2))/(LN(2)/2)*DW132*DZ132*VLOOKUP('Données projet'!$B$14,Paramètres!$A$1:$I$89,3,0)*0.475*44/12</f>
        <v>3.1565038480175047E-14</v>
      </c>
      <c r="ED132" s="24">
        <f t="shared" ref="ED132:ED153" si="126">SUM(EA132:EC132)</f>
        <v>0.16478881846210966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548.17046467409421</v>
      </c>
      <c r="EP132" s="62">
        <f t="shared" si="100"/>
        <v>341.9250949809848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0.18339400764328062</v>
      </c>
      <c r="EX132" s="23">
        <f>EXP(-LN(2)/2)*EX131+(1-EXP(-LN(2)/2))/(LN(2)/2)*ER132*EU132*VLOOKUP('Données projet'!$B$15,Paramètres!$A$1:$I$89,3,0)*0.475*44/12</f>
        <v>3.5128833147291558E-14</v>
      </c>
      <c r="EY132" s="24">
        <f t="shared" ref="EY132:EY153" si="129">SUM(EV132:EX132)</f>
        <v>0.18339400764331576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472.83070477639035</v>
      </c>
      <c r="T133" s="62">
        <f t="shared" ref="T133:T196" si="142">$T$3</f>
        <v>297.32483725004136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0.57065254060431581</v>
      </c>
      <c r="AB133" s="23">
        <f>EXP(-LN(2)/2)*AB132+(1-EXP(-LN(2)/2))/(LN(2)/2)*V133*Y133*VLOOKUP('Données projet'!$B$9,Paramètres!$A$1:$I$89,3,0)*0.475*44/12</f>
        <v>1.3242540081888217E-14</v>
      </c>
      <c r="AC133" s="24">
        <f t="shared" si="111"/>
        <v>0.57065254060432902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520.80494930257237</v>
      </c>
      <c r="AO133" s="62">
        <f t="shared" ref="AO133:AO196" si="144">$AO$3</f>
        <v>325.72635759450861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0.63952439895311231</v>
      </c>
      <c r="AW133" s="23">
        <f>EXP(-LN(2)/2)*AW132+(1-EXP(-LN(2)/2))/(LN(2)/2)*AQ133*AT133*VLOOKUP('Données projet'!$B$10,Paramètres!$A$1:$I$89,3,0)*0.475*44/12</f>
        <v>1.4840777677978148E-14</v>
      </c>
      <c r="AX133" s="23">
        <f t="shared" si="114"/>
        <v>0.63952439895312718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6.3550942286383367E-14</v>
      </c>
      <c r="BF133" s="14">
        <f t="shared" ref="BF133:BF153" si="145">EXP(-1.0587+0.8836*LN(BE133)+0.284)</f>
        <v>1.0064464192543978E-12</v>
      </c>
      <c r="BG133" s="22">
        <f t="shared" si="115"/>
        <v>1.8635787380168604E-12</v>
      </c>
      <c r="BH133" s="62">
        <f t="shared" si="116"/>
        <v>283.91028339343399</v>
      </c>
      <c r="BI133" s="62">
        <f ca="1">AVERAGE(OFFSET($BH$3,0,0,'Données projet'!$E$11+1,1))-AVERAGE(OFFSET($H$3,0,0,'Données projet'!$E$11+1,1))</f>
        <v>321.60602866722138</v>
      </c>
      <c r="BJ133" s="62">
        <f t="shared" ref="BJ133:BJ196" si="146">$BJ$3</f>
        <v>375.18886653687389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1.7673053908185941</v>
      </c>
      <c r="BQ133" s="23">
        <f>EXP(-LN(2)/25)*BQ132+(1-EXP(-LN(2)/25))/(LN(2)/25)*Calculateur!BL133*Calculateur!BN133*VLOOKUP('Données projet'!$B$11,Paramètres!$A$1:$I$89,3,0)*0.475*44/12</f>
        <v>0.99825566881890504</v>
      </c>
      <c r="BR133" s="23">
        <f>EXP(-LN(2)/2)*BR132+(1-EXP(-LN(2)/2))/(LN(2)/2)*BL133*BO133*VLOOKUP('Données projet'!$B$11,Paramètres!$A$1:$I$89,3,0)*0.475*44/12</f>
        <v>6.5031794213570532E-15</v>
      </c>
      <c r="BS133" s="24">
        <f t="shared" si="117"/>
        <v>2.765561059637506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2.8421709430404007E-14</v>
      </c>
      <c r="BZ133" s="14">
        <f>BY133*VLOOKUP('Données projet'!$B$12,Paramètres!$A$1:$I$89,3,0)*VLOOKUP('Données projet'!$B$12,Paramètres!$A$1:$I$89,5,0)</f>
        <v>1.5518253349000589E-14</v>
      </c>
      <c r="CA133" s="14">
        <f t="shared" ref="CA133:CA153" si="147">EXP(-1.0587+0.8836*LN(BZ133)+0.284)</f>
        <v>2.8958815659671149E-13</v>
      </c>
      <c r="CB133" s="22">
        <f t="shared" si="118"/>
        <v>5.3139366398878183E-13</v>
      </c>
      <c r="CC133" s="62">
        <f t="shared" si="119"/>
        <v>283.91028339343262</v>
      </c>
      <c r="CD133" s="62">
        <f ca="1">AVERAGE(OFFSET($CC$3,0,0,'Données projet'!$E$12+1,1))-AVERAGE(OFFSET($H$3,0,0,'Données projet'!$E$12+1,1))</f>
        <v>182.44246264133781</v>
      </c>
      <c r="CE133" s="62">
        <f t="shared" ref="CE133:CE196" si="148">$CE$3</f>
        <v>262.5818213397049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0.59469757644528043</v>
      </c>
      <c r="CL133" s="23">
        <f>EXP(-LN(2)/25)*CL132+(1-EXP(-LN(2)/25))/(LN(2)/25)*Calculateur!CG133*Calculateur!CI133*VLOOKUP('Données projet'!$B$12,Paramètres!$A$1:$I$89,3,0)*0.475*44/12</f>
        <v>1.1312063438721678</v>
      </c>
      <c r="CM133" s="23">
        <f>EXP(-LN(2)/2)*CM132+(1-EXP(-LN(2)/2))/(LN(2)/2)*CG133*CJ133*VLOOKUP('Données projet'!$B$12,Paramètres!$A$1:$I$89,3,0)*0.475*44/12</f>
        <v>2.6810100773524054E-18</v>
      </c>
      <c r="CN133" s="24">
        <f t="shared" si="120"/>
        <v>1.7259039203174482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-5.3205440053716299E-14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426.87921482911719</v>
      </c>
      <c r="CZ133" s="62">
        <f t="shared" ref="CZ133:CZ196" si="150">$CZ$3</f>
        <v>313.49594674441835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500.25828825677058</v>
      </c>
      <c r="DU133" s="62">
        <f t="shared" ref="DU133:DU196" si="152">$DU$3</f>
        <v>313.56299786481338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0.16028265955536525</v>
      </c>
      <c r="EC133" s="23">
        <f>EXP(-LN(2)/2)*EC132+(1-EXP(-LN(2)/2))/(LN(2)/2)*DW133*DZ133*VLOOKUP('Données projet'!$B$14,Paramètres!$A$1:$I$89,3,0)*0.475*44/12</f>
        <v>2.231985275774609E-14</v>
      </c>
      <c r="ED133" s="24">
        <f t="shared" si="126"/>
        <v>0.16028265955538756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548.17046467409421</v>
      </c>
      <c r="EP133" s="62">
        <f t="shared" ref="EP133:EP196" si="154">$EP$3</f>
        <v>341.9250949809848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0.17837908886000339</v>
      </c>
      <c r="EX133" s="23">
        <f>EXP(-LN(2)/2)*EX132+(1-EXP(-LN(2)/2))/(LN(2)/2)*ER133*EU133*VLOOKUP('Données projet'!$B$15,Paramètres!$A$1:$I$89,3,0)*0.475*44/12</f>
        <v>2.4839836133620629E-14</v>
      </c>
      <c r="EY133" s="24">
        <f t="shared" si="129"/>
        <v>0.17837908886002823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472.83070477639035</v>
      </c>
      <c r="T134" s="62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0.55504801687217797</v>
      </c>
      <c r="AB134" s="23">
        <f>EXP(-LN(2)/2)*AB133+(1-EXP(-LN(2)/2))/(LN(2)/2)*V134*Y134*VLOOKUP('Données projet'!$B$9,Paramètres!$A$1:$I$89,3,0)*0.475*44/12</f>
        <v>9.3638898920378163E-15</v>
      </c>
      <c r="AC134" s="24">
        <f t="shared" si="111"/>
        <v>0.5550480168721873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520.80494930257237</v>
      </c>
      <c r="AO134" s="62">
        <f t="shared" si="144"/>
        <v>325.72635759450861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0.62203657063261297</v>
      </c>
      <c r="AW134" s="23">
        <f>EXP(-LN(2)/2)*AW133+(1-EXP(-LN(2)/2))/(LN(2)/2)*AQ134*AT134*VLOOKUP('Données projet'!$B$10,Paramètres!$A$1:$I$89,3,0)*0.475*44/12</f>
        <v>1.0494014534180293E-14</v>
      </c>
      <c r="AX134" s="23">
        <f t="shared" si="114"/>
        <v>0.62203657063262352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6.3550942286383367E-14</v>
      </c>
      <c r="BF134" s="14">
        <f t="shared" si="145"/>
        <v>1.0064464192543978E-12</v>
      </c>
      <c r="BG134" s="22">
        <f t="shared" si="115"/>
        <v>1.8635787380168604E-12</v>
      </c>
      <c r="BH134" s="62">
        <f t="shared" si="116"/>
        <v>284.07375224310761</v>
      </c>
      <c r="BI134" s="62">
        <f ca="1">AVERAGE(OFFSET($BH$3,0,0,'Données projet'!$E$11+1,1))-AVERAGE(OFFSET($H$3,0,0,'Données projet'!$E$11+1,1))</f>
        <v>321.60602866722138</v>
      </c>
      <c r="BJ134" s="62">
        <f t="shared" si="146"/>
        <v>375.18886653687389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1.732649610054491</v>
      </c>
      <c r="BQ134" s="23">
        <f>EXP(-LN(2)/25)*BQ133+(1-EXP(-LN(2)/25))/(LN(2)/25)*Calculateur!BL134*Calculateur!BN134*VLOOKUP('Données projet'!$B$11,Paramètres!$A$1:$I$89,3,0)*0.475*44/12</f>
        <v>0.97095831505906804</v>
      </c>
      <c r="BR134" s="23">
        <f>EXP(-LN(2)/2)*BR133+(1-EXP(-LN(2)/2))/(LN(2)/2)*BL134*BO134*VLOOKUP('Données projet'!$B$11,Paramètres!$A$1:$I$89,3,0)*0.475*44/12</f>
        <v>4.5984422681143805E-15</v>
      </c>
      <c r="BS134" s="24">
        <f t="shared" si="117"/>
        <v>2.7036079251135634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2.8421709430404007E-14</v>
      </c>
      <c r="BZ134" s="14">
        <f>BY134*VLOOKUP('Données projet'!$B$12,Paramètres!$A$1:$I$89,3,0)*VLOOKUP('Données projet'!$B$12,Paramètres!$A$1:$I$89,5,0)</f>
        <v>1.5518253349000589E-14</v>
      </c>
      <c r="CA134" s="14">
        <f t="shared" si="147"/>
        <v>2.8958815659671149E-13</v>
      </c>
      <c r="CB134" s="22">
        <f t="shared" si="118"/>
        <v>5.3139366398878183E-13</v>
      </c>
      <c r="CC134" s="62">
        <f t="shared" si="119"/>
        <v>284.07375224310624</v>
      </c>
      <c r="CD134" s="62">
        <f ca="1">AVERAGE(OFFSET($CC$3,0,0,'Données projet'!$E$12+1,1))-AVERAGE(OFFSET($H$3,0,0,'Données projet'!$E$12+1,1))</f>
        <v>182.44246264133781</v>
      </c>
      <c r="CE134" s="62">
        <f t="shared" si="148"/>
        <v>262.5818213397049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0.58303591970089352</v>
      </c>
      <c r="CL134" s="23">
        <f>EXP(-LN(2)/25)*CL133+(1-EXP(-LN(2)/25))/(LN(2)/25)*Calculateur!CG134*Calculateur!CI134*VLOOKUP('Données projet'!$B$12,Paramètres!$A$1:$I$89,3,0)*0.475*44/12</f>
        <v>1.100273446911427</v>
      </c>
      <c r="CM134" s="23">
        <f>EXP(-LN(2)/2)*CM133+(1-EXP(-LN(2)/2))/(LN(2)/2)*CG134*CJ134*VLOOKUP('Données projet'!$B$12,Paramètres!$A$1:$I$89,3,0)*0.475*44/12</f>
        <v>1.8957604061253562E-18</v>
      </c>
      <c r="CN134" s="24">
        <f t="shared" si="120"/>
        <v>1.6833093666123204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-5.3205440053716299E-14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426.87921482911719</v>
      </c>
      <c r="CZ134" s="62">
        <f t="shared" si="150"/>
        <v>313.49594674441835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500.25828825677058</v>
      </c>
      <c r="DU134" s="62">
        <f t="shared" si="152"/>
        <v>313.56299786481338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0.15589972180092504</v>
      </c>
      <c r="EC134" s="23">
        <f>EXP(-LN(2)/2)*EC133+(1-EXP(-LN(2)/2))/(LN(2)/2)*DW134*DZ134*VLOOKUP('Données projet'!$B$14,Paramètres!$A$1:$I$89,3,0)*0.475*44/12</f>
        <v>1.5782519240087523E-14</v>
      </c>
      <c r="ED134" s="24">
        <f t="shared" si="126"/>
        <v>0.15589972180094083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548.17046467409421</v>
      </c>
      <c r="EP134" s="62">
        <f t="shared" si="154"/>
        <v>341.9250949809848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0.173501303294578</v>
      </c>
      <c r="EX134" s="23">
        <f>EXP(-LN(2)/2)*EX133+(1-EXP(-LN(2)/2))/(LN(2)/2)*ER134*EU134*VLOOKUP('Données projet'!$B$15,Paramètres!$A$1:$I$89,3,0)*0.475*44/12</f>
        <v>1.7564416573645779E-14</v>
      </c>
      <c r="EY134" s="24">
        <f t="shared" si="129"/>
        <v>0.17350130329459557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472.83070477639035</v>
      </c>
      <c r="T135" s="62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0.53987019966210159</v>
      </c>
      <c r="AB135" s="23">
        <f>EXP(-LN(2)/2)*AB134+(1-EXP(-LN(2)/2))/(LN(2)/2)*V135*Y135*VLOOKUP('Données projet'!$B$9,Paramètres!$A$1:$I$89,3,0)*0.475*44/12</f>
        <v>6.6212700409441083E-15</v>
      </c>
      <c r="AC135" s="24">
        <f t="shared" si="111"/>
        <v>0.53987019966210825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520.80494930257237</v>
      </c>
      <c r="AO135" s="62">
        <f t="shared" si="144"/>
        <v>325.72635759450861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0.60502694789718259</v>
      </c>
      <c r="AW135" s="23">
        <f>EXP(-LN(2)/2)*AW134+(1-EXP(-LN(2)/2))/(LN(2)/2)*AQ135*AT135*VLOOKUP('Données projet'!$B$10,Paramètres!$A$1:$I$89,3,0)*0.475*44/12</f>
        <v>7.420388838989074E-15</v>
      </c>
      <c r="AX135" s="23">
        <f t="shared" si="114"/>
        <v>0.60502694789719003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6.3550942286383367E-14</v>
      </c>
      <c r="BF135" s="14">
        <f t="shared" si="145"/>
        <v>1.0064464192543978E-12</v>
      </c>
      <c r="BG135" s="22">
        <f t="shared" si="115"/>
        <v>1.8635787380168604E-12</v>
      </c>
      <c r="BH135" s="62">
        <f t="shared" si="116"/>
        <v>284.23438527370104</v>
      </c>
      <c r="BI135" s="62">
        <f ca="1">AVERAGE(OFFSET($BH$3,0,0,'Données projet'!$E$11+1,1))-AVERAGE(OFFSET($H$3,0,0,'Données projet'!$E$11+1,1))</f>
        <v>321.60602866722138</v>
      </c>
      <c r="BJ135" s="62">
        <f t="shared" si="146"/>
        <v>375.18886653687389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1.6986734080132331</v>
      </c>
      <c r="BQ135" s="23">
        <f>EXP(-LN(2)/25)*BQ134+(1-EXP(-LN(2)/25))/(LN(2)/25)*Calculateur!BL135*Calculateur!BN135*VLOOKUP('Données projet'!$B$11,Paramètres!$A$1:$I$89,3,0)*0.475*44/12</f>
        <v>0.94440740887329921</v>
      </c>
      <c r="BR135" s="23">
        <f>EXP(-LN(2)/2)*BR134+(1-EXP(-LN(2)/2))/(LN(2)/2)*BL135*BO135*VLOOKUP('Données projet'!$B$11,Paramètres!$A$1:$I$89,3,0)*0.475*44/12</f>
        <v>3.2515897106785266E-15</v>
      </c>
      <c r="BS135" s="24">
        <f t="shared" si="117"/>
        <v>2.6430808168865352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2.8421709430404007E-14</v>
      </c>
      <c r="BZ135" s="14">
        <f>BY135*VLOOKUP('Données projet'!$B$12,Paramètres!$A$1:$I$89,3,0)*VLOOKUP('Données projet'!$B$12,Paramètres!$A$1:$I$89,5,0)</f>
        <v>1.5518253349000589E-14</v>
      </c>
      <c r="CA135" s="14">
        <f t="shared" si="147"/>
        <v>2.8958815659671149E-13</v>
      </c>
      <c r="CB135" s="22">
        <f t="shared" si="118"/>
        <v>5.3139366398878183E-13</v>
      </c>
      <c r="CC135" s="62">
        <f t="shared" si="119"/>
        <v>284.23438527369967</v>
      </c>
      <c r="CD135" s="62">
        <f ca="1">AVERAGE(OFFSET($CC$3,0,0,'Données projet'!$E$12+1,1))-AVERAGE(OFFSET($H$3,0,0,'Données projet'!$E$12+1,1))</f>
        <v>182.44246264133781</v>
      </c>
      <c r="CE135" s="62">
        <f t="shared" si="148"/>
        <v>262.5818213397049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0.57160294093235575</v>
      </c>
      <c r="CL135" s="23">
        <f>EXP(-LN(2)/25)*CL134+(1-EXP(-LN(2)/25))/(LN(2)/25)*Calculateur!CG135*Calculateur!CI135*VLOOKUP('Données projet'!$B$12,Paramètres!$A$1:$I$89,3,0)*0.475*44/12</f>
        <v>1.0701864116447681</v>
      </c>
      <c r="CM135" s="23">
        <f>EXP(-LN(2)/2)*CM134+(1-EXP(-LN(2)/2))/(LN(2)/2)*CG135*CJ135*VLOOKUP('Données projet'!$B$12,Paramètres!$A$1:$I$89,3,0)*0.475*44/12</f>
        <v>1.3405050386762027E-18</v>
      </c>
      <c r="CN135" s="24">
        <f t="shared" si="120"/>
        <v>1.6417893525771239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-5.3205440053716299E-14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426.87921482911719</v>
      </c>
      <c r="CZ135" s="62">
        <f t="shared" si="150"/>
        <v>313.49594674441835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500.25828825677058</v>
      </c>
      <c r="DU135" s="62">
        <f t="shared" si="152"/>
        <v>313.56299786481338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0.15163663570986868</v>
      </c>
      <c r="EC135" s="23">
        <f>EXP(-LN(2)/2)*EC134+(1-EXP(-LN(2)/2))/(LN(2)/2)*DW135*DZ135*VLOOKUP('Données projet'!$B$14,Paramètres!$A$1:$I$89,3,0)*0.475*44/12</f>
        <v>1.1159926378873045E-14</v>
      </c>
      <c r="ED135" s="24">
        <f t="shared" si="126"/>
        <v>0.15163663570987984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548.17046467409421</v>
      </c>
      <c r="EP135" s="62">
        <f t="shared" si="154"/>
        <v>341.9250949809848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0.16875690103195076</v>
      </c>
      <c r="EX135" s="23">
        <f>EXP(-LN(2)/2)*EX134+(1-EXP(-LN(2)/2))/(LN(2)/2)*ER135*EU135*VLOOKUP('Données projet'!$B$15,Paramètres!$A$1:$I$89,3,0)*0.475*44/12</f>
        <v>1.2419918066810315E-14</v>
      </c>
      <c r="EY135" s="24">
        <f t="shared" si="129"/>
        <v>0.16875690103196317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472.83070477639035</v>
      </c>
      <c r="T136" s="62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0.52510742066180149</v>
      </c>
      <c r="AB136" s="23">
        <f>EXP(-LN(2)/2)*AB135+(1-EXP(-LN(2)/2))/(LN(2)/2)*V136*Y136*VLOOKUP('Données projet'!$B$9,Paramètres!$A$1:$I$89,3,0)*0.475*44/12</f>
        <v>4.6819449460189081E-15</v>
      </c>
      <c r="AC136" s="24">
        <f t="shared" si="111"/>
        <v>0.52510742066180616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520.80494930257237</v>
      </c>
      <c r="AO136" s="62">
        <f t="shared" si="144"/>
        <v>325.72635759450861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0.58848245418994971</v>
      </c>
      <c r="AW136" s="23">
        <f>EXP(-LN(2)/2)*AW135+(1-EXP(-LN(2)/2))/(LN(2)/2)*AQ136*AT136*VLOOKUP('Données projet'!$B$10,Paramètres!$A$1:$I$89,3,0)*0.475*44/12</f>
        <v>5.2470072670901467E-15</v>
      </c>
      <c r="AX136" s="23">
        <f t="shared" si="114"/>
        <v>0.58848245418995493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6.3550942286383367E-14</v>
      </c>
      <c r="BF136" s="14">
        <f t="shared" si="145"/>
        <v>1.0064464192543978E-12</v>
      </c>
      <c r="BG136" s="22">
        <f t="shared" si="115"/>
        <v>1.8635787380168604E-12</v>
      </c>
      <c r="BH136" s="62">
        <f t="shared" si="116"/>
        <v>284.39223168033527</v>
      </c>
      <c r="BI136" s="62">
        <f ca="1">AVERAGE(OFFSET($BH$3,0,0,'Données projet'!$E$11+1,1))-AVERAGE(OFFSET($H$3,0,0,'Données projet'!$E$11+1,1))</f>
        <v>321.60602866722138</v>
      </c>
      <c r="BJ136" s="62">
        <f t="shared" si="146"/>
        <v>375.18886653687389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1.6653634585705672</v>
      </c>
      <c r="BQ136" s="23">
        <f>EXP(-LN(2)/25)*BQ135+(1-EXP(-LN(2)/25))/(LN(2)/25)*Calculateur!BL136*Calculateur!BN136*VLOOKUP('Données projet'!$B$11,Paramètres!$A$1:$I$89,3,0)*0.475*44/12</f>
        <v>0.91858253861343164</v>
      </c>
      <c r="BR136" s="23">
        <f>EXP(-LN(2)/2)*BR135+(1-EXP(-LN(2)/2))/(LN(2)/2)*BL136*BO136*VLOOKUP('Données projet'!$B$11,Paramètres!$A$1:$I$89,3,0)*0.475*44/12</f>
        <v>2.2992211340571902E-15</v>
      </c>
      <c r="BS136" s="24">
        <f t="shared" si="117"/>
        <v>2.5839459971840011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2.8421709430404007E-14</v>
      </c>
      <c r="BZ136" s="14">
        <f>BY136*VLOOKUP('Données projet'!$B$12,Paramètres!$A$1:$I$89,3,0)*VLOOKUP('Données projet'!$B$12,Paramètres!$A$1:$I$89,5,0)</f>
        <v>1.5518253349000589E-14</v>
      </c>
      <c r="CA136" s="14">
        <f t="shared" si="147"/>
        <v>2.8958815659671149E-13</v>
      </c>
      <c r="CB136" s="22">
        <f t="shared" si="118"/>
        <v>5.3139366398878183E-13</v>
      </c>
      <c r="CC136" s="62">
        <f t="shared" si="119"/>
        <v>284.39223168033391</v>
      </c>
      <c r="CD136" s="62">
        <f ca="1">AVERAGE(OFFSET($CC$3,0,0,'Données projet'!$E$12+1,1))-AVERAGE(OFFSET($H$3,0,0,'Données projet'!$E$12+1,1))</f>
        <v>182.44246264133781</v>
      </c>
      <c r="CE136" s="62">
        <f t="shared" si="148"/>
        <v>262.5818213397049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0.56039415590404051</v>
      </c>
      <c r="CL136" s="23">
        <f>EXP(-LN(2)/25)*CL135+(1-EXP(-LN(2)/25))/(LN(2)/25)*Calculateur!CG136*Calculateur!CI136*VLOOKUP('Données projet'!$B$12,Paramètres!$A$1:$I$89,3,0)*0.475*44/12</f>
        <v>1.0409221079396844</v>
      </c>
      <c r="CM136" s="23">
        <f>EXP(-LN(2)/2)*CM135+(1-EXP(-LN(2)/2))/(LN(2)/2)*CG136*CJ136*VLOOKUP('Données projet'!$B$12,Paramètres!$A$1:$I$89,3,0)*0.475*44/12</f>
        <v>9.478802030626781E-19</v>
      </c>
      <c r="CN136" s="24">
        <f t="shared" si="120"/>
        <v>1.6013162638437248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-5.3205440053716299E-14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426.87921482911719</v>
      </c>
      <c r="CZ136" s="62">
        <f t="shared" si="150"/>
        <v>313.49594674441835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500.25828825677058</v>
      </c>
      <c r="DU136" s="62">
        <f t="shared" si="152"/>
        <v>313.56299786481338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0.14749012393215821</v>
      </c>
      <c r="EC136" s="23">
        <f>EXP(-LN(2)/2)*EC135+(1-EXP(-LN(2)/2))/(LN(2)/2)*DW136*DZ136*VLOOKUP('Données projet'!$B$14,Paramètres!$A$1:$I$89,3,0)*0.475*44/12</f>
        <v>7.8912596200437617E-15</v>
      </c>
      <c r="ED136" s="24">
        <f t="shared" si="126"/>
        <v>0.1474901239321661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548.17046467409421</v>
      </c>
      <c r="EP136" s="62">
        <f t="shared" si="154"/>
        <v>341.9250949809848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0.16414223469869235</v>
      </c>
      <c r="EX136" s="23">
        <f>EXP(-LN(2)/2)*EX135+(1-EXP(-LN(2)/2))/(LN(2)/2)*ER136*EU136*VLOOKUP('Données projet'!$B$15,Paramètres!$A$1:$I$89,3,0)*0.475*44/12</f>
        <v>8.7822082868228894E-15</v>
      </c>
      <c r="EY136" s="24">
        <f t="shared" si="129"/>
        <v>0.16414223469870112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472.83070477639035</v>
      </c>
      <c r="T137" s="62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0.51074833062960545</v>
      </c>
      <c r="AB137" s="23">
        <f>EXP(-LN(2)/2)*AB136+(1-EXP(-LN(2)/2))/(LN(2)/2)*V137*Y137*VLOOKUP('Données projet'!$B$9,Paramètres!$A$1:$I$89,3,0)*0.475*44/12</f>
        <v>3.3106350204720542E-15</v>
      </c>
      <c r="AC137" s="24">
        <f t="shared" si="111"/>
        <v>0.51074833062960878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520.80494930257237</v>
      </c>
      <c r="AO137" s="62">
        <f t="shared" si="144"/>
        <v>325.72635759450861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0.57239037053317832</v>
      </c>
      <c r="AW137" s="23">
        <f>EXP(-LN(2)/2)*AW136+(1-EXP(-LN(2)/2))/(LN(2)/2)*AQ137*AT137*VLOOKUP('Données projet'!$B$10,Paramètres!$A$1:$I$89,3,0)*0.475*44/12</f>
        <v>3.710194419494537E-15</v>
      </c>
      <c r="AX137" s="23">
        <f t="shared" si="114"/>
        <v>0.57239037053318198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6.3550942286383367E-14</v>
      </c>
      <c r="BF137" s="14">
        <f t="shared" si="145"/>
        <v>1.0064464192543978E-12</v>
      </c>
      <c r="BG137" s="22">
        <f t="shared" si="115"/>
        <v>1.8635787380168604E-12</v>
      </c>
      <c r="BH137" s="62">
        <f t="shared" si="116"/>
        <v>284.54733980470616</v>
      </c>
      <c r="BI137" s="62">
        <f ca="1">AVERAGE(OFFSET($BH$3,0,0,'Données projet'!$E$11+1,1))-AVERAGE(OFFSET($H$3,0,0,'Données projet'!$E$11+1,1))</f>
        <v>321.60602866722138</v>
      </c>
      <c r="BJ137" s="62">
        <f t="shared" si="146"/>
        <v>375.18886653687389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1.6327066969194091</v>
      </c>
      <c r="BQ137" s="23">
        <f>EXP(-LN(2)/25)*BQ136+(1-EXP(-LN(2)/25))/(LN(2)/25)*Calculateur!BL137*Calculateur!BN137*VLOOKUP('Données projet'!$B$11,Paramètres!$A$1:$I$89,3,0)*0.475*44/12</f>
        <v>0.89346385078889112</v>
      </c>
      <c r="BR137" s="23">
        <f>EXP(-LN(2)/2)*BR136+(1-EXP(-LN(2)/2))/(LN(2)/2)*BL137*BO137*VLOOKUP('Données projet'!$B$11,Paramètres!$A$1:$I$89,3,0)*0.475*44/12</f>
        <v>1.6257948553392633E-15</v>
      </c>
      <c r="BS137" s="24">
        <f t="shared" si="117"/>
        <v>2.5261705477083019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2.8421709430404007E-14</v>
      </c>
      <c r="BZ137" s="14">
        <f>BY137*VLOOKUP('Données projet'!$B$12,Paramètres!$A$1:$I$89,3,0)*VLOOKUP('Données projet'!$B$12,Paramètres!$A$1:$I$89,5,0)</f>
        <v>1.5518253349000589E-14</v>
      </c>
      <c r="CA137" s="14">
        <f t="shared" si="147"/>
        <v>2.8958815659671149E-13</v>
      </c>
      <c r="CB137" s="22">
        <f t="shared" si="118"/>
        <v>5.3139366398878183E-13</v>
      </c>
      <c r="CC137" s="62">
        <f t="shared" si="119"/>
        <v>284.54733980470479</v>
      </c>
      <c r="CD137" s="62">
        <f ca="1">AVERAGE(OFFSET($CC$3,0,0,'Données projet'!$E$12+1,1))-AVERAGE(OFFSET($H$3,0,0,'Données projet'!$E$12+1,1))</f>
        <v>182.44246264133781</v>
      </c>
      <c r="CE137" s="62">
        <f t="shared" si="148"/>
        <v>262.5818213397049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0.54940516831344677</v>
      </c>
      <c r="CL137" s="23">
        <f>EXP(-LN(2)/25)*CL136+(1-EXP(-LN(2)/25))/(LN(2)/25)*Calculateur!CG137*Calculateur!CI137*VLOOKUP('Données projet'!$B$12,Paramètres!$A$1:$I$89,3,0)*0.475*44/12</f>
        <v>1.0124580381583592</v>
      </c>
      <c r="CM137" s="23">
        <f>EXP(-LN(2)/2)*CM136+(1-EXP(-LN(2)/2))/(LN(2)/2)*CG137*CJ137*VLOOKUP('Données projet'!$B$12,Paramètres!$A$1:$I$89,3,0)*0.475*44/12</f>
        <v>6.7025251933810136E-19</v>
      </c>
      <c r="CN137" s="24">
        <f t="shared" si="120"/>
        <v>1.5618632064718061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-5.3205440053716299E-14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426.87921482911719</v>
      </c>
      <c r="CZ137" s="62">
        <f t="shared" si="150"/>
        <v>313.49594674441835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500.25828825677058</v>
      </c>
      <c r="DU137" s="62">
        <f t="shared" si="152"/>
        <v>313.56299786481338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0.14345699873706483</v>
      </c>
      <c r="EC137" s="23">
        <f>EXP(-LN(2)/2)*EC136+(1-EXP(-LN(2)/2))/(LN(2)/2)*DW137*DZ137*VLOOKUP('Données projet'!$B$14,Paramètres!$A$1:$I$89,3,0)*0.475*44/12</f>
        <v>5.5799631894365224E-15</v>
      </c>
      <c r="ED137" s="24">
        <f t="shared" si="126"/>
        <v>0.14345699873707041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548.17046467409421</v>
      </c>
      <c r="EP137" s="62">
        <f t="shared" si="154"/>
        <v>341.9250949809848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0.15965375665899165</v>
      </c>
      <c r="EX137" s="23">
        <f>EXP(-LN(2)/2)*EX136+(1-EXP(-LN(2)/2))/(LN(2)/2)*ER137*EU137*VLOOKUP('Données projet'!$B$15,Paramètres!$A$1:$I$89,3,0)*0.475*44/12</f>
        <v>6.2099590334051574E-15</v>
      </c>
      <c r="EY137" s="24">
        <f t="shared" si="129"/>
        <v>0.15965375665899786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472.83070477639035</v>
      </c>
      <c r="T138" s="62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0.4967818906694515</v>
      </c>
      <c r="AB138" s="23">
        <f>EXP(-LN(2)/2)*AB137+(1-EXP(-LN(2)/2))/(LN(2)/2)*V138*Y138*VLOOKUP('Données projet'!$B$9,Paramètres!$A$1:$I$89,3,0)*0.475*44/12</f>
        <v>2.3409724730094541E-15</v>
      </c>
      <c r="AC138" s="24">
        <f t="shared" si="111"/>
        <v>0.49678189066945383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520.80494930257237</v>
      </c>
      <c r="AO138" s="62">
        <f t="shared" si="144"/>
        <v>325.72635759450861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0.55673832575024718</v>
      </c>
      <c r="AW138" s="23">
        <f>EXP(-LN(2)/2)*AW137+(1-EXP(-LN(2)/2))/(LN(2)/2)*AQ138*AT138*VLOOKUP('Données projet'!$B$10,Paramètres!$A$1:$I$89,3,0)*0.475*44/12</f>
        <v>2.6235036335450733E-15</v>
      </c>
      <c r="AX138" s="23">
        <f t="shared" si="114"/>
        <v>0.55673832575024984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6.3550942286383367E-14</v>
      </c>
      <c r="BF138" s="14">
        <f t="shared" si="145"/>
        <v>1.0064464192543978E-12</v>
      </c>
      <c r="BG138" s="22">
        <f t="shared" si="115"/>
        <v>1.8635787380168604E-12</v>
      </c>
      <c r="BH138" s="62">
        <f t="shared" si="116"/>
        <v>284.69975714988902</v>
      </c>
      <c r="BI138" s="62">
        <f ca="1">AVERAGE(OFFSET($BH$3,0,0,'Données projet'!$E$11+1,1))-AVERAGE(OFFSET($H$3,0,0,'Données projet'!$E$11+1,1))</f>
        <v>321.60602866722138</v>
      </c>
      <c r="BJ138" s="62">
        <f t="shared" si="146"/>
        <v>375.18886653687389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1.6006903144455722</v>
      </c>
      <c r="BQ138" s="23">
        <f>EXP(-LN(2)/25)*BQ137+(1-EXP(-LN(2)/25))/(LN(2)/25)*Calculateur!BL138*Calculateur!BN138*VLOOKUP('Données projet'!$B$11,Paramètres!$A$1:$I$89,3,0)*0.475*44/12</f>
        <v>0.86903203480384705</v>
      </c>
      <c r="BR138" s="23">
        <f>EXP(-LN(2)/2)*BR137+(1-EXP(-LN(2)/2))/(LN(2)/2)*BL138*BO138*VLOOKUP('Données projet'!$B$11,Paramètres!$A$1:$I$89,3,0)*0.475*44/12</f>
        <v>1.1496105670285951E-15</v>
      </c>
      <c r="BS138" s="24">
        <f t="shared" si="117"/>
        <v>2.4697223492494205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2.8421709430404007E-14</v>
      </c>
      <c r="BZ138" s="14">
        <f>BY138*VLOOKUP('Données projet'!$B$12,Paramètres!$A$1:$I$89,3,0)*VLOOKUP('Données projet'!$B$12,Paramètres!$A$1:$I$89,5,0)</f>
        <v>1.5518253349000589E-14</v>
      </c>
      <c r="CA138" s="14">
        <f t="shared" si="147"/>
        <v>2.8958815659671149E-13</v>
      </c>
      <c r="CB138" s="22">
        <f t="shared" si="118"/>
        <v>5.3139366398878183E-13</v>
      </c>
      <c r="CC138" s="62">
        <f t="shared" si="119"/>
        <v>284.69975714988766</v>
      </c>
      <c r="CD138" s="62">
        <f ca="1">AVERAGE(OFFSET($CC$3,0,0,'Données projet'!$E$12+1,1))-AVERAGE(OFFSET($H$3,0,0,'Données projet'!$E$12+1,1))</f>
        <v>182.44246264133781</v>
      </c>
      <c r="CE138" s="62">
        <f t="shared" si="148"/>
        <v>262.5818213397049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0.53863166806688401</v>
      </c>
      <c r="CL138" s="23">
        <f>EXP(-LN(2)/25)*CL137+(1-EXP(-LN(2)/25))/(LN(2)/25)*Calculateur!CG138*Calculateur!CI138*VLOOKUP('Données projet'!$B$12,Paramètres!$A$1:$I$89,3,0)*0.475*44/12</f>
        <v>0.9847723198620647</v>
      </c>
      <c r="CM138" s="23">
        <f>EXP(-LN(2)/2)*CM137+(1-EXP(-LN(2)/2))/(LN(2)/2)*CG138*CJ138*VLOOKUP('Données projet'!$B$12,Paramètres!$A$1:$I$89,3,0)*0.475*44/12</f>
        <v>4.7394010153133905E-19</v>
      </c>
      <c r="CN138" s="24">
        <f t="shared" si="120"/>
        <v>1.5234039879289487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-5.3205440053716299E-14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426.87921482911719</v>
      </c>
      <c r="CZ138" s="62">
        <f t="shared" si="150"/>
        <v>313.49594674441835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500.25828825677058</v>
      </c>
      <c r="DU138" s="62">
        <f t="shared" si="152"/>
        <v>313.56299786481338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0.1395341595625241</v>
      </c>
      <c r="EC138" s="23">
        <f>EXP(-LN(2)/2)*EC137+(1-EXP(-LN(2)/2))/(LN(2)/2)*DW138*DZ138*VLOOKUP('Données projet'!$B$14,Paramètres!$A$1:$I$89,3,0)*0.475*44/12</f>
        <v>3.9456298100218808E-15</v>
      </c>
      <c r="ED138" s="24">
        <f t="shared" si="126"/>
        <v>0.13953415956252804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548.17046467409421</v>
      </c>
      <c r="EP138" s="62">
        <f t="shared" si="154"/>
        <v>341.9250949809848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0.15528801628732536</v>
      </c>
      <c r="EX138" s="23">
        <f>EXP(-LN(2)/2)*EX137+(1-EXP(-LN(2)/2))/(LN(2)/2)*ER138*EU138*VLOOKUP('Données projet'!$B$15,Paramètres!$A$1:$I$89,3,0)*0.475*44/12</f>
        <v>4.3911041434114447E-15</v>
      </c>
      <c r="EY138" s="24">
        <f t="shared" si="129"/>
        <v>0.15528801628732974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472.83070477639035</v>
      </c>
      <c r="T139" s="62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0.48319736374447114</v>
      </c>
      <c r="AB139" s="23">
        <f>EXP(-LN(2)/2)*AB138+(1-EXP(-LN(2)/2))/(LN(2)/2)*V139*Y139*VLOOKUP('Données projet'!$B$9,Paramètres!$A$1:$I$89,3,0)*0.475*44/12</f>
        <v>1.6553175102360271E-15</v>
      </c>
      <c r="AC139" s="24">
        <f t="shared" si="111"/>
        <v>0.48319736374447281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520.80494930257237</v>
      </c>
      <c r="AO139" s="62">
        <f t="shared" si="144"/>
        <v>325.72635759450861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0.54151428695501058</v>
      </c>
      <c r="AW139" s="23">
        <f>EXP(-LN(2)/2)*AW138+(1-EXP(-LN(2)/2))/(LN(2)/2)*AQ139*AT139*VLOOKUP('Données projet'!$B$10,Paramètres!$A$1:$I$89,3,0)*0.475*44/12</f>
        <v>1.8550972097472685E-15</v>
      </c>
      <c r="AX139" s="23">
        <f t="shared" si="114"/>
        <v>0.54151428695501247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6.3550942286383367E-14</v>
      </c>
      <c r="BF139" s="14">
        <f t="shared" si="145"/>
        <v>1.0064464192543978E-12</v>
      </c>
      <c r="BG139" s="22">
        <f t="shared" si="115"/>
        <v>1.8635787380168604E-12</v>
      </c>
      <c r="BH139" s="62">
        <f t="shared" si="116"/>
        <v>284.8495303948871</v>
      </c>
      <c r="BI139" s="62">
        <f ca="1">AVERAGE(OFFSET($BH$3,0,0,'Données projet'!$E$11+1,1))-AVERAGE(OFFSET($H$3,0,0,'Données projet'!$E$11+1,1))</f>
        <v>321.60602866722138</v>
      </c>
      <c r="BJ139" s="62">
        <f t="shared" si="146"/>
        <v>375.18886653687389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1.5693017537039822</v>
      </c>
      <c r="BQ139" s="23">
        <f>EXP(-LN(2)/25)*BQ138+(1-EXP(-LN(2)/25))/(LN(2)/25)*Calculateur!BL139*Calculateur!BN139*VLOOKUP('Données projet'!$B$11,Paramètres!$A$1:$I$89,3,0)*0.475*44/12</f>
        <v>0.84526830811172737</v>
      </c>
      <c r="BR139" s="23">
        <f>EXP(-LN(2)/2)*BR138+(1-EXP(-LN(2)/2))/(LN(2)/2)*BL139*BO139*VLOOKUP('Données projet'!$B$11,Paramètres!$A$1:$I$89,3,0)*0.475*44/12</f>
        <v>8.1289742766963165E-16</v>
      </c>
      <c r="BS139" s="24">
        <f t="shared" si="117"/>
        <v>2.4145700618157102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2.8421709430404007E-14</v>
      </c>
      <c r="BZ139" s="14">
        <f>BY139*VLOOKUP('Données projet'!$B$12,Paramètres!$A$1:$I$89,3,0)*VLOOKUP('Données projet'!$B$12,Paramètres!$A$1:$I$89,5,0)</f>
        <v>1.5518253349000589E-14</v>
      </c>
      <c r="CA139" s="14">
        <f t="shared" si="147"/>
        <v>2.8958815659671149E-13</v>
      </c>
      <c r="CB139" s="22">
        <f t="shared" si="118"/>
        <v>5.3139366398878183E-13</v>
      </c>
      <c r="CC139" s="62">
        <f t="shared" si="119"/>
        <v>284.84953039488573</v>
      </c>
      <c r="CD139" s="62">
        <f ca="1">AVERAGE(OFFSET($CC$3,0,0,'Données projet'!$E$12+1,1))-AVERAGE(OFFSET($H$3,0,0,'Données projet'!$E$12+1,1))</f>
        <v>182.44246264133781</v>
      </c>
      <c r="CE139" s="62">
        <f t="shared" si="148"/>
        <v>262.5818213397049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0.52806942958896996</v>
      </c>
      <c r="CL139" s="23">
        <f>EXP(-LN(2)/25)*CL138+(1-EXP(-LN(2)/25))/(LN(2)/25)*Calculateur!CG139*Calculateur!CI139*VLOOKUP('Données projet'!$B$12,Paramètres!$A$1:$I$89,3,0)*0.475*44/12</f>
        <v>0.95784366898851092</v>
      </c>
      <c r="CM139" s="23">
        <f>EXP(-LN(2)/2)*CM138+(1-EXP(-LN(2)/2))/(LN(2)/2)*CG139*CJ139*VLOOKUP('Données projet'!$B$12,Paramètres!$A$1:$I$89,3,0)*0.475*44/12</f>
        <v>3.3512625966905068E-19</v>
      </c>
      <c r="CN139" s="24">
        <f t="shared" si="120"/>
        <v>1.4859130985774809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-5.3205440053716299E-14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426.87921482911719</v>
      </c>
      <c r="CZ139" s="62">
        <f t="shared" si="150"/>
        <v>313.49594674441835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500.25828825677058</v>
      </c>
      <c r="DU139" s="62">
        <f t="shared" si="152"/>
        <v>313.56299786481338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0.13571859063150435</v>
      </c>
      <c r="EC139" s="23">
        <f>EXP(-LN(2)/2)*EC138+(1-EXP(-LN(2)/2))/(LN(2)/2)*DW139*DZ139*VLOOKUP('Données projet'!$B$14,Paramètres!$A$1:$I$89,3,0)*0.475*44/12</f>
        <v>2.7899815947182612E-15</v>
      </c>
      <c r="ED139" s="24">
        <f t="shared" si="126"/>
        <v>0.13571859063150715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548.17046467409421</v>
      </c>
      <c r="EP139" s="62">
        <f t="shared" si="154"/>
        <v>341.9250949809848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0.1510416573157066</v>
      </c>
      <c r="EX139" s="23">
        <f>EXP(-LN(2)/2)*EX138+(1-EXP(-LN(2)/2))/(LN(2)/2)*ER139*EU139*VLOOKUP('Données projet'!$B$15,Paramètres!$A$1:$I$89,3,0)*0.475*44/12</f>
        <v>3.1049795167025787E-15</v>
      </c>
      <c r="EY139" s="24">
        <f t="shared" si="129"/>
        <v>0.1510416573157097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472.83070477639035</v>
      </c>
      <c r="T140" s="62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0.46998430642263356</v>
      </c>
      <c r="AB140" s="23">
        <f>EXP(-LN(2)/2)*AB139+(1-EXP(-LN(2)/2))/(LN(2)/2)*V140*Y140*VLOOKUP('Données projet'!$B$9,Paramètres!$A$1:$I$89,3,0)*0.475*44/12</f>
        <v>1.170486236504727E-15</v>
      </c>
      <c r="AC140" s="24">
        <f t="shared" si="111"/>
        <v>0.46998430642263472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520.80494930257237</v>
      </c>
      <c r="AO140" s="62">
        <f t="shared" si="144"/>
        <v>325.72635759450861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0.52670655030122715</v>
      </c>
      <c r="AW140" s="23">
        <f>EXP(-LN(2)/2)*AW139+(1-EXP(-LN(2)/2))/(LN(2)/2)*AQ140*AT140*VLOOKUP('Données projet'!$B$10,Paramètres!$A$1:$I$89,3,0)*0.475*44/12</f>
        <v>1.3117518167725367E-15</v>
      </c>
      <c r="AX140" s="23">
        <f t="shared" si="114"/>
        <v>0.52670655030122848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6.3550942286383367E-14</v>
      </c>
      <c r="BF140" s="14">
        <f t="shared" si="145"/>
        <v>1.0064464192543978E-12</v>
      </c>
      <c r="BG140" s="22">
        <f t="shared" si="115"/>
        <v>1.8635787380168604E-12</v>
      </c>
      <c r="BH140" s="62">
        <f t="shared" si="116"/>
        <v>284.99670540892726</v>
      </c>
      <c r="BI140" s="62">
        <f ca="1">AVERAGE(OFFSET($BH$3,0,0,'Données projet'!$E$11+1,1))-AVERAGE(OFFSET($H$3,0,0,'Données projet'!$E$11+1,1))</f>
        <v>321.60602866722138</v>
      </c>
      <c r="BJ140" s="62">
        <f t="shared" si="146"/>
        <v>375.18886653687389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1.5385287034934032</v>
      </c>
      <c r="BQ140" s="23">
        <f>EXP(-LN(2)/25)*BQ139+(1-EXP(-LN(2)/25))/(LN(2)/25)*Calculateur!BL140*Calculateur!BN140*VLOOKUP('Données projet'!$B$11,Paramètres!$A$1:$I$89,3,0)*0.475*44/12</f>
        <v>0.82215440177568377</v>
      </c>
      <c r="BR140" s="23">
        <f>EXP(-LN(2)/2)*BR139+(1-EXP(-LN(2)/2))/(LN(2)/2)*BL140*BO140*VLOOKUP('Données projet'!$B$11,Paramètres!$A$1:$I$89,3,0)*0.475*44/12</f>
        <v>5.7480528351429756E-16</v>
      </c>
      <c r="BS140" s="24">
        <f t="shared" si="117"/>
        <v>2.3606831052690875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2.8421709430404007E-14</v>
      </c>
      <c r="BZ140" s="14">
        <f>BY140*VLOOKUP('Données projet'!$B$12,Paramètres!$A$1:$I$89,3,0)*VLOOKUP('Données projet'!$B$12,Paramètres!$A$1:$I$89,5,0)</f>
        <v>1.5518253349000589E-14</v>
      </c>
      <c r="CA140" s="14">
        <f t="shared" si="147"/>
        <v>2.8958815659671149E-13</v>
      </c>
      <c r="CB140" s="22">
        <f t="shared" si="118"/>
        <v>5.3139366398878183E-13</v>
      </c>
      <c r="CC140" s="62">
        <f t="shared" si="119"/>
        <v>284.99670540892589</v>
      </c>
      <c r="CD140" s="62">
        <f ca="1">AVERAGE(OFFSET($CC$3,0,0,'Données projet'!$E$12+1,1))-AVERAGE(OFFSET($H$3,0,0,'Données projet'!$E$12+1,1))</f>
        <v>182.44246264133781</v>
      </c>
      <c r="CE140" s="62">
        <f t="shared" si="148"/>
        <v>262.5818213397049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0.51771431016527847</v>
      </c>
      <c r="CL140" s="23">
        <f>EXP(-LN(2)/25)*CL139+(1-EXP(-LN(2)/25))/(LN(2)/25)*Calculateur!CG140*Calculateur!CI140*VLOOKUP('Données projet'!$B$12,Paramètres!$A$1:$I$89,3,0)*0.475*44/12</f>
        <v>0.93165138348921073</v>
      </c>
      <c r="CM140" s="23">
        <f>EXP(-LN(2)/2)*CM139+(1-EXP(-LN(2)/2))/(LN(2)/2)*CG140*CJ140*VLOOKUP('Données projet'!$B$12,Paramètres!$A$1:$I$89,3,0)*0.475*44/12</f>
        <v>2.3697005076566953E-19</v>
      </c>
      <c r="CN140" s="24">
        <f t="shared" si="120"/>
        <v>1.4493656936544892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-5.3205440053716299E-14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426.87921482911719</v>
      </c>
      <c r="CZ140" s="62">
        <f t="shared" si="150"/>
        <v>313.49594674441835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500.25828825677058</v>
      </c>
      <c r="DU140" s="62">
        <f t="shared" si="152"/>
        <v>313.56299786481338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0.13200735863355537</v>
      </c>
      <c r="EC140" s="23">
        <f>EXP(-LN(2)/2)*EC139+(1-EXP(-LN(2)/2))/(LN(2)/2)*DW140*DZ140*VLOOKUP('Données projet'!$B$14,Paramètres!$A$1:$I$89,3,0)*0.475*44/12</f>
        <v>1.9728149050109404E-15</v>
      </c>
      <c r="ED140" s="24">
        <f t="shared" si="126"/>
        <v>0.13200735863355734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548.17046467409421</v>
      </c>
      <c r="EP140" s="62">
        <f t="shared" si="154"/>
        <v>341.9250949809848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0.14691141525347304</v>
      </c>
      <c r="EX140" s="23">
        <f>EXP(-LN(2)/2)*EX139+(1-EXP(-LN(2)/2))/(LN(2)/2)*ER140*EU140*VLOOKUP('Données projet'!$B$15,Paramètres!$A$1:$I$89,3,0)*0.475*44/12</f>
        <v>2.1955520717057224E-15</v>
      </c>
      <c r="EY140" s="24">
        <f t="shared" si="129"/>
        <v>0.14691141525347523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472.83070477639035</v>
      </c>
      <c r="T141" s="62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0.45713256084810611</v>
      </c>
      <c r="AB141" s="23">
        <f>EXP(-LN(2)/2)*AB140+(1-EXP(-LN(2)/2))/(LN(2)/2)*V141*Y141*VLOOKUP('Données projet'!$B$9,Paramètres!$A$1:$I$89,3,0)*0.475*44/12</f>
        <v>8.2765875511801354E-16</v>
      </c>
      <c r="AC141" s="24">
        <f t="shared" si="111"/>
        <v>0.45713256084810694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520.80494930257237</v>
      </c>
      <c r="AO141" s="62">
        <f t="shared" si="144"/>
        <v>325.72635759450861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0.51230373198494639</v>
      </c>
      <c r="AW141" s="23">
        <f>EXP(-LN(2)/2)*AW140+(1-EXP(-LN(2)/2))/(LN(2)/2)*AQ141*AT141*VLOOKUP('Données projet'!$B$10,Paramètres!$A$1:$I$89,3,0)*0.475*44/12</f>
        <v>9.2754860487363425E-16</v>
      </c>
      <c r="AX141" s="23">
        <f t="shared" si="114"/>
        <v>0.51230373198494727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6.3550942286383367E-14</v>
      </c>
      <c r="BF141" s="14">
        <f t="shared" si="145"/>
        <v>1.0064464192543978E-12</v>
      </c>
      <c r="BG141" s="22">
        <f t="shared" si="115"/>
        <v>1.8635787380168604E-12</v>
      </c>
      <c r="BH141" s="62">
        <f t="shared" si="116"/>
        <v>285.14132726550781</v>
      </c>
      <c r="BI141" s="62">
        <f ca="1">AVERAGE(OFFSET($BH$3,0,0,'Données projet'!$E$11+1,1))-AVERAGE(OFFSET($H$3,0,0,'Données projet'!$E$11+1,1))</f>
        <v>321.60602866722138</v>
      </c>
      <c r="BJ141" s="62">
        <f t="shared" si="146"/>
        <v>375.18886653687389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1.5083590940277465</v>
      </c>
      <c r="BQ141" s="23">
        <f>EXP(-LN(2)/25)*BQ140+(1-EXP(-LN(2)/25))/(LN(2)/25)*Calculateur!BL141*Calculateur!BN141*VLOOKUP('Données projet'!$B$11,Paramètres!$A$1:$I$89,3,0)*0.475*44/12</f>
        <v>0.79967254642390673</v>
      </c>
      <c r="BR141" s="23">
        <f>EXP(-LN(2)/2)*BR140+(1-EXP(-LN(2)/2))/(LN(2)/2)*BL141*BO141*VLOOKUP('Données projet'!$B$11,Paramètres!$A$1:$I$89,3,0)*0.475*44/12</f>
        <v>4.0644871383481582E-16</v>
      </c>
      <c r="BS141" s="24">
        <f t="shared" si="117"/>
        <v>2.3080316404516537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2.8421709430404007E-14</v>
      </c>
      <c r="BZ141" s="14">
        <f>BY141*VLOOKUP('Données projet'!$B$12,Paramètres!$A$1:$I$89,3,0)*VLOOKUP('Données projet'!$B$12,Paramètres!$A$1:$I$89,5,0)</f>
        <v>1.5518253349000589E-14</v>
      </c>
      <c r="CA141" s="14">
        <f t="shared" si="147"/>
        <v>2.8958815659671149E-13</v>
      </c>
      <c r="CB141" s="22">
        <f t="shared" si="118"/>
        <v>5.3139366398878183E-13</v>
      </c>
      <c r="CC141" s="62">
        <f t="shared" si="119"/>
        <v>285.14132726550645</v>
      </c>
      <c r="CD141" s="62">
        <f ca="1">AVERAGE(OFFSET($CC$3,0,0,'Données projet'!$E$12+1,1))-AVERAGE(OFFSET($H$3,0,0,'Données projet'!$E$12+1,1))</f>
        <v>182.44246264133781</v>
      </c>
      <c r="CE141" s="62">
        <f t="shared" si="148"/>
        <v>262.5818213397049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0.50756224831748642</v>
      </c>
      <c r="CL141" s="23">
        <f>EXP(-LN(2)/25)*CL140+(1-EXP(-LN(2)/25))/(LN(2)/25)*Calculateur!CG141*Calculateur!CI141*VLOOKUP('Données projet'!$B$12,Paramètres!$A$1:$I$89,3,0)*0.475*44/12</f>
        <v>0.90617532741428131</v>
      </c>
      <c r="CM141" s="23">
        <f>EXP(-LN(2)/2)*CM140+(1-EXP(-LN(2)/2))/(LN(2)/2)*CG141*CJ141*VLOOKUP('Données projet'!$B$12,Paramètres!$A$1:$I$89,3,0)*0.475*44/12</f>
        <v>1.6756312983452534E-19</v>
      </c>
      <c r="CN141" s="24">
        <f t="shared" si="120"/>
        <v>1.4137375757317678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-5.3205440053716299E-14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426.87921482911719</v>
      </c>
      <c r="CZ141" s="62">
        <f t="shared" si="150"/>
        <v>313.49594674441835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500.25828825677058</v>
      </c>
      <c r="DU141" s="62">
        <f t="shared" si="152"/>
        <v>313.56299786481338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0.12839761046975551</v>
      </c>
      <c r="EC141" s="23">
        <f>EXP(-LN(2)/2)*EC140+(1-EXP(-LN(2)/2))/(LN(2)/2)*DW141*DZ141*VLOOKUP('Données projet'!$B$14,Paramètres!$A$1:$I$89,3,0)*0.475*44/12</f>
        <v>1.3949907973591306E-15</v>
      </c>
      <c r="ED141" s="24">
        <f t="shared" si="126"/>
        <v>0.1283976104697569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548.17046467409421</v>
      </c>
      <c r="EP141" s="62">
        <f t="shared" si="154"/>
        <v>341.9250949809848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0.14289411487763126</v>
      </c>
      <c r="EX141" s="23">
        <f>EXP(-LN(2)/2)*EX140+(1-EXP(-LN(2)/2))/(LN(2)/2)*ER141*EU141*VLOOKUP('Données projet'!$B$15,Paramètres!$A$1:$I$89,3,0)*0.475*44/12</f>
        <v>1.5524897583512893E-15</v>
      </c>
      <c r="EY141" s="24">
        <f t="shared" si="129"/>
        <v>0.14289411487763282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472.83070477639035</v>
      </c>
      <c r="T142" s="62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0.44463224693215808</v>
      </c>
      <c r="AB142" s="23">
        <f>EXP(-LN(2)/2)*AB141+(1-EXP(-LN(2)/2))/(LN(2)/2)*V142*Y142*VLOOKUP('Données projet'!$B$9,Paramètres!$A$1:$I$89,3,0)*0.475*44/12</f>
        <v>5.8524311825236352E-16</v>
      </c>
      <c r="AC142" s="24">
        <f t="shared" si="111"/>
        <v>0.44463224693215869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520.80494930257237</v>
      </c>
      <c r="AO142" s="62">
        <f t="shared" si="144"/>
        <v>325.72635759450861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0.49829475949293567</v>
      </c>
      <c r="AW142" s="23">
        <f>EXP(-LN(2)/2)*AW141+(1-EXP(-LN(2)/2))/(LN(2)/2)*AQ142*AT142*VLOOKUP('Données projet'!$B$10,Paramètres!$A$1:$I$89,3,0)*0.475*44/12</f>
        <v>6.5587590838626833E-16</v>
      </c>
      <c r="AX142" s="23">
        <f t="shared" si="114"/>
        <v>0.49829475949293633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6.3550942286383367E-14</v>
      </c>
      <c r="BF142" s="14">
        <f t="shared" si="145"/>
        <v>1.0064464192543978E-12</v>
      </c>
      <c r="BG142" s="22">
        <f t="shared" si="115"/>
        <v>1.8635787380168604E-12</v>
      </c>
      <c r="BH142" s="62">
        <f t="shared" si="116"/>
        <v>285.28344025620277</v>
      </c>
      <c r="BI142" s="62">
        <f ca="1">AVERAGE(OFFSET($BH$3,0,0,'Données projet'!$E$11+1,1))-AVERAGE(OFFSET($H$3,0,0,'Données projet'!$E$11+1,1))</f>
        <v>321.60602866722138</v>
      </c>
      <c r="BJ142" s="62">
        <f t="shared" si="146"/>
        <v>375.18886653687389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1.4787810922020665</v>
      </c>
      <c r="BQ142" s="23">
        <f>EXP(-LN(2)/25)*BQ141+(1-EXP(-LN(2)/25))/(LN(2)/25)*Calculateur!BL142*Calculateur!BN142*VLOOKUP('Données projet'!$B$11,Paramètres!$A$1:$I$89,3,0)*0.475*44/12</f>
        <v>0.77780545858899341</v>
      </c>
      <c r="BR142" s="23">
        <f>EXP(-LN(2)/2)*BR141+(1-EXP(-LN(2)/2))/(LN(2)/2)*BL142*BO142*VLOOKUP('Données projet'!$B$11,Paramètres!$A$1:$I$89,3,0)*0.475*44/12</f>
        <v>2.8740264175714878E-16</v>
      </c>
      <c r="BS142" s="24">
        <f t="shared" si="117"/>
        <v>2.2565865507910603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2.8421709430404007E-14</v>
      </c>
      <c r="BZ142" s="14">
        <f>BY142*VLOOKUP('Données projet'!$B$12,Paramètres!$A$1:$I$89,3,0)*VLOOKUP('Données projet'!$B$12,Paramètres!$A$1:$I$89,5,0)</f>
        <v>1.5518253349000589E-14</v>
      </c>
      <c r="CA142" s="14">
        <f t="shared" si="147"/>
        <v>2.8958815659671149E-13</v>
      </c>
      <c r="CB142" s="22">
        <f t="shared" si="118"/>
        <v>5.3139366398878183E-13</v>
      </c>
      <c r="CC142" s="62">
        <f t="shared" si="119"/>
        <v>285.2834402562014</v>
      </c>
      <c r="CD142" s="62">
        <f ca="1">AVERAGE(OFFSET($CC$3,0,0,'Données projet'!$E$12+1,1))-AVERAGE(OFFSET($H$3,0,0,'Données projet'!$E$12+1,1))</f>
        <v>182.44246264133781</v>
      </c>
      <c r="CE142" s="62">
        <f t="shared" si="148"/>
        <v>262.5818213397049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0.49760926221038326</v>
      </c>
      <c r="CL142" s="23">
        <f>EXP(-LN(2)/25)*CL141+(1-EXP(-LN(2)/25))/(LN(2)/25)*Calculateur!CG142*Calculateur!CI142*VLOOKUP('Données projet'!$B$12,Paramètres!$A$1:$I$89,3,0)*0.475*44/12</f>
        <v>0.88139591543244844</v>
      </c>
      <c r="CM142" s="23">
        <f>EXP(-LN(2)/2)*CM141+(1-EXP(-LN(2)/2))/(LN(2)/2)*CG142*CJ142*VLOOKUP('Données projet'!$B$12,Paramètres!$A$1:$I$89,3,0)*0.475*44/12</f>
        <v>1.1848502538283476E-19</v>
      </c>
      <c r="CN142" s="24">
        <f t="shared" si="120"/>
        <v>1.3790051776428318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-5.3205440053716299E-14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426.87921482911719</v>
      </c>
      <c r="CZ142" s="62">
        <f t="shared" si="150"/>
        <v>313.49594674441835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500.25828825677058</v>
      </c>
      <c r="DU142" s="62">
        <f t="shared" si="152"/>
        <v>313.56299786481338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0.12488657105932316</v>
      </c>
      <c r="EC142" s="23">
        <f>EXP(-LN(2)/2)*EC141+(1-EXP(-LN(2)/2))/(LN(2)/2)*DW142*DZ142*VLOOKUP('Données projet'!$B$14,Paramètres!$A$1:$I$89,3,0)*0.475*44/12</f>
        <v>9.8640745250547021E-16</v>
      </c>
      <c r="ED142" s="24">
        <f t="shared" si="126"/>
        <v>0.12488657105932414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548.17046467409421</v>
      </c>
      <c r="EP142" s="62">
        <f t="shared" si="154"/>
        <v>341.9250949809848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0.13898666779182753</v>
      </c>
      <c r="EX142" s="23">
        <f>EXP(-LN(2)/2)*EX141+(1-EXP(-LN(2)/2))/(LN(2)/2)*ER142*EU142*VLOOKUP('Données projet'!$B$15,Paramètres!$A$1:$I$89,3,0)*0.475*44/12</f>
        <v>1.0977760358528612E-15</v>
      </c>
      <c r="EY142" s="24">
        <f t="shared" si="129"/>
        <v>0.13898666779182864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472.83070477639035</v>
      </c>
      <c r="T143" s="62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0.43247375475760458</v>
      </c>
      <c r="AB143" s="23">
        <f>EXP(-LN(2)/2)*AB142+(1-EXP(-LN(2)/2))/(LN(2)/2)*V143*Y143*VLOOKUP('Données projet'!$B$9,Paramètres!$A$1:$I$89,3,0)*0.475*44/12</f>
        <v>4.1382937755900677E-16</v>
      </c>
      <c r="AC143" s="24">
        <f t="shared" si="111"/>
        <v>0.43247375475760497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520.80494930257237</v>
      </c>
      <c r="AO143" s="62">
        <f t="shared" si="144"/>
        <v>325.72635759450861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0.48466886309041879</v>
      </c>
      <c r="AW143" s="23">
        <f>EXP(-LN(2)/2)*AW142+(1-EXP(-LN(2)/2))/(LN(2)/2)*AQ143*AT143*VLOOKUP('Données projet'!$B$10,Paramètres!$A$1:$I$89,3,0)*0.475*44/12</f>
        <v>4.6377430243681713E-16</v>
      </c>
      <c r="AX143" s="23">
        <f t="shared" si="114"/>
        <v>0.48466886309041923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6.3550942286383367E-14</v>
      </c>
      <c r="BF143" s="14">
        <f t="shared" si="145"/>
        <v>1.0064464192543978E-12</v>
      </c>
      <c r="BG143" s="22">
        <f t="shared" si="115"/>
        <v>1.8635787380168604E-12</v>
      </c>
      <c r="BH143" s="62">
        <f t="shared" si="116"/>
        <v>285.42308790422624</v>
      </c>
      <c r="BI143" s="62">
        <f ca="1">AVERAGE(OFFSET($BH$3,0,0,'Données projet'!$E$11+1,1))-AVERAGE(OFFSET($H$3,0,0,'Données projet'!$E$11+1,1))</f>
        <v>321.60602866722138</v>
      </c>
      <c r="BJ143" s="62">
        <f t="shared" si="146"/>
        <v>375.18886653687389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1.4497830969513883</v>
      </c>
      <c r="BQ143" s="23">
        <f>EXP(-LN(2)/25)*BQ142+(1-EXP(-LN(2)/25))/(LN(2)/25)*Calculateur!BL143*Calculateur!BN143*VLOOKUP('Données projet'!$B$11,Paramètres!$A$1:$I$89,3,0)*0.475*44/12</f>
        <v>0.75653632742086607</v>
      </c>
      <c r="BR143" s="23">
        <f>EXP(-LN(2)/2)*BR142+(1-EXP(-LN(2)/2))/(LN(2)/2)*BL143*BO143*VLOOKUP('Données projet'!$B$11,Paramètres!$A$1:$I$89,3,0)*0.475*44/12</f>
        <v>2.0322435691740791E-16</v>
      </c>
      <c r="BS143" s="24">
        <f t="shared" si="117"/>
        <v>2.2063194243722544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2.8421709430404007E-14</v>
      </c>
      <c r="BZ143" s="14">
        <f>BY143*VLOOKUP('Données projet'!$B$12,Paramètres!$A$1:$I$89,3,0)*VLOOKUP('Données projet'!$B$12,Paramètres!$A$1:$I$89,5,0)</f>
        <v>1.5518253349000589E-14</v>
      </c>
      <c r="CA143" s="14">
        <f t="shared" si="147"/>
        <v>2.8958815659671149E-13</v>
      </c>
      <c r="CB143" s="22">
        <f t="shared" si="118"/>
        <v>5.3139366398878183E-13</v>
      </c>
      <c r="CC143" s="62">
        <f t="shared" si="119"/>
        <v>285.42308790422487</v>
      </c>
      <c r="CD143" s="62">
        <f ca="1">AVERAGE(OFFSET($CC$3,0,0,'Données projet'!$E$12+1,1))-AVERAGE(OFFSET($H$3,0,0,'Données projet'!$E$12+1,1))</f>
        <v>182.44246264133781</v>
      </c>
      <c r="CE143" s="62">
        <f t="shared" si="148"/>
        <v>262.5818213397049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0.48785144809011832</v>
      </c>
      <c r="CL143" s="23">
        <f>EXP(-LN(2)/25)*CL142+(1-EXP(-LN(2)/25))/(LN(2)/25)*Calculateur!CG143*Calculateur!CI143*VLOOKUP('Données projet'!$B$12,Paramètres!$A$1:$I$89,3,0)*0.475*44/12</f>
        <v>0.85729409777435139</v>
      </c>
      <c r="CM143" s="23">
        <f>EXP(-LN(2)/2)*CM142+(1-EXP(-LN(2)/2))/(LN(2)/2)*CG143*CJ143*VLOOKUP('Données projet'!$B$12,Paramètres!$A$1:$I$89,3,0)*0.475*44/12</f>
        <v>8.378156491726267E-20</v>
      </c>
      <c r="CN143" s="24">
        <f t="shared" si="120"/>
        <v>1.3451455458644697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-5.3205440053716299E-14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426.87921482911719</v>
      </c>
      <c r="CZ143" s="62">
        <f t="shared" si="150"/>
        <v>313.49594674441835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500.25828825677058</v>
      </c>
      <c r="DU143" s="62">
        <f t="shared" si="152"/>
        <v>313.56299786481338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0.12147154120620662</v>
      </c>
      <c r="EC143" s="23">
        <f>EXP(-LN(2)/2)*EC142+(1-EXP(-LN(2)/2))/(LN(2)/2)*DW143*DZ143*VLOOKUP('Données projet'!$B$14,Paramètres!$A$1:$I$89,3,0)*0.475*44/12</f>
        <v>6.9749539867956531E-16</v>
      </c>
      <c r="ED143" s="24">
        <f t="shared" si="126"/>
        <v>0.12147154120620732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548.17046467409421</v>
      </c>
      <c r="EP143" s="62">
        <f t="shared" si="154"/>
        <v>341.9250949809848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0.13518607005206881</v>
      </c>
      <c r="EX143" s="23">
        <f>EXP(-LN(2)/2)*EX142+(1-EXP(-LN(2)/2))/(LN(2)/2)*ER143*EU143*VLOOKUP('Données projet'!$B$15,Paramètres!$A$1:$I$89,3,0)*0.475*44/12</f>
        <v>7.7624487917564467E-16</v>
      </c>
      <c r="EY143" s="24">
        <f t="shared" si="129"/>
        <v>0.13518607005206959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472.83070477639035</v>
      </c>
      <c r="T144" s="62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0.42064773719095155</v>
      </c>
      <c r="AB144" s="23">
        <f>EXP(-LN(2)/2)*AB143+(1-EXP(-LN(2)/2))/(LN(2)/2)*V144*Y144*VLOOKUP('Données projet'!$B$9,Paramètres!$A$1:$I$89,3,0)*0.475*44/12</f>
        <v>2.9262155912618176E-16</v>
      </c>
      <c r="AC144" s="24">
        <f t="shared" si="111"/>
        <v>0.42064773719095183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520.80494930257237</v>
      </c>
      <c r="AO144" s="62">
        <f t="shared" si="144"/>
        <v>325.72635759450861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0.47141556754158348</v>
      </c>
      <c r="AW144" s="23">
        <f>EXP(-LN(2)/2)*AW143+(1-EXP(-LN(2)/2))/(LN(2)/2)*AQ144*AT144*VLOOKUP('Données projet'!$B$10,Paramètres!$A$1:$I$89,3,0)*0.475*44/12</f>
        <v>3.2793795419313417E-16</v>
      </c>
      <c r="AX144" s="23">
        <f t="shared" si="114"/>
        <v>0.47141556754158381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6.3550942286383367E-14</v>
      </c>
      <c r="BF144" s="14">
        <f t="shared" si="145"/>
        <v>1.0064464192543978E-12</v>
      </c>
      <c r="BG144" s="22">
        <f t="shared" si="115"/>
        <v>1.8635787380168604E-12</v>
      </c>
      <c r="BH144" s="62">
        <f t="shared" si="116"/>
        <v>285.5603129777619</v>
      </c>
      <c r="BI144" s="62">
        <f ca="1">AVERAGE(OFFSET($BH$3,0,0,'Données projet'!$E$11+1,1))-AVERAGE(OFFSET($H$3,0,0,'Données projet'!$E$11+1,1))</f>
        <v>321.60602866722138</v>
      </c>
      <c r="BJ144" s="62">
        <f t="shared" si="146"/>
        <v>375.18886653687389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1.4213537347005454</v>
      </c>
      <c r="BQ144" s="23">
        <f>EXP(-LN(2)/25)*BQ143+(1-EXP(-LN(2)/25))/(LN(2)/25)*Calculateur!BL144*Calculateur!BN144*VLOOKUP('Données projet'!$B$11,Paramètres!$A$1:$I$89,3,0)*0.475*44/12</f>
        <v>0.73584880176302614</v>
      </c>
      <c r="BR144" s="23">
        <f>EXP(-LN(2)/2)*BR143+(1-EXP(-LN(2)/2))/(LN(2)/2)*BL144*BO144*VLOOKUP('Données projet'!$B$11,Paramètres!$A$1:$I$89,3,0)*0.475*44/12</f>
        <v>1.4370132087857439E-16</v>
      </c>
      <c r="BS144" s="24">
        <f t="shared" si="117"/>
        <v>2.1572025364635716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2.8421709430404007E-14</v>
      </c>
      <c r="BZ144" s="14">
        <f>BY144*VLOOKUP('Données projet'!$B$12,Paramètres!$A$1:$I$89,3,0)*VLOOKUP('Données projet'!$B$12,Paramètres!$A$1:$I$89,5,0)</f>
        <v>1.5518253349000589E-14</v>
      </c>
      <c r="CA144" s="14">
        <f t="shared" si="147"/>
        <v>2.8958815659671149E-13</v>
      </c>
      <c r="CB144" s="22">
        <f t="shared" si="118"/>
        <v>5.3139366398878183E-13</v>
      </c>
      <c r="CC144" s="62">
        <f t="shared" si="119"/>
        <v>285.56031297776053</v>
      </c>
      <c r="CD144" s="62">
        <f ca="1">AVERAGE(OFFSET($CC$3,0,0,'Données projet'!$E$12+1,1))-AVERAGE(OFFSET($H$3,0,0,'Données projet'!$E$12+1,1))</f>
        <v>182.44246264133781</v>
      </c>
      <c r="CE144" s="62">
        <f t="shared" si="148"/>
        <v>262.5818213397049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0.47828497875307285</v>
      </c>
      <c r="CL144" s="23">
        <f>EXP(-LN(2)/25)*CL143+(1-EXP(-LN(2)/25))/(LN(2)/25)*Calculateur!CG144*Calculateur!CI144*VLOOKUP('Données projet'!$B$12,Paramètres!$A$1:$I$89,3,0)*0.475*44/12</f>
        <v>0.83385134558757457</v>
      </c>
      <c r="CM144" s="23">
        <f>EXP(-LN(2)/2)*CM143+(1-EXP(-LN(2)/2))/(LN(2)/2)*CG144*CJ144*VLOOKUP('Données projet'!$B$12,Paramètres!$A$1:$I$89,3,0)*0.475*44/12</f>
        <v>5.9242512691417381E-20</v>
      </c>
      <c r="CN144" s="24">
        <f t="shared" si="120"/>
        <v>1.3121363243406474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-5.3205440053716299E-14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426.87921482911719</v>
      </c>
      <c r="CZ144" s="62">
        <f t="shared" si="150"/>
        <v>313.49594674441835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500.25828825677058</v>
      </c>
      <c r="DU144" s="62">
        <f t="shared" si="152"/>
        <v>313.56299786481338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0.11814989552401217</v>
      </c>
      <c r="EC144" s="23">
        <f>EXP(-LN(2)/2)*EC143+(1-EXP(-LN(2)/2))/(LN(2)/2)*DW144*DZ144*VLOOKUP('Données projet'!$B$14,Paramètres!$A$1:$I$89,3,0)*0.475*44/12</f>
        <v>4.9320372625273511E-16</v>
      </c>
      <c r="ED144" s="24">
        <f t="shared" si="126"/>
        <v>0.11814989552401267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548.17046467409421</v>
      </c>
      <c r="EP144" s="62">
        <f t="shared" si="154"/>
        <v>341.9250949809848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0.13148939985736854</v>
      </c>
      <c r="EX144" s="23">
        <f>EXP(-LN(2)/2)*EX143+(1-EXP(-LN(2)/2))/(LN(2)/2)*ER144*EU144*VLOOKUP('Données projet'!$B$15,Paramètres!$A$1:$I$89,3,0)*0.475*44/12</f>
        <v>5.4888801792643059E-16</v>
      </c>
      <c r="EY144" s="24">
        <f t="shared" si="129"/>
        <v>0.1314893998573691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472.83070477639035</v>
      </c>
      <c r="T145" s="62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0.4091451026965619</v>
      </c>
      <c r="AB145" s="23">
        <f>EXP(-LN(2)/2)*AB144+(1-EXP(-LN(2)/2))/(LN(2)/2)*V145*Y145*VLOOKUP('Données projet'!$B$9,Paramètres!$A$1:$I$89,3,0)*0.475*44/12</f>
        <v>2.0691468877950339E-16</v>
      </c>
      <c r="AC145" s="24">
        <f t="shared" si="111"/>
        <v>0.40914510269656212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520.80494930257237</v>
      </c>
      <c r="AO145" s="62">
        <f t="shared" si="144"/>
        <v>325.72635759450861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0.4585246840564916</v>
      </c>
      <c r="AW145" s="23">
        <f>EXP(-LN(2)/2)*AW144+(1-EXP(-LN(2)/2))/(LN(2)/2)*AQ145*AT145*VLOOKUP('Données projet'!$B$10,Paramètres!$A$1:$I$89,3,0)*0.475*44/12</f>
        <v>2.3188715121840856E-16</v>
      </c>
      <c r="AX145" s="23">
        <f t="shared" si="114"/>
        <v>0.45852468405649183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6.3550942286383367E-14</v>
      </c>
      <c r="BF145" s="14">
        <f t="shared" si="145"/>
        <v>1.0064464192543978E-12</v>
      </c>
      <c r="BG145" s="22">
        <f t="shared" si="115"/>
        <v>1.8635787380168604E-12</v>
      </c>
      <c r="BH145" s="62">
        <f t="shared" si="116"/>
        <v>285.69515750306095</v>
      </c>
      <c r="BI145" s="62">
        <f ca="1">AVERAGE(OFFSET($BH$3,0,0,'Données projet'!$E$11+1,1))-AVERAGE(OFFSET($H$3,0,0,'Données projet'!$E$11+1,1))</f>
        <v>321.60602866722138</v>
      </c>
      <c r="BJ145" s="62">
        <f t="shared" si="146"/>
        <v>375.18886653687389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1.3934818549032426</v>
      </c>
      <c r="BQ145" s="23">
        <f>EXP(-LN(2)/25)*BQ144+(1-EXP(-LN(2)/25))/(LN(2)/25)*Calculateur!BL145*Calculateur!BN145*VLOOKUP('Données projet'!$B$11,Paramètres!$A$1:$I$89,3,0)*0.475*44/12</f>
        <v>0.71572697758220949</v>
      </c>
      <c r="BR145" s="23">
        <f>EXP(-LN(2)/2)*BR144+(1-EXP(-LN(2)/2))/(LN(2)/2)*BL145*BO145*VLOOKUP('Données projet'!$B$11,Paramètres!$A$1:$I$89,3,0)*0.475*44/12</f>
        <v>1.0161217845870396E-16</v>
      </c>
      <c r="BS145" s="24">
        <f t="shared" si="117"/>
        <v>2.1092088324854519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2.8421709430404007E-14</v>
      </c>
      <c r="BZ145" s="14">
        <f>BY145*VLOOKUP('Données projet'!$B$12,Paramètres!$A$1:$I$89,3,0)*VLOOKUP('Données projet'!$B$12,Paramètres!$A$1:$I$89,5,0)</f>
        <v>1.5518253349000589E-14</v>
      </c>
      <c r="CA145" s="14">
        <f t="shared" si="147"/>
        <v>2.8958815659671149E-13</v>
      </c>
      <c r="CB145" s="22">
        <f t="shared" si="118"/>
        <v>5.3139366398878183E-13</v>
      </c>
      <c r="CC145" s="62">
        <f t="shared" si="119"/>
        <v>285.69515750305959</v>
      </c>
      <c r="CD145" s="62">
        <f ca="1">AVERAGE(OFFSET($CC$3,0,0,'Données projet'!$E$12+1,1))-AVERAGE(OFFSET($H$3,0,0,'Données projet'!$E$12+1,1))</f>
        <v>182.44246264133781</v>
      </c>
      <c r="CE145" s="62">
        <f t="shared" si="148"/>
        <v>262.5818213397049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0.46890610204475669</v>
      </c>
      <c r="CL145" s="23">
        <f>EXP(-LN(2)/25)*CL144+(1-EXP(-LN(2)/25))/(LN(2)/25)*Calculateur!CG145*Calculateur!CI145*VLOOKUP('Données projet'!$B$12,Paramètres!$A$1:$I$89,3,0)*0.475*44/12</f>
        <v>0.81104963669214591</v>
      </c>
      <c r="CM145" s="23">
        <f>EXP(-LN(2)/2)*CM144+(1-EXP(-LN(2)/2))/(LN(2)/2)*CG145*CJ145*VLOOKUP('Données projet'!$B$12,Paramètres!$A$1:$I$89,3,0)*0.475*44/12</f>
        <v>4.1890782458631335E-20</v>
      </c>
      <c r="CN145" s="24">
        <f t="shared" si="120"/>
        <v>1.2799557387369025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-5.3205440053716299E-14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426.87921482911719</v>
      </c>
      <c r="CZ145" s="62">
        <f t="shared" si="150"/>
        <v>313.49594674441835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500.25828825677058</v>
      </c>
      <c r="DU145" s="62">
        <f t="shared" si="152"/>
        <v>313.56299786481338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0.11491908041767508</v>
      </c>
      <c r="EC145" s="23">
        <f>EXP(-LN(2)/2)*EC144+(1-EXP(-LN(2)/2))/(LN(2)/2)*DW145*DZ145*VLOOKUP('Données projet'!$B$14,Paramètres!$A$1:$I$89,3,0)*0.475*44/12</f>
        <v>3.4874769933978265E-16</v>
      </c>
      <c r="ED145" s="24">
        <f t="shared" si="126"/>
        <v>0.11491908041767543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548.17046467409421</v>
      </c>
      <c r="EP145" s="62">
        <f t="shared" si="154"/>
        <v>341.9250949809848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0.1278938153035418</v>
      </c>
      <c r="EX145" s="23">
        <f>EXP(-LN(2)/2)*EX144+(1-EXP(-LN(2)/2))/(LN(2)/2)*ER145*EU145*VLOOKUP('Données projet'!$B$15,Paramètres!$A$1:$I$89,3,0)*0.475*44/12</f>
        <v>3.8812243958782233E-16</v>
      </c>
      <c r="EY145" s="24">
        <f t="shared" si="129"/>
        <v>0.12789381530354219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472.83070477639035</v>
      </c>
      <c r="T146" s="62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0.39795700834731856</v>
      </c>
      <c r="AB146" s="23">
        <f>EXP(-LN(2)/2)*AB145+(1-EXP(-LN(2)/2))/(LN(2)/2)*V146*Y146*VLOOKUP('Données projet'!$B$9,Paramètres!$A$1:$I$89,3,0)*0.475*44/12</f>
        <v>1.4631077956309088E-16</v>
      </c>
      <c r="AC146" s="24">
        <f t="shared" si="111"/>
        <v>0.39795700834731873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520.80494930257237</v>
      </c>
      <c r="AO146" s="62">
        <f t="shared" si="144"/>
        <v>325.72635759450861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0.4459863024582017</v>
      </c>
      <c r="AW146" s="23">
        <f>EXP(-LN(2)/2)*AW145+(1-EXP(-LN(2)/2))/(LN(2)/2)*AQ146*AT146*VLOOKUP('Données projet'!$B$10,Paramètres!$A$1:$I$89,3,0)*0.475*44/12</f>
        <v>1.6396897709656708E-16</v>
      </c>
      <c r="AX146" s="23">
        <f t="shared" si="114"/>
        <v>0.44598630245820187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6.3550942286383367E-14</v>
      </c>
      <c r="BF146" s="14">
        <f t="shared" si="145"/>
        <v>1.0064464192543978E-12</v>
      </c>
      <c r="BG146" s="22">
        <f t="shared" si="115"/>
        <v>1.8635787380168604E-12</v>
      </c>
      <c r="BH146" s="62">
        <f t="shared" si="116"/>
        <v>285.82766277731332</v>
      </c>
      <c r="BI146" s="62">
        <f ca="1">AVERAGE(OFFSET($BH$3,0,0,'Données projet'!$E$11+1,1))-AVERAGE(OFFSET($H$3,0,0,'Données projet'!$E$11+1,1))</f>
        <v>321.60602866722138</v>
      </c>
      <c r="BJ146" s="62">
        <f t="shared" si="146"/>
        <v>375.18886653687389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1.3661565256685968</v>
      </c>
      <c r="BQ146" s="23">
        <f>EXP(-LN(2)/25)*BQ145+(1-EXP(-LN(2)/25))/(LN(2)/25)*Calculateur!BL146*Calculateur!BN146*VLOOKUP('Données projet'!$B$11,Paramètres!$A$1:$I$89,3,0)*0.475*44/12</f>
        <v>0.69615538574177804</v>
      </c>
      <c r="BR146" s="23">
        <f>EXP(-LN(2)/2)*BR145+(1-EXP(-LN(2)/2))/(LN(2)/2)*BL146*BO146*VLOOKUP('Données projet'!$B$11,Paramètres!$A$1:$I$89,3,0)*0.475*44/12</f>
        <v>7.1850660439287195E-17</v>
      </c>
      <c r="BS146" s="24">
        <f t="shared" si="117"/>
        <v>2.062311911410375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2.8421709430404007E-14</v>
      </c>
      <c r="BZ146" s="14">
        <f>BY146*VLOOKUP('Données projet'!$B$12,Paramètres!$A$1:$I$89,3,0)*VLOOKUP('Données projet'!$B$12,Paramètres!$A$1:$I$89,5,0)</f>
        <v>1.5518253349000589E-14</v>
      </c>
      <c r="CA146" s="14">
        <f t="shared" si="147"/>
        <v>2.8958815659671149E-13</v>
      </c>
      <c r="CB146" s="22">
        <f t="shared" si="118"/>
        <v>5.3139366398878183E-13</v>
      </c>
      <c r="CC146" s="62">
        <f t="shared" si="119"/>
        <v>285.82766277731196</v>
      </c>
      <c r="CD146" s="62">
        <f ca="1">AVERAGE(OFFSET($CC$3,0,0,'Données projet'!$E$12+1,1))-AVERAGE(OFFSET($H$3,0,0,'Données projet'!$E$12+1,1))</f>
        <v>182.44246264133781</v>
      </c>
      <c r="CE146" s="62">
        <f t="shared" si="148"/>
        <v>262.5818213397049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0.45971113938814068</v>
      </c>
      <c r="CL146" s="23">
        <f>EXP(-LN(2)/25)*CL145+(1-EXP(-LN(2)/25))/(LN(2)/25)*Calculateur!CG146*Calculateur!CI146*VLOOKUP('Données projet'!$B$12,Paramètres!$A$1:$I$89,3,0)*0.475*44/12</f>
        <v>0.78887144172555246</v>
      </c>
      <c r="CM146" s="23">
        <f>EXP(-LN(2)/2)*CM145+(1-EXP(-LN(2)/2))/(LN(2)/2)*CG146*CJ146*VLOOKUP('Données projet'!$B$12,Paramètres!$A$1:$I$89,3,0)*0.475*44/12</f>
        <v>2.9621256345708691E-20</v>
      </c>
      <c r="CN146" s="24">
        <f t="shared" si="120"/>
        <v>1.248582581113693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-5.3205440053716299E-14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426.87921482911719</v>
      </c>
      <c r="CZ146" s="62">
        <f t="shared" si="150"/>
        <v>313.49594674441835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500.25828825677058</v>
      </c>
      <c r="DU146" s="62">
        <f t="shared" si="152"/>
        <v>313.56299786481338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0.11177661212032197</v>
      </c>
      <c r="EC146" s="23">
        <f>EXP(-LN(2)/2)*EC145+(1-EXP(-LN(2)/2))/(LN(2)/2)*DW146*DZ146*VLOOKUP('Données projet'!$B$14,Paramètres!$A$1:$I$89,3,0)*0.475*44/12</f>
        <v>2.4660186312636755E-16</v>
      </c>
      <c r="ED146" s="24">
        <f t="shared" si="126"/>
        <v>0.11177661212032222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548.17046467409421</v>
      </c>
      <c r="EP146" s="62">
        <f t="shared" si="154"/>
        <v>341.9250949809848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0.12439655219842301</v>
      </c>
      <c r="EX146" s="23">
        <f>EXP(-LN(2)/2)*EX145+(1-EXP(-LN(2)/2))/(LN(2)/2)*ER146*EU146*VLOOKUP('Données projet'!$B$15,Paramètres!$A$1:$I$89,3,0)*0.475*44/12</f>
        <v>2.7444400896321529E-16</v>
      </c>
      <c r="EY146" s="24">
        <f t="shared" si="129"/>
        <v>0.12439655219842329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472.83070477639035</v>
      </c>
      <c r="T147" s="62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0.38707485302641159</v>
      </c>
      <c r="AB147" s="23">
        <f>EXP(-LN(2)/2)*AB146+(1-EXP(-LN(2)/2))/(LN(2)/2)*V147*Y147*VLOOKUP('Données projet'!$B$9,Paramètres!$A$1:$I$89,3,0)*0.475*44/12</f>
        <v>1.0345734438975169E-16</v>
      </c>
      <c r="AC147" s="24">
        <f t="shared" si="111"/>
        <v>0.3870748530264117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520.80494930257237</v>
      </c>
      <c r="AO147" s="62">
        <f t="shared" si="144"/>
        <v>325.72635759450861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0.43379078356408185</v>
      </c>
      <c r="AW147" s="23">
        <f>EXP(-LN(2)/2)*AW146+(1-EXP(-LN(2)/2))/(LN(2)/2)*AQ147*AT147*VLOOKUP('Données projet'!$B$10,Paramètres!$A$1:$I$89,3,0)*0.475*44/12</f>
        <v>1.1594357560920428E-16</v>
      </c>
      <c r="AX147" s="23">
        <f t="shared" si="114"/>
        <v>0.43379078356408196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6.3550942286383367E-14</v>
      </c>
      <c r="BF147" s="14">
        <f t="shared" si="145"/>
        <v>1.0064464192543978E-12</v>
      </c>
      <c r="BG147" s="22">
        <f t="shared" si="115"/>
        <v>1.8635787380168604E-12</v>
      </c>
      <c r="BH147" s="62">
        <f t="shared" si="116"/>
        <v>285.95786938129476</v>
      </c>
      <c r="BI147" s="62">
        <f ca="1">AVERAGE(OFFSET($BH$3,0,0,'Données projet'!$E$11+1,1))-AVERAGE(OFFSET($H$3,0,0,'Données projet'!$E$11+1,1))</f>
        <v>321.60602866722138</v>
      </c>
      <c r="BJ147" s="62">
        <f t="shared" si="146"/>
        <v>375.18886653687389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1.3393670294734374</v>
      </c>
      <c r="BQ147" s="23">
        <f>EXP(-LN(2)/25)*BQ146+(1-EXP(-LN(2)/25))/(LN(2)/25)*Calculateur!BL147*Calculateur!BN147*VLOOKUP('Données projet'!$B$11,Paramètres!$A$1:$I$89,3,0)*0.475*44/12</f>
        <v>0.67711898010944849</v>
      </c>
      <c r="BR147" s="23">
        <f>EXP(-LN(2)/2)*BR146+(1-EXP(-LN(2)/2))/(LN(2)/2)*BL147*BO147*VLOOKUP('Données projet'!$B$11,Paramètres!$A$1:$I$89,3,0)*0.475*44/12</f>
        <v>5.0806089229351978E-17</v>
      </c>
      <c r="BS147" s="24">
        <f t="shared" si="117"/>
        <v>2.016486009582886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2.8421709430404007E-14</v>
      </c>
      <c r="BZ147" s="14">
        <f>BY147*VLOOKUP('Données projet'!$B$12,Paramètres!$A$1:$I$89,3,0)*VLOOKUP('Données projet'!$B$12,Paramètres!$A$1:$I$89,5,0)</f>
        <v>1.5518253349000589E-14</v>
      </c>
      <c r="CA147" s="14">
        <f t="shared" si="147"/>
        <v>2.8958815659671149E-13</v>
      </c>
      <c r="CB147" s="22">
        <f t="shared" si="118"/>
        <v>5.3139366398878183E-13</v>
      </c>
      <c r="CC147" s="62">
        <f t="shared" si="119"/>
        <v>285.95786938129339</v>
      </c>
      <c r="CD147" s="62">
        <f ca="1">AVERAGE(OFFSET($CC$3,0,0,'Données projet'!$E$12+1,1))-AVERAGE(OFFSET($H$3,0,0,'Données projet'!$E$12+1,1))</f>
        <v>182.44246264133781</v>
      </c>
      <c r="CE147" s="62">
        <f t="shared" si="148"/>
        <v>262.5818213397049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0.45069648434084747</v>
      </c>
      <c r="CL147" s="23">
        <f>EXP(-LN(2)/25)*CL146+(1-EXP(-LN(2)/25))/(LN(2)/25)*Calculateur!CG147*Calculateur!CI147*VLOOKUP('Données projet'!$B$12,Paramètres!$A$1:$I$89,3,0)*0.475*44/12</f>
        <v>0.76729971066662106</v>
      </c>
      <c r="CM147" s="23">
        <f>EXP(-LN(2)/2)*CM146+(1-EXP(-LN(2)/2))/(LN(2)/2)*CG147*CJ147*VLOOKUP('Données projet'!$B$12,Paramètres!$A$1:$I$89,3,0)*0.475*44/12</f>
        <v>2.0945391229315668E-20</v>
      </c>
      <c r="CN147" s="24">
        <f t="shared" si="120"/>
        <v>1.2179961950074685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-5.3205440053716299E-14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426.87921482911719</v>
      </c>
      <c r="CZ147" s="62">
        <f t="shared" si="150"/>
        <v>313.49594674441835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500.25828825677058</v>
      </c>
      <c r="DU147" s="62">
        <f t="shared" si="152"/>
        <v>313.56299786481338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0.10872007478381521</v>
      </c>
      <c r="EC147" s="23">
        <f>EXP(-LN(2)/2)*EC146+(1-EXP(-LN(2)/2))/(LN(2)/2)*DW147*DZ147*VLOOKUP('Données projet'!$B$14,Paramètres!$A$1:$I$89,3,0)*0.475*44/12</f>
        <v>1.7437384966989133E-16</v>
      </c>
      <c r="ED147" s="24">
        <f t="shared" si="126"/>
        <v>0.10872007478381539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548.17046467409421</v>
      </c>
      <c r="EP147" s="62">
        <f t="shared" si="154"/>
        <v>341.9250949809848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0.12099492193682676</v>
      </c>
      <c r="EX147" s="23">
        <f>EXP(-LN(2)/2)*EX146+(1-EXP(-LN(2)/2))/(LN(2)/2)*ER147*EU147*VLOOKUP('Données projet'!$B$15,Paramètres!$A$1:$I$89,3,0)*0.475*44/12</f>
        <v>1.9406121979391117E-16</v>
      </c>
      <c r="EY147" s="24">
        <f t="shared" si="129"/>
        <v>0.12099492193682695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472.83070477639035</v>
      </c>
      <c r="T148" s="62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0.37649027081502251</v>
      </c>
      <c r="AB148" s="23">
        <f>EXP(-LN(2)/2)*AB147+(1-EXP(-LN(2)/2))/(LN(2)/2)*V148*Y148*VLOOKUP('Données projet'!$B$9,Paramètres!$A$1:$I$89,3,0)*0.475*44/12</f>
        <v>7.315538978154544E-17</v>
      </c>
      <c r="AC148" s="24">
        <f t="shared" si="111"/>
        <v>0.37649027081502257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520.80494930257237</v>
      </c>
      <c r="AO148" s="62">
        <f t="shared" si="144"/>
        <v>325.72635759450861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0.42192875177545619</v>
      </c>
      <c r="AW148" s="23">
        <f>EXP(-LN(2)/2)*AW147+(1-EXP(-LN(2)/2))/(LN(2)/2)*AQ148*AT148*VLOOKUP('Données projet'!$B$10,Paramètres!$A$1:$I$89,3,0)*0.475*44/12</f>
        <v>8.1984488548283542E-17</v>
      </c>
      <c r="AX148" s="23">
        <f t="shared" si="114"/>
        <v>0.42192875177545625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6.3550942286383367E-14</v>
      </c>
      <c r="BF148" s="14">
        <f t="shared" si="145"/>
        <v>1.0064464192543978E-12</v>
      </c>
      <c r="BG148" s="22">
        <f t="shared" si="115"/>
        <v>1.8635787380168604E-12</v>
      </c>
      <c r="BH148" s="62">
        <f t="shared" si="116"/>
        <v>286.08581719179546</v>
      </c>
      <c r="BI148" s="62">
        <f ca="1">AVERAGE(OFFSET($BH$3,0,0,'Données projet'!$E$11+1,1))-AVERAGE(OFFSET($H$3,0,0,'Données projet'!$E$11+1,1))</f>
        <v>321.60602866722138</v>
      </c>
      <c r="BJ148" s="62">
        <f t="shared" si="146"/>
        <v>375.18886653687389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1.3131028589586859</v>
      </c>
      <c r="BQ148" s="23">
        <f>EXP(-LN(2)/25)*BQ147+(1-EXP(-LN(2)/25))/(LN(2)/25)*Calculateur!BL148*Calculateur!BN148*VLOOKUP('Données projet'!$B$11,Paramètres!$A$1:$I$89,3,0)*0.475*44/12</f>
        <v>0.65860312599021598</v>
      </c>
      <c r="BR148" s="23">
        <f>EXP(-LN(2)/2)*BR147+(1-EXP(-LN(2)/2))/(LN(2)/2)*BL148*BO148*VLOOKUP('Données projet'!$B$11,Paramètres!$A$1:$I$89,3,0)*0.475*44/12</f>
        <v>3.5925330219643597E-17</v>
      </c>
      <c r="BS148" s="24">
        <f t="shared" si="117"/>
        <v>1.971705984948902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2.8421709430404007E-14</v>
      </c>
      <c r="BZ148" s="14">
        <f>BY148*VLOOKUP('Données projet'!$B$12,Paramètres!$A$1:$I$89,3,0)*VLOOKUP('Données projet'!$B$12,Paramètres!$A$1:$I$89,5,0)</f>
        <v>1.5518253349000589E-14</v>
      </c>
      <c r="CA148" s="14">
        <f t="shared" si="147"/>
        <v>2.8958815659671149E-13</v>
      </c>
      <c r="CB148" s="22">
        <f t="shared" si="118"/>
        <v>5.3139366398878183E-13</v>
      </c>
      <c r="CC148" s="62">
        <f t="shared" si="119"/>
        <v>286.08581719179409</v>
      </c>
      <c r="CD148" s="62">
        <f ca="1">AVERAGE(OFFSET($CC$3,0,0,'Données projet'!$E$12+1,1))-AVERAGE(OFFSET($H$3,0,0,'Données projet'!$E$12+1,1))</f>
        <v>182.44246264133781</v>
      </c>
      <c r="CE148" s="62">
        <f t="shared" si="148"/>
        <v>262.5818213397049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0.44185860118063502</v>
      </c>
      <c r="CL148" s="23">
        <f>EXP(-LN(2)/25)*CL147+(1-EXP(-LN(2)/25))/(LN(2)/25)*Calculateur!CG148*Calculateur!CI148*VLOOKUP('Données projet'!$B$12,Paramètres!$A$1:$I$89,3,0)*0.475*44/12</f>
        <v>0.74631785972790421</v>
      </c>
      <c r="CM148" s="23">
        <f>EXP(-LN(2)/2)*CM147+(1-EXP(-LN(2)/2))/(LN(2)/2)*CG148*CJ148*VLOOKUP('Données projet'!$B$12,Paramètres!$A$1:$I$89,3,0)*0.475*44/12</f>
        <v>1.4810628172854345E-20</v>
      </c>
      <c r="CN148" s="24">
        <f t="shared" si="120"/>
        <v>1.1881764609085392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-5.3205440053716299E-14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426.87921482911719</v>
      </c>
      <c r="CZ148" s="62">
        <f t="shared" si="150"/>
        <v>313.49594674441835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500.25828825677058</v>
      </c>
      <c r="DU148" s="62">
        <f t="shared" si="152"/>
        <v>313.56299786481338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0.10574711862151152</v>
      </c>
      <c r="EC148" s="23">
        <f>EXP(-LN(2)/2)*EC147+(1-EXP(-LN(2)/2))/(LN(2)/2)*DW148*DZ148*VLOOKUP('Données projet'!$B$14,Paramètres!$A$1:$I$89,3,0)*0.475*44/12</f>
        <v>1.2330093156318378E-16</v>
      </c>
      <c r="ED148" s="24">
        <f t="shared" si="126"/>
        <v>0.10574711862151165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548.17046467409421</v>
      </c>
      <c r="EP148" s="62">
        <f t="shared" si="154"/>
        <v>341.9250949809848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0.11768630943361783</v>
      </c>
      <c r="EX148" s="23">
        <f>EXP(-LN(2)/2)*EX147+(1-EXP(-LN(2)/2))/(LN(2)/2)*ER148*EU148*VLOOKUP('Données projet'!$B$15,Paramètres!$A$1:$I$89,3,0)*0.475*44/12</f>
        <v>1.3722200448160765E-16</v>
      </c>
      <c r="EY148" s="24">
        <f t="shared" si="129"/>
        <v>0.11768630943361796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472.83070477639035</v>
      </c>
      <c r="T149" s="62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0.36619512456082287</v>
      </c>
      <c r="AB149" s="23">
        <f>EXP(-LN(2)/2)*AB148+(1-EXP(-LN(2)/2))/(LN(2)/2)*V149*Y149*VLOOKUP('Données projet'!$B$9,Paramètres!$A$1:$I$89,3,0)*0.475*44/12</f>
        <v>5.1728672194875846E-17</v>
      </c>
      <c r="AC149" s="24">
        <f t="shared" si="111"/>
        <v>0.36619512456082293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520.80494930257237</v>
      </c>
      <c r="AO149" s="62">
        <f t="shared" si="144"/>
        <v>325.72635759450861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0.41039108786988759</v>
      </c>
      <c r="AW149" s="23">
        <f>EXP(-LN(2)/2)*AW148+(1-EXP(-LN(2)/2))/(LN(2)/2)*AQ149*AT149*VLOOKUP('Données projet'!$B$10,Paramètres!$A$1:$I$89,3,0)*0.475*44/12</f>
        <v>5.7971787804602141E-17</v>
      </c>
      <c r="AX149" s="23">
        <f t="shared" si="114"/>
        <v>0.41039108786988765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6.3550942286383367E-14</v>
      </c>
      <c r="BF149" s="14">
        <f t="shared" si="145"/>
        <v>1.0064464192543978E-12</v>
      </c>
      <c r="BG149" s="22">
        <f t="shared" si="115"/>
        <v>1.8635787380168604E-12</v>
      </c>
      <c r="BH149" s="62">
        <f t="shared" si="116"/>
        <v>286.21154539383252</v>
      </c>
      <c r="BI149" s="62">
        <f ca="1">AVERAGE(OFFSET($BH$3,0,0,'Données projet'!$E$11+1,1))-AVERAGE(OFFSET($H$3,0,0,'Données projet'!$E$11+1,1))</f>
        <v>321.60602866722138</v>
      </c>
      <c r="BJ149" s="62">
        <f t="shared" si="146"/>
        <v>375.18886653687389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1.2873537128081665</v>
      </c>
      <c r="BQ149" s="23">
        <f>EXP(-LN(2)/25)*BQ148+(1-EXP(-LN(2)/25))/(LN(2)/25)*Calculateur!BL149*Calculateur!BN149*VLOOKUP('Données projet'!$B$11,Paramètres!$A$1:$I$89,3,0)*0.475*44/12</f>
        <v>0.64059358887558038</v>
      </c>
      <c r="BR149" s="23">
        <f>EXP(-LN(2)/2)*BR148+(1-EXP(-LN(2)/2))/(LN(2)/2)*BL149*BO149*VLOOKUP('Données projet'!$B$11,Paramètres!$A$1:$I$89,3,0)*0.475*44/12</f>
        <v>2.5403044614675989E-17</v>
      </c>
      <c r="BS149" s="24">
        <f t="shared" si="117"/>
        <v>1.927947301683747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2.8421709430404007E-14</v>
      </c>
      <c r="BZ149" s="14">
        <f>BY149*VLOOKUP('Données projet'!$B$12,Paramètres!$A$1:$I$89,3,0)*VLOOKUP('Données projet'!$B$12,Paramètres!$A$1:$I$89,5,0)</f>
        <v>1.5518253349000589E-14</v>
      </c>
      <c r="CA149" s="14">
        <f t="shared" si="147"/>
        <v>2.8958815659671149E-13</v>
      </c>
      <c r="CB149" s="22">
        <f t="shared" si="118"/>
        <v>5.3139366398878183E-13</v>
      </c>
      <c r="CC149" s="62">
        <f t="shared" si="119"/>
        <v>286.21154539383116</v>
      </c>
      <c r="CD149" s="62">
        <f ca="1">AVERAGE(OFFSET($CC$3,0,0,'Données projet'!$E$12+1,1))-AVERAGE(OFFSET($H$3,0,0,'Données projet'!$E$12+1,1))</f>
        <v>182.44246264133781</v>
      </c>
      <c r="CE149" s="62">
        <f t="shared" si="148"/>
        <v>262.5818213397049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0.43319402351861785</v>
      </c>
      <c r="CL149" s="23">
        <f>EXP(-LN(2)/25)*CL148+(1-EXP(-LN(2)/25))/(LN(2)/25)*Calculateur!CG149*Calculateur!CI149*VLOOKUP('Données projet'!$B$12,Paramètres!$A$1:$I$89,3,0)*0.475*44/12</f>
        <v>0.7259097586064942</v>
      </c>
      <c r="CM149" s="23">
        <f>EXP(-LN(2)/2)*CM148+(1-EXP(-LN(2)/2))/(LN(2)/2)*CG149*CJ149*VLOOKUP('Données projet'!$B$12,Paramètres!$A$1:$I$89,3,0)*0.475*44/12</f>
        <v>1.0472695614657834E-20</v>
      </c>
      <c r="CN149" s="24">
        <f t="shared" si="120"/>
        <v>1.159103782125112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-5.3205440053716299E-14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426.87921482911719</v>
      </c>
      <c r="CZ149" s="62">
        <f t="shared" si="150"/>
        <v>313.49594674441835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500.25828825677058</v>
      </c>
      <c r="DU149" s="62">
        <f t="shared" si="152"/>
        <v>313.56299786481338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0.10285545810180702</v>
      </c>
      <c r="EC149" s="23">
        <f>EXP(-LN(2)/2)*EC148+(1-EXP(-LN(2)/2))/(LN(2)/2)*DW149*DZ149*VLOOKUP('Données projet'!$B$14,Paramètres!$A$1:$I$89,3,0)*0.475*44/12</f>
        <v>8.7186924834945663E-17</v>
      </c>
      <c r="ED149" s="24">
        <f t="shared" si="126"/>
        <v>0.1028554581018071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548.17046467409421</v>
      </c>
      <c r="EP149" s="62">
        <f t="shared" si="154"/>
        <v>341.9250949809848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0.11446817111330151</v>
      </c>
      <c r="EX149" s="23">
        <f>EXP(-LN(2)/2)*EX148+(1-EXP(-LN(2)/2))/(LN(2)/2)*ER149*EU149*VLOOKUP('Données projet'!$B$15,Paramètres!$A$1:$I$89,3,0)*0.475*44/12</f>
        <v>9.7030609896955584E-17</v>
      </c>
      <c r="EY149" s="24">
        <f t="shared" si="129"/>
        <v>0.11446817111330161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472.83070477639035</v>
      </c>
      <c r="T150" s="62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0.35618149962234252</v>
      </c>
      <c r="AB150" s="23">
        <f>EXP(-LN(2)/2)*AB149+(1-EXP(-LN(2)/2))/(LN(2)/2)*V150*Y150*VLOOKUP('Données projet'!$B$9,Paramètres!$A$1:$I$89,3,0)*0.475*44/12</f>
        <v>3.657769489077272E-17</v>
      </c>
      <c r="AC150" s="24">
        <f t="shared" si="111"/>
        <v>0.35618149962234258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520.80494930257237</v>
      </c>
      <c r="AO150" s="62">
        <f t="shared" si="144"/>
        <v>325.72635759450861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0.39916892199055615</v>
      </c>
      <c r="AW150" s="23">
        <f>EXP(-LN(2)/2)*AW149+(1-EXP(-LN(2)/2))/(LN(2)/2)*AQ150*AT150*VLOOKUP('Données projet'!$B$10,Paramètres!$A$1:$I$89,3,0)*0.475*44/12</f>
        <v>4.0992244274141771E-17</v>
      </c>
      <c r="AX150" s="23">
        <f t="shared" si="114"/>
        <v>0.3991689219905562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6.3550942286383367E-14</v>
      </c>
      <c r="BF150" s="14">
        <f t="shared" si="145"/>
        <v>1.0064464192543978E-12</v>
      </c>
      <c r="BG150" s="22">
        <f t="shared" si="115"/>
        <v>1.8635787380168604E-12</v>
      </c>
      <c r="BH150" s="62">
        <f t="shared" si="116"/>
        <v>286.33509249265029</v>
      </c>
      <c r="BI150" s="62">
        <f ca="1">AVERAGE(OFFSET($BH$3,0,0,'Données projet'!$E$11+1,1))-AVERAGE(OFFSET($H$3,0,0,'Données projet'!$E$11+1,1))</f>
        <v>321.60602866722138</v>
      </c>
      <c r="BJ150" s="62">
        <f t="shared" si="146"/>
        <v>375.18886653687389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1.2621094917082303</v>
      </c>
      <c r="BQ150" s="23">
        <f>EXP(-LN(2)/25)*BQ149+(1-EXP(-LN(2)/25))/(LN(2)/25)*Calculateur!BL150*Calculateur!BN150*VLOOKUP('Données projet'!$B$11,Paramètres!$A$1:$I$89,3,0)*0.475*44/12</f>
        <v>0.62307652350042486</v>
      </c>
      <c r="BR150" s="23">
        <f>EXP(-LN(2)/2)*BR149+(1-EXP(-LN(2)/2))/(LN(2)/2)*BL150*BO150*VLOOKUP('Données projet'!$B$11,Paramètres!$A$1:$I$89,3,0)*0.475*44/12</f>
        <v>1.7962665109821799E-17</v>
      </c>
      <c r="BS150" s="24">
        <f t="shared" si="117"/>
        <v>1.8851860152086553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2.8421709430404007E-14</v>
      </c>
      <c r="BZ150" s="14">
        <f>BY150*VLOOKUP('Données projet'!$B$12,Paramètres!$A$1:$I$89,3,0)*VLOOKUP('Données projet'!$B$12,Paramètres!$A$1:$I$89,5,0)</f>
        <v>1.5518253349000589E-14</v>
      </c>
      <c r="CA150" s="14">
        <f t="shared" si="147"/>
        <v>2.8958815659671149E-13</v>
      </c>
      <c r="CB150" s="22">
        <f t="shared" si="118"/>
        <v>5.3139366398878183E-13</v>
      </c>
      <c r="CC150" s="62">
        <f t="shared" si="119"/>
        <v>286.33509249264893</v>
      </c>
      <c r="CD150" s="62">
        <f ca="1">AVERAGE(OFFSET($CC$3,0,0,'Données projet'!$E$12+1,1))-AVERAGE(OFFSET($H$3,0,0,'Données projet'!$E$12+1,1))</f>
        <v>182.44246264133781</v>
      </c>
      <c r="CE150" s="62">
        <f t="shared" si="148"/>
        <v>262.5818213397049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0.42469935293968231</v>
      </c>
      <c r="CL150" s="23">
        <f>EXP(-LN(2)/25)*CL149+(1-EXP(-LN(2)/25))/(LN(2)/25)*Calculateur!CG150*Calculateur!CI150*VLOOKUP('Données projet'!$B$12,Paramètres!$A$1:$I$89,3,0)*0.475*44/12</f>
        <v>0.70605971808346446</v>
      </c>
      <c r="CM150" s="23">
        <f>EXP(-LN(2)/2)*CM149+(1-EXP(-LN(2)/2))/(LN(2)/2)*CG150*CJ150*VLOOKUP('Données projet'!$B$12,Paramètres!$A$1:$I$89,3,0)*0.475*44/12</f>
        <v>7.4053140864271727E-21</v>
      </c>
      <c r="CN150" s="24">
        <f t="shared" si="120"/>
        <v>1.1307590710231468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-5.3205440053716299E-14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426.87921482911719</v>
      </c>
      <c r="CZ150" s="62">
        <f t="shared" si="150"/>
        <v>313.49594674441835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500.25828825677058</v>
      </c>
      <c r="DU150" s="62">
        <f t="shared" si="152"/>
        <v>313.56299786481338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0.10004287019107964</v>
      </c>
      <c r="EC150" s="23">
        <f>EXP(-LN(2)/2)*EC149+(1-EXP(-LN(2)/2))/(LN(2)/2)*DW150*DZ150*VLOOKUP('Données projet'!$B$14,Paramètres!$A$1:$I$89,3,0)*0.475*44/12</f>
        <v>6.1650465781591888E-17</v>
      </c>
      <c r="ED150" s="24">
        <f t="shared" si="126"/>
        <v>0.1000428701910797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548.17046467409421</v>
      </c>
      <c r="EP150" s="62">
        <f t="shared" si="154"/>
        <v>341.9250949809848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0.11133803295458879</v>
      </c>
      <c r="EX150" s="23">
        <f>EXP(-LN(2)/2)*EX149+(1-EXP(-LN(2)/2))/(LN(2)/2)*ER150*EU150*VLOOKUP('Données projet'!$B$15,Paramètres!$A$1:$I$89,3,0)*0.475*44/12</f>
        <v>6.8611002240803824E-17</v>
      </c>
      <c r="EY150" s="24">
        <f t="shared" si="129"/>
        <v>0.11133803295458886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472.83070477639035</v>
      </c>
      <c r="T151" s="62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0.34644169778439854</v>
      </c>
      <c r="AB151" s="23">
        <f>EXP(-LN(2)/2)*AB150+(1-EXP(-LN(2)/2))/(LN(2)/2)*V151*Y151*VLOOKUP('Données projet'!$B$9,Paramètres!$A$1:$I$89,3,0)*0.475*44/12</f>
        <v>2.5864336097437923E-17</v>
      </c>
      <c r="AC151" s="24">
        <f t="shared" si="111"/>
        <v>0.34644169778439854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520.80494930257237</v>
      </c>
      <c r="AO151" s="62">
        <f t="shared" si="144"/>
        <v>325.72635759450861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0.3882536268273431</v>
      </c>
      <c r="AW151" s="23">
        <f>EXP(-LN(2)/2)*AW150+(1-EXP(-LN(2)/2))/(LN(2)/2)*AQ151*AT151*VLOOKUP('Données projet'!$B$10,Paramètres!$A$1:$I$89,3,0)*0.475*44/12</f>
        <v>2.898589390230107E-17</v>
      </c>
      <c r="AX151" s="23">
        <f t="shared" si="114"/>
        <v>0.38825362682734316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6.3550942286383367E-14</v>
      </c>
      <c r="BF151" s="14">
        <f t="shared" si="145"/>
        <v>1.0064464192543978E-12</v>
      </c>
      <c r="BG151" s="22">
        <f t="shared" si="115"/>
        <v>1.8635787380168604E-12</v>
      </c>
      <c r="BH151" s="62">
        <f t="shared" si="116"/>
        <v>286.45649632551357</v>
      </c>
      <c r="BI151" s="62">
        <f ca="1">AVERAGE(OFFSET($BH$3,0,0,'Données projet'!$E$11+1,1))-AVERAGE(OFFSET($H$3,0,0,'Données projet'!$E$11+1,1))</f>
        <v>321.60602866722138</v>
      </c>
      <c r="BJ151" s="62">
        <f t="shared" si="146"/>
        <v>375.18886653687389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1.2373602943866093</v>
      </c>
      <c r="BQ151" s="23">
        <f>EXP(-LN(2)/25)*BQ150+(1-EXP(-LN(2)/25))/(LN(2)/25)*Calculateur!BL151*Calculateur!BN151*VLOOKUP('Données projet'!$B$11,Paramètres!$A$1:$I$89,3,0)*0.475*44/12</f>
        <v>0.60603846319913546</v>
      </c>
      <c r="BR151" s="23">
        <f>EXP(-LN(2)/2)*BR150+(1-EXP(-LN(2)/2))/(LN(2)/2)*BL151*BO151*VLOOKUP('Données projet'!$B$11,Paramètres!$A$1:$I$89,3,0)*0.475*44/12</f>
        <v>1.2701522307337994E-17</v>
      </c>
      <c r="BS151" s="24">
        <f t="shared" si="117"/>
        <v>1.8433987575857449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2.8421709430404007E-14</v>
      </c>
      <c r="BZ151" s="14">
        <f>BY151*VLOOKUP('Données projet'!$B$12,Paramètres!$A$1:$I$89,3,0)*VLOOKUP('Données projet'!$B$12,Paramètres!$A$1:$I$89,5,0)</f>
        <v>1.5518253349000589E-14</v>
      </c>
      <c r="CA151" s="14">
        <f t="shared" si="147"/>
        <v>2.8958815659671149E-13</v>
      </c>
      <c r="CB151" s="22">
        <f t="shared" si="118"/>
        <v>5.3139366398878183E-13</v>
      </c>
      <c r="CC151" s="62">
        <f t="shared" si="119"/>
        <v>286.45649632551221</v>
      </c>
      <c r="CD151" s="62">
        <f ca="1">AVERAGE(OFFSET($CC$3,0,0,'Données projet'!$E$12+1,1))-AVERAGE(OFFSET($H$3,0,0,'Données projet'!$E$12+1,1))</f>
        <v>182.44246264133781</v>
      </c>
      <c r="CE151" s="62">
        <f t="shared" si="148"/>
        <v>262.5818213397049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0.41637125766956223</v>
      </c>
      <c r="CL151" s="23">
        <f>EXP(-LN(2)/25)*CL150+(1-EXP(-LN(2)/25))/(LN(2)/25)*Calculateur!CG151*Calculateur!CI151*VLOOKUP('Données projet'!$B$12,Paramètres!$A$1:$I$89,3,0)*0.475*44/12</f>
        <v>0.68675247796240524</v>
      </c>
      <c r="CM151" s="23">
        <f>EXP(-LN(2)/2)*CM150+(1-EXP(-LN(2)/2))/(LN(2)/2)*CG151*CJ151*VLOOKUP('Données projet'!$B$12,Paramètres!$A$1:$I$89,3,0)*0.475*44/12</f>
        <v>5.2363478073289169E-21</v>
      </c>
      <c r="CN151" s="24">
        <f t="shared" si="120"/>
        <v>1.1031237356319674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-5.3205440053716299E-14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426.87921482911719</v>
      </c>
      <c r="CZ151" s="62">
        <f t="shared" si="150"/>
        <v>313.49594674441835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500.25828825677058</v>
      </c>
      <c r="DU151" s="62">
        <f t="shared" si="152"/>
        <v>313.56299786481338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9.7307192644678672E-2</v>
      </c>
      <c r="EC151" s="23">
        <f>EXP(-LN(2)/2)*EC150+(1-EXP(-LN(2)/2))/(LN(2)/2)*DW151*DZ151*VLOOKUP('Données projet'!$B$14,Paramètres!$A$1:$I$89,3,0)*0.475*44/12</f>
        <v>4.3593462417472832E-17</v>
      </c>
      <c r="ED151" s="24">
        <f t="shared" si="126"/>
        <v>9.7307192644678714E-2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548.17046467409421</v>
      </c>
      <c r="EP151" s="62">
        <f t="shared" si="154"/>
        <v>341.9250949809848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0.10829348858843287</v>
      </c>
      <c r="EX151" s="23">
        <f>EXP(-LN(2)/2)*EX150+(1-EXP(-LN(2)/2))/(LN(2)/2)*ER151*EU151*VLOOKUP('Données projet'!$B$15,Paramètres!$A$1:$I$89,3,0)*0.475*44/12</f>
        <v>4.8515304948477792E-17</v>
      </c>
      <c r="EY151" s="24">
        <f t="shared" si="129"/>
        <v>0.10829348858843291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472.83070477639035</v>
      </c>
      <c r="T152" s="62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0.33696823133990705</v>
      </c>
      <c r="AB152" s="23">
        <f>EXP(-LN(2)/2)*AB151+(1-EXP(-LN(2)/2))/(LN(2)/2)*V152*Y152*VLOOKUP('Données projet'!$B$9,Paramètres!$A$1:$I$89,3,0)*0.475*44/12</f>
        <v>1.828884744538636E-17</v>
      </c>
      <c r="AC152" s="24">
        <f t="shared" si="111"/>
        <v>0.33696823133990705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520.80494930257237</v>
      </c>
      <c r="AO152" s="62">
        <f t="shared" si="144"/>
        <v>325.72635759450861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0.37763681098437851</v>
      </c>
      <c r="AW152" s="23">
        <f>EXP(-LN(2)/2)*AW151+(1-EXP(-LN(2)/2))/(LN(2)/2)*AQ152*AT152*VLOOKUP('Données projet'!$B$10,Paramètres!$A$1:$I$89,3,0)*0.475*44/12</f>
        <v>2.0496122137070885E-17</v>
      </c>
      <c r="AX152" s="23">
        <f t="shared" si="114"/>
        <v>0.37763681098437851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6.3550942286383367E-14</v>
      </c>
      <c r="BF152" s="14">
        <f t="shared" si="145"/>
        <v>1.0064464192543978E-12</v>
      </c>
      <c r="BG152" s="22">
        <f t="shared" si="115"/>
        <v>1.8635787380168604E-12</v>
      </c>
      <c r="BH152" s="62">
        <f t="shared" si="116"/>
        <v>286.57579407329496</v>
      </c>
      <c r="BI152" s="62">
        <f ca="1">AVERAGE(OFFSET($BH$3,0,0,'Données projet'!$E$11+1,1))-AVERAGE(OFFSET($H$3,0,0,'Données projet'!$E$11+1,1))</f>
        <v>321.60602866722138</v>
      </c>
      <c r="BJ152" s="62">
        <f t="shared" si="146"/>
        <v>375.18886653687389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1.2130964137289455</v>
      </c>
      <c r="BQ152" s="23">
        <f>EXP(-LN(2)/25)*BQ151+(1-EXP(-LN(2)/25))/(LN(2)/25)*Calculateur!BL152*Calculateur!BN152*VLOOKUP('Données projet'!$B$11,Paramètres!$A$1:$I$89,3,0)*0.475*44/12</f>
        <v>0.58946630955277746</v>
      </c>
      <c r="BR152" s="23">
        <f>EXP(-LN(2)/2)*BR151+(1-EXP(-LN(2)/2))/(LN(2)/2)*BL152*BO152*VLOOKUP('Données projet'!$B$11,Paramètres!$A$1:$I$89,3,0)*0.475*44/12</f>
        <v>8.9813325549108994E-18</v>
      </c>
      <c r="BS152" s="24">
        <f t="shared" si="117"/>
        <v>1.802562723281723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2.8421709430404007E-14</v>
      </c>
      <c r="BZ152" s="14">
        <f>BY152*VLOOKUP('Données projet'!$B$12,Paramètres!$A$1:$I$89,3,0)*VLOOKUP('Données projet'!$B$12,Paramètres!$A$1:$I$89,5,0)</f>
        <v>1.5518253349000589E-14</v>
      </c>
      <c r="CA152" s="14">
        <f t="shared" si="147"/>
        <v>2.8958815659671149E-13</v>
      </c>
      <c r="CB152" s="22">
        <f t="shared" si="118"/>
        <v>5.3139366398878183E-13</v>
      </c>
      <c r="CC152" s="62">
        <f t="shared" si="119"/>
        <v>286.57579407329359</v>
      </c>
      <c r="CD152" s="62">
        <f ca="1">AVERAGE(OFFSET($CC$3,0,0,'Données projet'!$E$12+1,1))-AVERAGE(OFFSET($H$3,0,0,'Données projet'!$E$12+1,1))</f>
        <v>182.44246264133781</v>
      </c>
      <c r="CE152" s="62">
        <f t="shared" si="148"/>
        <v>262.5818213397049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0.40820647126805271</v>
      </c>
      <c r="CL152" s="23">
        <f>EXP(-LN(2)/25)*CL151+(1-EXP(-LN(2)/25))/(LN(2)/25)*Calculateur!CG152*Calculateur!CI152*VLOOKUP('Données projet'!$B$12,Paramètres!$A$1:$I$89,3,0)*0.475*44/12</f>
        <v>0.66797319533777999</v>
      </c>
      <c r="CM152" s="23">
        <f>EXP(-LN(2)/2)*CM151+(1-EXP(-LN(2)/2))/(LN(2)/2)*CG152*CJ152*VLOOKUP('Données projet'!$B$12,Paramètres!$A$1:$I$89,3,0)*0.475*44/12</f>
        <v>3.7026570432135863E-21</v>
      </c>
      <c r="CN152" s="24">
        <f t="shared" si="120"/>
        <v>1.0761796666058328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-5.3205440053716299E-14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426.87921482911719</v>
      </c>
      <c r="CZ152" s="62">
        <f t="shared" si="150"/>
        <v>313.49594674441835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500.25828825677058</v>
      </c>
      <c r="DU152" s="62">
        <f t="shared" si="152"/>
        <v>313.56299786481338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9.4646322344647066E-2</v>
      </c>
      <c r="EC152" s="23">
        <f>EXP(-LN(2)/2)*EC151+(1-EXP(-LN(2)/2))/(LN(2)/2)*DW152*DZ152*VLOOKUP('Données projet'!$B$14,Paramètres!$A$1:$I$89,3,0)*0.475*44/12</f>
        <v>3.0825232890795944E-17</v>
      </c>
      <c r="ED152" s="24">
        <f t="shared" si="126"/>
        <v>9.4646322344647094E-2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548.17046467409421</v>
      </c>
      <c r="EP152" s="62">
        <f t="shared" si="154"/>
        <v>341.9250949809848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0.10533219744807511</v>
      </c>
      <c r="EX152" s="23">
        <f>EXP(-LN(2)/2)*EX151+(1-EXP(-LN(2)/2))/(LN(2)/2)*ER152*EU152*VLOOKUP('Données projet'!$B$15,Paramètres!$A$1:$I$89,3,0)*0.475*44/12</f>
        <v>3.4305501120401912E-17</v>
      </c>
      <c r="EY152" s="24">
        <f t="shared" si="129"/>
        <v>0.10533219744807513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472.83070477639035</v>
      </c>
      <c r="T153" s="62">
        <f t="shared" si="142"/>
        <v>297.32483725004136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0.32775381733352815</v>
      </c>
      <c r="AB153" s="23">
        <f>EXP(-LN(2)/2)*AB152+(1-EXP(-LN(2)/2))/(LN(2)/2)*V153*Y153*VLOOKUP('Données projet'!$B$9,Paramètres!$A$1:$I$89,3,0)*0.475*44/12</f>
        <v>1.2932168048718962E-17</v>
      </c>
      <c r="AC153" s="24">
        <f t="shared" si="111"/>
        <v>0.32775381733352815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520.80494930257237</v>
      </c>
      <c r="AO153" s="62">
        <f t="shared" si="144"/>
        <v>325.72635759450861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0.36731031252895391</v>
      </c>
      <c r="AW153" s="23">
        <f>EXP(-LN(2)/2)*AW152+(1-EXP(-LN(2)/2))/(LN(2)/2)*AQ153*AT153*VLOOKUP('Données projet'!$B$10,Paramètres!$A$1:$I$89,3,0)*0.475*44/12</f>
        <v>1.4492946951150535E-17</v>
      </c>
      <c r="AX153" s="23">
        <f t="shared" si="114"/>
        <v>0.36731031252895391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6.3550942286383367E-14</v>
      </c>
      <c r="BF153" s="14">
        <f t="shared" si="145"/>
        <v>1.0064464192543978E-12</v>
      </c>
      <c r="BG153" s="22">
        <f t="shared" si="115"/>
        <v>1.8635787380168604E-12</v>
      </c>
      <c r="BH153" s="62">
        <f t="shared" si="116"/>
        <v>286.69302227186222</v>
      </c>
      <c r="BI153" s="62">
        <f ca="1">AVERAGE(OFFSET($BH$3,0,0,'Données projet'!$E$11+1,1))-AVERAGE(OFFSET($H$3,0,0,'Données projet'!$E$11+1,1))</f>
        <v>321.60602866722138</v>
      </c>
      <c r="BJ153" s="62">
        <f t="shared" si="146"/>
        <v>375.18886653687389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1.1893083329714726</v>
      </c>
      <c r="BQ153" s="23">
        <f>EXP(-LN(2)/25)*BQ152+(1-EXP(-LN(2)/25))/(LN(2)/25)*Calculateur!BL153*Calculateur!BN153*VLOOKUP('Données projet'!$B$11,Paramètres!$A$1:$I$89,3,0)*0.475*44/12</f>
        <v>0.5733473223193708</v>
      </c>
      <c r="BR153" s="23">
        <f>EXP(-LN(2)/2)*BR152+(1-EXP(-LN(2)/2))/(LN(2)/2)*BL153*BO153*VLOOKUP('Données projet'!$B$11,Paramètres!$A$1:$I$89,3,0)*0.475*44/12</f>
        <v>6.3507611536689972E-18</v>
      </c>
      <c r="BS153" s="24">
        <f t="shared" si="117"/>
        <v>1.7626556552908434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2.8421709430404007E-14</v>
      </c>
      <c r="BZ153" s="14">
        <f>BY153*VLOOKUP('Données projet'!$B$12,Paramètres!$A$1:$I$89,3,0)*VLOOKUP('Données projet'!$B$12,Paramètres!$A$1:$I$89,5,0)</f>
        <v>1.5518253349000589E-14</v>
      </c>
      <c r="CA153" s="14">
        <f t="shared" si="147"/>
        <v>2.8958815659671149E-13</v>
      </c>
      <c r="CB153" s="22">
        <f t="shared" si="118"/>
        <v>5.3139366398878183E-13</v>
      </c>
      <c r="CC153" s="62">
        <f t="shared" si="119"/>
        <v>286.69302227186085</v>
      </c>
      <c r="CD153" s="62">
        <f ca="1">AVERAGE(OFFSET($CC$3,0,0,'Données projet'!$E$12+1,1))-AVERAGE(OFFSET($H$3,0,0,'Données projet'!$E$12+1,1))</f>
        <v>182.44246264133781</v>
      </c>
      <c r="CE153" s="62">
        <f t="shared" si="148"/>
        <v>262.5818213397049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0.40020179134784878</v>
      </c>
      <c r="CL153" s="23">
        <f>EXP(-LN(2)/25)*CL152+(1-EXP(-LN(2)/25))/(LN(2)/25)*Calculateur!CG153*Calculateur!CI153*VLOOKUP('Données projet'!$B$12,Paramètres!$A$1:$I$89,3,0)*0.475*44/12</f>
        <v>0.64970743318408475</v>
      </c>
      <c r="CM153" s="23">
        <f>EXP(-LN(2)/2)*CM152+(1-EXP(-LN(2)/2))/(LN(2)/2)*CG153*CJ153*VLOOKUP('Données projet'!$B$12,Paramètres!$A$1:$I$89,3,0)*0.475*44/12</f>
        <v>2.6181739036644584E-21</v>
      </c>
      <c r="CN153" s="24">
        <f t="shared" si="120"/>
        <v>1.0499092245319335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-5.3205440053716299E-14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426.87921482911719</v>
      </c>
      <c r="CZ153" s="62">
        <f t="shared" si="150"/>
        <v>313.49594674441835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500.25828825677058</v>
      </c>
      <c r="DU153" s="62">
        <f t="shared" si="152"/>
        <v>313.56299786481338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9.2058213682898918E-2</v>
      </c>
      <c r="EC153" s="23">
        <f>EXP(-LN(2)/2)*EC152+(1-EXP(-LN(2)/2))/(LN(2)/2)*DW153*DZ153*VLOOKUP('Données projet'!$B$14,Paramètres!$A$1:$I$89,3,0)*0.475*44/12</f>
        <v>2.1796731208736416E-17</v>
      </c>
      <c r="ED153" s="24">
        <f t="shared" si="126"/>
        <v>9.2058213682898946E-2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548.17046467409421</v>
      </c>
      <c r="EP153" s="62">
        <f t="shared" si="154"/>
        <v>341.9250949809848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0.10245188296967797</v>
      </c>
      <c r="EX153" s="23">
        <f>EXP(-LN(2)/2)*EX152+(1-EXP(-LN(2)/2))/(LN(2)/2)*ER153*EU153*VLOOKUP('Données projet'!$B$15,Paramètres!$A$1:$I$89,3,0)*0.475*44/12</f>
        <v>2.4257652474238896E-17</v>
      </c>
      <c r="EY153" s="24">
        <f t="shared" si="129"/>
        <v>0.102451882969678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472.83070477639035</v>
      </c>
      <c r="T154" s="62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0.31879137196271867</v>
      </c>
      <c r="AB154" s="23">
        <f>EXP(-LN(2)/2)*AB153+(1-EXP(-LN(2)/2))/(LN(2)/2)*V154*Y154*VLOOKUP('Données projet'!$B$9,Paramètres!$A$1:$I$89,3,0)*0.475*44/12</f>
        <v>9.1444237226931799E-18</v>
      </c>
      <c r="AC154" s="24">
        <f t="shared" ref="AC154:AC203" si="163">SUM(Z154:AB154)</f>
        <v>0.31879137196271867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520.80494930257237</v>
      </c>
      <c r="AO154" s="62">
        <f t="shared" si="144"/>
        <v>325.72635759450861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0.35726619271683985</v>
      </c>
      <c r="AW154" s="23">
        <f>EXP(-LN(2)/2)*AW153+(1-EXP(-LN(2)/2))/(LN(2)/2)*AQ154*AT154*VLOOKUP('Données projet'!$B$10,Paramètres!$A$1:$I$89,3,0)*0.475*44/12</f>
        <v>1.0248061068535443E-17</v>
      </c>
      <c r="AX154" s="23">
        <f t="shared" ref="AX154:AX203" si="166">SUM(AU154:AW154)</f>
        <v>0.35726619271683985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6.3550942286383367E-14</v>
      </c>
      <c r="BF154" s="14">
        <f t="shared" ref="BF154:BF203" si="167">EXP(-1.0587+0.8836*LN(BE154)+0.284)</f>
        <v>1.0064464192543978E-12</v>
      </c>
      <c r="BG154" s="22">
        <f t="shared" ref="BG154:BG203" si="168">(BE154+BF154)*0.475*44/12</f>
        <v>1.8635787380168604E-12</v>
      </c>
      <c r="BH154" s="62">
        <f t="shared" si="116"/>
        <v>286.80821682326723</v>
      </c>
      <c r="BI154" s="62">
        <f ca="1">AVERAGE(OFFSET($BH$3,0,0,'Données projet'!$E$11+1,1))-AVERAGE(OFFSET($H$3,0,0,'Données projet'!$E$11+1,1))</f>
        <v>321.60602866722138</v>
      </c>
      <c r="BJ154" s="62">
        <f t="shared" si="146"/>
        <v>375.18886653687389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1.1659867219683573</v>
      </c>
      <c r="BQ154" s="23">
        <f>EXP(-LN(2)/25)*BQ153+(1-EXP(-LN(2)/25))/(LN(2)/25)*Calculateur!BL154*Calculateur!BN154*VLOOKUP('Données projet'!$B$11,Paramètres!$A$1:$I$89,3,0)*0.475*44/12</f>
        <v>0.55766910963952232</v>
      </c>
      <c r="BR154" s="23">
        <f>EXP(-LN(2)/2)*BR153+(1-EXP(-LN(2)/2))/(LN(2)/2)*BL154*BO154*VLOOKUP('Données projet'!$B$11,Paramètres!$A$1:$I$89,3,0)*0.475*44/12</f>
        <v>4.4906662774554497E-18</v>
      </c>
      <c r="BS154" s="24">
        <f t="shared" ref="BS154:BS203" si="169">SUM(BP154:BR154)</f>
        <v>1.7236558316078796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2.8421709430404007E-14</v>
      </c>
      <c r="BZ154" s="14">
        <f>BY154*VLOOKUP('Données projet'!$B$12,Paramètres!$A$1:$I$89,3,0)*VLOOKUP('Données projet'!$B$12,Paramètres!$A$1:$I$89,5,0)</f>
        <v>1.5518253349000589E-14</v>
      </c>
      <c r="CA154" s="14">
        <f t="shared" ref="CA154:CA203" si="170">EXP(-1.0587+0.8836*LN(BZ154)+0.284)</f>
        <v>2.8958815659671149E-13</v>
      </c>
      <c r="CB154" s="22">
        <f t="shared" ref="CB154:CB203" si="171">(BZ154+CA154)*0.475*44/12</f>
        <v>5.3139366398878183E-13</v>
      </c>
      <c r="CC154" s="62">
        <f t="shared" si="119"/>
        <v>286.80821682326587</v>
      </c>
      <c r="CD154" s="62">
        <f ca="1">AVERAGE(OFFSET($CC$3,0,0,'Données projet'!$E$12+1,1))-AVERAGE(OFFSET($H$3,0,0,'Données projet'!$E$12+1,1))</f>
        <v>182.44246264133781</v>
      </c>
      <c r="CE154" s="62">
        <f t="shared" si="148"/>
        <v>262.5818213397049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0.39235407831850744</v>
      </c>
      <c r="CL154" s="23">
        <f>EXP(-LN(2)/25)*CL153+(1-EXP(-LN(2)/25))/(LN(2)/25)*Calculateur!CG154*Calculateur!CI154*VLOOKUP('Données projet'!$B$12,Paramètres!$A$1:$I$89,3,0)*0.475*44/12</f>
        <v>0.63194114925703693</v>
      </c>
      <c r="CM154" s="23">
        <f>EXP(-LN(2)/2)*CM153+(1-EXP(-LN(2)/2))/(LN(2)/2)*CG154*CJ154*VLOOKUP('Données projet'!$B$12,Paramètres!$A$1:$I$89,3,0)*0.475*44/12</f>
        <v>1.8513285216067932E-21</v>
      </c>
      <c r="CN154" s="24">
        <f t="shared" ref="CN154:CN203" si="172">SUM(CK154:CM154)</f>
        <v>1.0242952275755444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-5.3205440053716299E-14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426.87921482911719</v>
      </c>
      <c r="CZ154" s="62">
        <f t="shared" si="150"/>
        <v>313.49594674441835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500.25828825677058</v>
      </c>
      <c r="DU154" s="62">
        <f t="shared" si="152"/>
        <v>313.56299786481338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8.9540876988608992E-2</v>
      </c>
      <c r="EC154" s="23">
        <f>EXP(-LN(2)/2)*EC153+(1-EXP(-LN(2)/2))/(LN(2)/2)*DW154*DZ154*VLOOKUP('Données projet'!$B$14,Paramètres!$A$1:$I$89,3,0)*0.475*44/12</f>
        <v>1.5412616445397972E-17</v>
      </c>
      <c r="ED154" s="24">
        <f t="shared" ref="ED154:ED203" si="178">SUM(EA154:EC154)</f>
        <v>8.9540876988609006E-2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548.17046467409421</v>
      </c>
      <c r="EP154" s="62">
        <f t="shared" si="154"/>
        <v>341.9250949809848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9.9650330842161752E-2</v>
      </c>
      <c r="EX154" s="23">
        <f>EXP(-LN(2)/2)*EX153+(1-EXP(-LN(2)/2))/(LN(2)/2)*ER154*EU154*VLOOKUP('Données projet'!$B$15,Paramètres!$A$1:$I$89,3,0)*0.475*44/12</f>
        <v>1.7152750560200956E-17</v>
      </c>
      <c r="EY154" s="24">
        <f t="shared" ref="EY154:EY203" si="181">SUM(EV154:EX154)</f>
        <v>9.9650330842161766E-2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472.83070477639035</v>
      </c>
      <c r="T155" s="62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0.31007400513188849</v>
      </c>
      <c r="AB155" s="23">
        <f>EXP(-LN(2)/2)*AB154+(1-EXP(-LN(2)/2))/(LN(2)/2)*V155*Y155*VLOOKUP('Données projet'!$B$9,Paramètres!$A$1:$I$89,3,0)*0.475*44/12</f>
        <v>6.4660840243594808E-18</v>
      </c>
      <c r="AC155" s="24">
        <f t="shared" si="163"/>
        <v>0.31007400513188849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520.80494930257237</v>
      </c>
      <c r="AO155" s="62">
        <f t="shared" si="144"/>
        <v>325.72635759450861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0.34749672988918534</v>
      </c>
      <c r="AW155" s="23">
        <f>EXP(-LN(2)/2)*AW154+(1-EXP(-LN(2)/2))/(LN(2)/2)*AQ155*AT155*VLOOKUP('Données projet'!$B$10,Paramètres!$A$1:$I$89,3,0)*0.475*44/12</f>
        <v>7.2464734755752676E-18</v>
      </c>
      <c r="AX155" s="23">
        <f t="shared" si="166"/>
        <v>0.34749672988918534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6.3550942286383367E-14</v>
      </c>
      <c r="BF155" s="14">
        <f t="shared" si="167"/>
        <v>1.0064464192543978E-12</v>
      </c>
      <c r="BG155" s="22">
        <f t="shared" si="168"/>
        <v>1.8635787380168604E-12</v>
      </c>
      <c r="BH155" s="62">
        <f t="shared" si="116"/>
        <v>286.92141300674177</v>
      </c>
      <c r="BI155" s="62">
        <f ca="1">AVERAGE(OFFSET($BH$3,0,0,'Données projet'!$E$11+1,1))-AVERAGE(OFFSET($H$3,0,0,'Données projet'!$E$11+1,1))</f>
        <v>321.60602866722138</v>
      </c>
      <c r="BJ155" s="62">
        <f t="shared" si="146"/>
        <v>375.18886653687389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1.1431224335322347</v>
      </c>
      <c r="BQ155" s="23">
        <f>EXP(-LN(2)/25)*BQ154+(1-EXP(-LN(2)/25))/(LN(2)/25)*Calculateur!BL155*Calculateur!BN155*VLOOKUP('Données projet'!$B$11,Paramètres!$A$1:$I$89,3,0)*0.475*44/12</f>
        <v>0.54241961850988563</v>
      </c>
      <c r="BR155" s="23">
        <f>EXP(-LN(2)/2)*BR154+(1-EXP(-LN(2)/2))/(LN(2)/2)*BL155*BO155*VLOOKUP('Données projet'!$B$11,Paramètres!$A$1:$I$89,3,0)*0.475*44/12</f>
        <v>3.1753805768344986E-18</v>
      </c>
      <c r="BS155" s="24">
        <f t="shared" si="169"/>
        <v>1.6855420520421203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2.8421709430404007E-14</v>
      </c>
      <c r="BZ155" s="14">
        <f>BY155*VLOOKUP('Données projet'!$B$12,Paramètres!$A$1:$I$89,3,0)*VLOOKUP('Données projet'!$B$12,Paramètres!$A$1:$I$89,5,0)</f>
        <v>1.5518253349000589E-14</v>
      </c>
      <c r="CA155" s="14">
        <f t="shared" si="170"/>
        <v>2.8958815659671149E-13</v>
      </c>
      <c r="CB155" s="22">
        <f t="shared" si="171"/>
        <v>5.3139366398878183E-13</v>
      </c>
      <c r="CC155" s="62">
        <f t="shared" si="119"/>
        <v>286.92141300674041</v>
      </c>
      <c r="CD155" s="62">
        <f ca="1">AVERAGE(OFFSET($CC$3,0,0,'Données projet'!$E$12+1,1))-AVERAGE(OFFSET($H$3,0,0,'Données projet'!$E$12+1,1))</f>
        <v>182.44246264133781</v>
      </c>
      <c r="CE155" s="62">
        <f t="shared" si="148"/>
        <v>262.5818213397049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0.38466025415503913</v>
      </c>
      <c r="CL155" s="23">
        <f>EXP(-LN(2)/25)*CL154+(1-EXP(-LN(2)/25))/(LN(2)/25)*Calculateur!CG155*Calculateur!CI155*VLOOKUP('Données projet'!$B$12,Paramètres!$A$1:$I$89,3,0)*0.475*44/12</f>
        <v>0.61466068529826257</v>
      </c>
      <c r="CM155" s="23">
        <f>EXP(-LN(2)/2)*CM154+(1-EXP(-LN(2)/2))/(LN(2)/2)*CG155*CJ155*VLOOKUP('Données projet'!$B$12,Paramètres!$A$1:$I$89,3,0)*0.475*44/12</f>
        <v>1.3090869518322292E-21</v>
      </c>
      <c r="CN155" s="24">
        <f t="shared" si="172"/>
        <v>0.99932093945330169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-5.3205440053716299E-14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426.87921482911719</v>
      </c>
      <c r="CZ155" s="62">
        <f t="shared" si="150"/>
        <v>313.49594674441835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500.25828825677058</v>
      </c>
      <c r="DU155" s="62">
        <f t="shared" si="152"/>
        <v>313.56299786481338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8.7092376998605406E-2</v>
      </c>
      <c r="EC155" s="23">
        <f>EXP(-LN(2)/2)*EC154+(1-EXP(-LN(2)/2))/(LN(2)/2)*DW155*DZ155*VLOOKUP('Données projet'!$B$14,Paramètres!$A$1:$I$89,3,0)*0.475*44/12</f>
        <v>1.0898365604368208E-17</v>
      </c>
      <c r="ED155" s="24">
        <f t="shared" si="178"/>
        <v>8.709237699860542E-2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548.17046467409421</v>
      </c>
      <c r="EP155" s="62">
        <f t="shared" si="154"/>
        <v>341.9250949809848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9.6925387304899691E-2</v>
      </c>
      <c r="EX155" s="23">
        <f>EXP(-LN(2)/2)*EX154+(1-EXP(-LN(2)/2))/(LN(2)/2)*ER155*EU155*VLOOKUP('Données projet'!$B$15,Paramètres!$A$1:$I$89,3,0)*0.475*44/12</f>
        <v>1.2128826237119448E-17</v>
      </c>
      <c r="EY155" s="24">
        <f t="shared" si="181"/>
        <v>9.6925387304899704E-2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472.83070477639035</v>
      </c>
      <c r="T156" s="62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0.30159501515547377</v>
      </c>
      <c r="AB156" s="23">
        <f>EXP(-LN(2)/2)*AB155+(1-EXP(-LN(2)/2))/(LN(2)/2)*V156*Y156*VLOOKUP('Données projet'!$B$9,Paramètres!$A$1:$I$89,3,0)*0.475*44/12</f>
        <v>4.57221186134659E-18</v>
      </c>
      <c r="AC156" s="24">
        <f t="shared" si="163"/>
        <v>0.30159501515547377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520.80494930257237</v>
      </c>
      <c r="AO156" s="62">
        <f t="shared" si="144"/>
        <v>325.72635759450861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0.33799441353630677</v>
      </c>
      <c r="AW156" s="23">
        <f>EXP(-LN(2)/2)*AW155+(1-EXP(-LN(2)/2))/(LN(2)/2)*AQ156*AT156*VLOOKUP('Données projet'!$B$10,Paramètres!$A$1:$I$89,3,0)*0.475*44/12</f>
        <v>5.1240305342677214E-18</v>
      </c>
      <c r="AX156" s="23">
        <f t="shared" si="166"/>
        <v>0.33799441353630677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6.3550942286383367E-14</v>
      </c>
      <c r="BF156" s="14">
        <f t="shared" si="167"/>
        <v>1.0064464192543978E-12</v>
      </c>
      <c r="BG156" s="22">
        <f t="shared" si="168"/>
        <v>1.8635787380168604E-12</v>
      </c>
      <c r="BH156" s="62">
        <f t="shared" si="116"/>
        <v>287.03264548950187</v>
      </c>
      <c r="BI156" s="62">
        <f ca="1">AVERAGE(OFFSET($BH$3,0,0,'Données projet'!$E$11+1,1))-AVERAGE(OFFSET($H$3,0,0,'Données projet'!$E$11+1,1))</f>
        <v>321.60602866722138</v>
      </c>
      <c r="BJ156" s="62">
        <f t="shared" si="146"/>
        <v>375.18886653687389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1.1207064998465057</v>
      </c>
      <c r="BQ156" s="23">
        <f>EXP(-LN(2)/25)*BQ155+(1-EXP(-LN(2)/25))/(LN(2)/25)*Calculateur!BL156*Calculateur!BN156*VLOOKUP('Données projet'!$B$11,Paramètres!$A$1:$I$89,3,0)*0.475*44/12</f>
        <v>0.52758712551712483</v>
      </c>
      <c r="BR156" s="23">
        <f>EXP(-LN(2)/2)*BR155+(1-EXP(-LN(2)/2))/(LN(2)/2)*BL156*BO156*VLOOKUP('Données projet'!$B$11,Paramètres!$A$1:$I$89,3,0)*0.475*44/12</f>
        <v>2.2453331387277248E-18</v>
      </c>
      <c r="BS156" s="24">
        <f t="shared" si="169"/>
        <v>1.6482936253636304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2.8421709430404007E-14</v>
      </c>
      <c r="BZ156" s="14">
        <f>BY156*VLOOKUP('Données projet'!$B$12,Paramètres!$A$1:$I$89,3,0)*VLOOKUP('Données projet'!$B$12,Paramètres!$A$1:$I$89,5,0)</f>
        <v>1.5518253349000589E-14</v>
      </c>
      <c r="CA156" s="14">
        <f t="shared" si="170"/>
        <v>2.8958815659671149E-13</v>
      </c>
      <c r="CB156" s="22">
        <f t="shared" si="171"/>
        <v>5.3139366398878183E-13</v>
      </c>
      <c r="CC156" s="62">
        <f t="shared" si="119"/>
        <v>287.03264548950051</v>
      </c>
      <c r="CD156" s="62">
        <f ca="1">AVERAGE(OFFSET($CC$3,0,0,'Données projet'!$E$12+1,1))-AVERAGE(OFFSET($H$3,0,0,'Données projet'!$E$12+1,1))</f>
        <v>182.44246264133781</v>
      </c>
      <c r="CE156" s="62">
        <f t="shared" si="148"/>
        <v>262.5818213397049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0.37711730119064707</v>
      </c>
      <c r="CL156" s="23">
        <f>EXP(-LN(2)/25)*CL155+(1-EXP(-LN(2)/25))/(LN(2)/25)*Calculateur!CG156*Calculateur!CI156*VLOOKUP('Données projet'!$B$12,Paramètres!$A$1:$I$89,3,0)*0.475*44/12</f>
        <v>0.597852756535181</v>
      </c>
      <c r="CM156" s="23">
        <f>EXP(-LN(2)/2)*CM155+(1-EXP(-LN(2)/2))/(LN(2)/2)*CG156*CJ156*VLOOKUP('Données projet'!$B$12,Paramètres!$A$1:$I$89,3,0)*0.475*44/12</f>
        <v>9.2566426080339658E-22</v>
      </c>
      <c r="CN156" s="24">
        <f t="shared" si="172"/>
        <v>0.97497005772582801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-5.3205440053716299E-14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426.87921482911719</v>
      </c>
      <c r="CZ156" s="62">
        <f t="shared" si="150"/>
        <v>313.49594674441835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500.25828825677058</v>
      </c>
      <c r="DU156" s="62">
        <f t="shared" si="152"/>
        <v>313.56299786481338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8.4710831369589484E-2</v>
      </c>
      <c r="EC156" s="23">
        <f>EXP(-LN(2)/2)*EC155+(1-EXP(-LN(2)/2))/(LN(2)/2)*DW156*DZ156*VLOOKUP('Données projet'!$B$14,Paramètres!$A$1:$I$89,3,0)*0.475*44/12</f>
        <v>7.706308222698986E-18</v>
      </c>
      <c r="ED156" s="24">
        <f t="shared" si="178"/>
        <v>8.4710831369589498E-2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548.17046467409421</v>
      </c>
      <c r="EP156" s="62">
        <f t="shared" si="154"/>
        <v>341.9250949809848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9.4274957491962616E-2</v>
      </c>
      <c r="EX156" s="23">
        <f>EXP(-LN(2)/2)*EX155+(1-EXP(-LN(2)/2))/(LN(2)/2)*ER156*EU156*VLOOKUP('Données projet'!$B$15,Paramètres!$A$1:$I$89,3,0)*0.475*44/12</f>
        <v>8.5763752801004779E-18</v>
      </c>
      <c r="EY156" s="24">
        <f t="shared" si="181"/>
        <v>9.427495749196263E-2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472.83070477639035</v>
      </c>
      <c r="T157" s="62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0.29334788360585479</v>
      </c>
      <c r="AB157" s="23">
        <f>EXP(-LN(2)/2)*AB156+(1-EXP(-LN(2)/2))/(LN(2)/2)*V157*Y157*VLOOKUP('Données projet'!$B$9,Paramètres!$A$1:$I$89,3,0)*0.475*44/12</f>
        <v>3.2330420121797404E-18</v>
      </c>
      <c r="AC157" s="24">
        <f t="shared" si="163"/>
        <v>0.29334788360585479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520.80494930257237</v>
      </c>
      <c r="AO157" s="62">
        <f t="shared" si="144"/>
        <v>325.72635759450861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0.32875193852380274</v>
      </c>
      <c r="AW157" s="23">
        <f>EXP(-LN(2)/2)*AW156+(1-EXP(-LN(2)/2))/(LN(2)/2)*AQ157*AT157*VLOOKUP('Données projet'!$B$10,Paramètres!$A$1:$I$89,3,0)*0.475*44/12</f>
        <v>3.6232367377876338E-18</v>
      </c>
      <c r="AX157" s="23">
        <f t="shared" si="166"/>
        <v>0.32875193852380274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6.3550942286383367E-14</v>
      </c>
      <c r="BF157" s="14">
        <f t="shared" si="167"/>
        <v>1.0064464192543978E-12</v>
      </c>
      <c r="BG157" s="22">
        <f t="shared" si="168"/>
        <v>1.8635787380168604E-12</v>
      </c>
      <c r="BH157" s="62">
        <f t="shared" si="116"/>
        <v>287.14194833736462</v>
      </c>
      <c r="BI157" s="62">
        <f ca="1">AVERAGE(OFFSET($BH$3,0,0,'Données projet'!$E$11+1,1))-AVERAGE(OFFSET($H$3,0,0,'Données projet'!$E$11+1,1))</f>
        <v>321.60602866722138</v>
      </c>
      <c r="BJ157" s="62">
        <f t="shared" si="146"/>
        <v>375.18886653687389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1.0987301289479843</v>
      </c>
      <c r="BQ157" s="23">
        <f>EXP(-LN(2)/25)*BQ156+(1-EXP(-LN(2)/25))/(LN(2)/25)*Calculateur!BL157*Calculateur!BN157*VLOOKUP('Données projet'!$B$11,Paramètres!$A$1:$I$89,3,0)*0.475*44/12</f>
        <v>0.51316022782525794</v>
      </c>
      <c r="BR157" s="23">
        <f>EXP(-LN(2)/2)*BR156+(1-EXP(-LN(2)/2))/(LN(2)/2)*BL157*BO157*VLOOKUP('Données projet'!$B$11,Paramètres!$A$1:$I$89,3,0)*0.475*44/12</f>
        <v>1.5876902884172493E-18</v>
      </c>
      <c r="BS157" s="24">
        <f t="shared" si="169"/>
        <v>1.6118903567732423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2.8421709430404007E-14</v>
      </c>
      <c r="BZ157" s="14">
        <f>BY157*VLOOKUP('Données projet'!$B$12,Paramètres!$A$1:$I$89,3,0)*VLOOKUP('Données projet'!$B$12,Paramètres!$A$1:$I$89,5,0)</f>
        <v>1.5518253349000589E-14</v>
      </c>
      <c r="CA157" s="14">
        <f t="shared" si="170"/>
        <v>2.8958815659671149E-13</v>
      </c>
      <c r="CB157" s="22">
        <f t="shared" si="171"/>
        <v>5.3139366398878183E-13</v>
      </c>
      <c r="CC157" s="62">
        <f t="shared" si="119"/>
        <v>287.14194833736326</v>
      </c>
      <c r="CD157" s="62">
        <f ca="1">AVERAGE(OFFSET($CC$3,0,0,'Données projet'!$E$12+1,1))-AVERAGE(OFFSET($H$3,0,0,'Données projet'!$E$12+1,1))</f>
        <v>182.44246264133781</v>
      </c>
      <c r="CE157" s="62">
        <f t="shared" si="148"/>
        <v>262.5818213397049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0.36972226093313976</v>
      </c>
      <c r="CL157" s="23">
        <f>EXP(-LN(2)/25)*CL156+(1-EXP(-LN(2)/25))/(LN(2)/25)*Calculateur!CG157*Calculateur!CI157*VLOOKUP('Données projet'!$B$12,Paramètres!$A$1:$I$89,3,0)*0.475*44/12</f>
        <v>0.58150444146801639</v>
      </c>
      <c r="CM157" s="23">
        <f>EXP(-LN(2)/2)*CM156+(1-EXP(-LN(2)/2))/(LN(2)/2)*CG157*CJ157*VLOOKUP('Données projet'!$B$12,Paramètres!$A$1:$I$89,3,0)*0.475*44/12</f>
        <v>6.5454347591611461E-22</v>
      </c>
      <c r="CN157" s="24">
        <f t="shared" si="172"/>
        <v>0.95122670240115614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-5.3205440053716299E-14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426.87921482911719</v>
      </c>
      <c r="CZ157" s="62">
        <f t="shared" si="150"/>
        <v>313.49594674441835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500.25828825677058</v>
      </c>
      <c r="DU157" s="62">
        <f t="shared" si="152"/>
        <v>313.56299786481338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8.2394409231039051E-2</v>
      </c>
      <c r="EC157" s="23">
        <f>EXP(-LN(2)/2)*EC156+(1-EXP(-LN(2)/2))/(LN(2)/2)*DW157*DZ157*VLOOKUP('Données projet'!$B$14,Paramètres!$A$1:$I$89,3,0)*0.475*44/12</f>
        <v>5.449182802184104E-18</v>
      </c>
      <c r="ED157" s="24">
        <f t="shared" si="178"/>
        <v>8.2394409231039051E-2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548.17046467409421</v>
      </c>
      <c r="EP157" s="62">
        <f t="shared" si="154"/>
        <v>341.9250949809848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9.1697003821640352E-2</v>
      </c>
      <c r="EX157" s="23">
        <f>EXP(-LN(2)/2)*EX156+(1-EXP(-LN(2)/2))/(LN(2)/2)*ER157*EU157*VLOOKUP('Données projet'!$B$15,Paramètres!$A$1:$I$89,3,0)*0.475*44/12</f>
        <v>6.064413118559724E-18</v>
      </c>
      <c r="EY157" s="24">
        <f t="shared" si="181"/>
        <v>9.1697003821640352E-2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472.83070477639035</v>
      </c>
      <c r="T158" s="62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0.28532627030215796</v>
      </c>
      <c r="AB158" s="23">
        <f>EXP(-LN(2)/2)*AB157+(1-EXP(-LN(2)/2))/(LN(2)/2)*V158*Y158*VLOOKUP('Données projet'!$B$9,Paramètres!$A$1:$I$89,3,0)*0.475*44/12</f>
        <v>2.286105930673295E-18</v>
      </c>
      <c r="AC158" s="24">
        <f t="shared" si="163"/>
        <v>0.28532627030215796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520.80494930257237</v>
      </c>
      <c r="AO158" s="62">
        <f t="shared" si="144"/>
        <v>325.72635759450861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0.31976219947655626</v>
      </c>
      <c r="AW158" s="23">
        <f>EXP(-LN(2)/2)*AW157+(1-EXP(-LN(2)/2))/(LN(2)/2)*AQ158*AT158*VLOOKUP('Données projet'!$B$10,Paramètres!$A$1:$I$89,3,0)*0.475*44/12</f>
        <v>2.5620152671338607E-18</v>
      </c>
      <c r="AX158" s="23">
        <f t="shared" si="166"/>
        <v>0.31976219947655626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6.3550942286383367E-14</v>
      </c>
      <c r="BF158" s="14">
        <f t="shared" si="167"/>
        <v>1.0064464192543978E-12</v>
      </c>
      <c r="BG158" s="22">
        <f t="shared" si="168"/>
        <v>1.8635787380168604E-12</v>
      </c>
      <c r="BH158" s="62">
        <f t="shared" si="116"/>
        <v>287.24935502518156</v>
      </c>
      <c r="BI158" s="62">
        <f ca="1">AVERAGE(OFFSET($BH$3,0,0,'Données projet'!$E$11+1,1))-AVERAGE(OFFSET($H$3,0,0,'Données projet'!$E$11+1,1))</f>
        <v>321.60602866722138</v>
      </c>
      <c r="BJ158" s="62">
        <f t="shared" si="146"/>
        <v>375.18886653687389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1.0771847012785203</v>
      </c>
      <c r="BQ158" s="23">
        <f>EXP(-LN(2)/25)*BQ157+(1-EXP(-LN(2)/25))/(LN(2)/25)*Calculateur!BL158*Calculateur!BN158*VLOOKUP('Données projet'!$B$11,Paramètres!$A$1:$I$89,3,0)*0.475*44/12</f>
        <v>0.49912783440945274</v>
      </c>
      <c r="BR158" s="23">
        <f>EXP(-LN(2)/2)*BR157+(1-EXP(-LN(2)/2))/(LN(2)/2)*BL158*BO158*VLOOKUP('Données projet'!$B$11,Paramètres!$A$1:$I$89,3,0)*0.475*44/12</f>
        <v>1.1226665693638624E-18</v>
      </c>
      <c r="BS158" s="24">
        <f t="shared" si="169"/>
        <v>1.576312535687973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2.8421709430404007E-14</v>
      </c>
      <c r="BZ158" s="14">
        <f>BY158*VLOOKUP('Données projet'!$B$12,Paramètres!$A$1:$I$89,3,0)*VLOOKUP('Données projet'!$B$12,Paramètres!$A$1:$I$89,5,0)</f>
        <v>1.5518253349000589E-14</v>
      </c>
      <c r="CA158" s="14">
        <f t="shared" si="170"/>
        <v>2.8958815659671149E-13</v>
      </c>
      <c r="CB158" s="22">
        <f t="shared" si="171"/>
        <v>5.3139366398878183E-13</v>
      </c>
      <c r="CC158" s="62">
        <f t="shared" si="119"/>
        <v>287.24935502518019</v>
      </c>
      <c r="CD158" s="62">
        <f ca="1">AVERAGE(OFFSET($CC$3,0,0,'Données projet'!$E$12+1,1))-AVERAGE(OFFSET($H$3,0,0,'Données projet'!$E$12+1,1))</f>
        <v>182.44246264133781</v>
      </c>
      <c r="CE158" s="62">
        <f t="shared" si="148"/>
        <v>262.5818213397049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0.36247223290455294</v>
      </c>
      <c r="CL158" s="23">
        <f>EXP(-LN(2)/25)*CL157+(1-EXP(-LN(2)/25))/(LN(2)/25)*Calculateur!CG158*Calculateur!CI158*VLOOKUP('Données projet'!$B$12,Paramètres!$A$1:$I$89,3,0)*0.475*44/12</f>
        <v>0.56560317193608389</v>
      </c>
      <c r="CM158" s="23">
        <f>EXP(-LN(2)/2)*CM157+(1-EXP(-LN(2)/2))/(LN(2)/2)*CG158*CJ158*VLOOKUP('Données projet'!$B$12,Paramètres!$A$1:$I$89,3,0)*0.475*44/12</f>
        <v>4.6283213040169829E-22</v>
      </c>
      <c r="CN158" s="24">
        <f t="shared" si="172"/>
        <v>0.92807540484063678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-5.3205440053716299E-14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426.87921482911719</v>
      </c>
      <c r="CZ158" s="62">
        <f t="shared" si="150"/>
        <v>313.49594674441835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500.25828825677058</v>
      </c>
      <c r="DU158" s="62">
        <f t="shared" si="152"/>
        <v>313.56299786481338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8.0141329777682624E-2</v>
      </c>
      <c r="EC158" s="23">
        <f>EXP(-LN(2)/2)*EC157+(1-EXP(-LN(2)/2))/(LN(2)/2)*DW158*DZ158*VLOOKUP('Données projet'!$B$14,Paramètres!$A$1:$I$89,3,0)*0.475*44/12</f>
        <v>3.853154111349493E-18</v>
      </c>
      <c r="ED158" s="24">
        <f t="shared" si="178"/>
        <v>8.0141329777682624E-2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548.17046467409421</v>
      </c>
      <c r="EP158" s="62">
        <f t="shared" si="154"/>
        <v>341.9250949809848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8.9189544430001738E-2</v>
      </c>
      <c r="EX158" s="23">
        <f>EXP(-LN(2)/2)*EX157+(1-EXP(-LN(2)/2))/(LN(2)/2)*ER158*EU158*VLOOKUP('Données projet'!$B$15,Paramètres!$A$1:$I$89,3,0)*0.475*44/12</f>
        <v>4.288187640050239E-18</v>
      </c>
      <c r="EY158" s="24">
        <f t="shared" si="181"/>
        <v>8.9189544430001738E-2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472.83070477639035</v>
      </c>
      <c r="T159" s="62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0.27752400843608904</v>
      </c>
      <c r="AB159" s="23">
        <f>EXP(-LN(2)/2)*AB158+(1-EXP(-LN(2)/2))/(LN(2)/2)*V159*Y159*VLOOKUP('Données projet'!$B$9,Paramètres!$A$1:$I$89,3,0)*0.475*44/12</f>
        <v>1.6165210060898702E-18</v>
      </c>
      <c r="AC159" s="24">
        <f t="shared" si="163"/>
        <v>0.27752400843608904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520.80494930257237</v>
      </c>
      <c r="AO159" s="62">
        <f t="shared" si="144"/>
        <v>325.72635759450861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0.3110182853163066</v>
      </c>
      <c r="AW159" s="23">
        <f>EXP(-LN(2)/2)*AW158+(1-EXP(-LN(2)/2))/(LN(2)/2)*AQ159*AT159*VLOOKUP('Données projet'!$B$10,Paramètres!$A$1:$I$89,3,0)*0.475*44/12</f>
        <v>1.8116183688938169E-18</v>
      </c>
      <c r="AX159" s="23">
        <f t="shared" si="166"/>
        <v>0.3110182853163066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6.3550942286383367E-14</v>
      </c>
      <c r="BF159" s="14">
        <f t="shared" si="167"/>
        <v>1.0064464192543978E-12</v>
      </c>
      <c r="BG159" s="22">
        <f t="shared" si="168"/>
        <v>1.8635787380168604E-12</v>
      </c>
      <c r="BH159" s="62">
        <f t="shared" si="116"/>
        <v>287.35489844709019</v>
      </c>
      <c r="BI159" s="62">
        <f ca="1">AVERAGE(OFFSET($BH$3,0,0,'Données projet'!$E$11+1,1))-AVERAGE(OFFSET($H$3,0,0,'Données projet'!$E$11+1,1))</f>
        <v>321.60602866722138</v>
      </c>
      <c r="BJ159" s="62">
        <f t="shared" si="146"/>
        <v>375.18886653687389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1.0560617663042411</v>
      </c>
      <c r="BQ159" s="23">
        <f>EXP(-LN(2)/25)*BQ158+(1-EXP(-LN(2)/25))/(LN(2)/25)*Calculateur!BL159*Calculateur!BN159*VLOOKUP('Données projet'!$B$11,Paramètres!$A$1:$I$89,3,0)*0.475*44/12</f>
        <v>0.48547915752953424</v>
      </c>
      <c r="BR159" s="23">
        <f>EXP(-LN(2)/2)*BR158+(1-EXP(-LN(2)/2))/(LN(2)/2)*BL159*BO159*VLOOKUP('Données projet'!$B$11,Paramètres!$A$1:$I$89,3,0)*0.475*44/12</f>
        <v>7.9384514420862465E-19</v>
      </c>
      <c r="BS159" s="24">
        <f t="shared" si="169"/>
        <v>1.5415409238337754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2.8421709430404007E-14</v>
      </c>
      <c r="BZ159" s="14">
        <f>BY159*VLOOKUP('Données projet'!$B$12,Paramètres!$A$1:$I$89,3,0)*VLOOKUP('Données projet'!$B$12,Paramètres!$A$1:$I$89,5,0)</f>
        <v>1.5518253349000589E-14</v>
      </c>
      <c r="CA159" s="14">
        <f t="shared" si="170"/>
        <v>2.8958815659671149E-13</v>
      </c>
      <c r="CB159" s="22">
        <f t="shared" si="171"/>
        <v>5.3139366398878183E-13</v>
      </c>
      <c r="CC159" s="62">
        <f t="shared" si="119"/>
        <v>287.35489844708883</v>
      </c>
      <c r="CD159" s="62">
        <f ca="1">AVERAGE(OFFSET($CC$3,0,0,'Données projet'!$E$12+1,1))-AVERAGE(OFFSET($H$3,0,0,'Données projet'!$E$12+1,1))</f>
        <v>182.44246264133781</v>
      </c>
      <c r="CE159" s="62">
        <f t="shared" si="148"/>
        <v>262.5818213397049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0.35536437350352629</v>
      </c>
      <c r="CL159" s="23">
        <f>EXP(-LN(2)/25)*CL158+(1-EXP(-LN(2)/25))/(LN(2)/25)*Calculateur!CG159*Calculateur!CI159*VLOOKUP('Données projet'!$B$12,Paramètres!$A$1:$I$89,3,0)*0.475*44/12</f>
        <v>0.55013672345571352</v>
      </c>
      <c r="CM159" s="23">
        <f>EXP(-LN(2)/2)*CM158+(1-EXP(-LN(2)/2))/(LN(2)/2)*CG159*CJ159*VLOOKUP('Données projet'!$B$12,Paramètres!$A$1:$I$89,3,0)*0.475*44/12</f>
        <v>3.2727173795805731E-22</v>
      </c>
      <c r="CN159" s="24">
        <f t="shared" si="172"/>
        <v>0.90550109695923986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-5.3205440053716299E-14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426.87921482911719</v>
      </c>
      <c r="CZ159" s="62">
        <f t="shared" si="150"/>
        <v>313.49594674441835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500.25828825677058</v>
      </c>
      <c r="DU159" s="62">
        <f t="shared" si="152"/>
        <v>313.56299786481338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7.794986090046252E-2</v>
      </c>
      <c r="EC159" s="23">
        <f>EXP(-LN(2)/2)*EC158+(1-EXP(-LN(2)/2))/(LN(2)/2)*DW159*DZ159*VLOOKUP('Données projet'!$B$14,Paramètres!$A$1:$I$89,3,0)*0.475*44/12</f>
        <v>2.724591401092052E-18</v>
      </c>
      <c r="ED159" s="24">
        <f t="shared" si="178"/>
        <v>7.794986090046252E-2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548.17046467409421</v>
      </c>
      <c r="EP159" s="62">
        <f t="shared" si="154"/>
        <v>341.9250949809848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8.675065164728904E-2</v>
      </c>
      <c r="EX159" s="23">
        <f>EXP(-LN(2)/2)*EX158+(1-EXP(-LN(2)/2))/(LN(2)/2)*ER159*EU159*VLOOKUP('Données projet'!$B$15,Paramètres!$A$1:$I$89,3,0)*0.475*44/12</f>
        <v>3.032206559279862E-18</v>
      </c>
      <c r="EY159" s="24">
        <f t="shared" si="181"/>
        <v>8.675065164728904E-2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472.83070477639035</v>
      </c>
      <c r="T160" s="62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0.26993509983105085</v>
      </c>
      <c r="AB160" s="23">
        <f>EXP(-LN(2)/2)*AB159+(1-EXP(-LN(2)/2))/(LN(2)/2)*V160*Y160*VLOOKUP('Données projet'!$B$9,Paramètres!$A$1:$I$89,3,0)*0.475*44/12</f>
        <v>1.1430529653366475E-18</v>
      </c>
      <c r="AC160" s="24">
        <f t="shared" si="163"/>
        <v>0.26993509983105085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520.80494930257237</v>
      </c>
      <c r="AO160" s="62">
        <f t="shared" si="144"/>
        <v>325.72635759450861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0.3025134739485914</v>
      </c>
      <c r="AW160" s="23">
        <f>EXP(-LN(2)/2)*AW159+(1-EXP(-LN(2)/2))/(LN(2)/2)*AQ160*AT160*VLOOKUP('Données projet'!$B$10,Paramètres!$A$1:$I$89,3,0)*0.475*44/12</f>
        <v>1.2810076335669303E-18</v>
      </c>
      <c r="AX160" s="23">
        <f t="shared" si="166"/>
        <v>0.3025134739485914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6.3550942286383367E-14</v>
      </c>
      <c r="BF160" s="14">
        <f t="shared" si="167"/>
        <v>1.0064464192543978E-12</v>
      </c>
      <c r="BG160" s="22">
        <f t="shared" si="168"/>
        <v>1.8635787380168604E-12</v>
      </c>
      <c r="BH160" s="62">
        <f t="shared" si="116"/>
        <v>287.45861092658845</v>
      </c>
      <c r="BI160" s="62">
        <f ca="1">AVERAGE(OFFSET($BH$3,0,0,'Données projet'!$E$11+1,1))-AVERAGE(OFFSET($H$3,0,0,'Données projet'!$E$11+1,1))</f>
        <v>321.60602866722138</v>
      </c>
      <c r="BJ160" s="62">
        <f t="shared" si="146"/>
        <v>375.18886653687389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1.0353530392010895</v>
      </c>
      <c r="BQ160" s="23">
        <f>EXP(-LN(2)/25)*BQ159+(1-EXP(-LN(2)/25))/(LN(2)/25)*Calculateur!BL160*Calculateur!BN160*VLOOKUP('Données projet'!$B$11,Paramètres!$A$1:$I$89,3,0)*0.475*44/12</f>
        <v>0.47220370443664983</v>
      </c>
      <c r="BR160" s="23">
        <f>EXP(-LN(2)/2)*BR159+(1-EXP(-LN(2)/2))/(LN(2)/2)*BL160*BO160*VLOOKUP('Données projet'!$B$11,Paramètres!$A$1:$I$89,3,0)*0.475*44/12</f>
        <v>5.6133328468193121E-19</v>
      </c>
      <c r="BS160" s="24">
        <f t="shared" si="169"/>
        <v>1.5075567436377393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2.8421709430404007E-14</v>
      </c>
      <c r="BZ160" s="14">
        <f>BY160*VLOOKUP('Données projet'!$B$12,Paramètres!$A$1:$I$89,3,0)*VLOOKUP('Données projet'!$B$12,Paramètres!$A$1:$I$89,5,0)</f>
        <v>1.5518253349000589E-14</v>
      </c>
      <c r="CA160" s="14">
        <f t="shared" si="170"/>
        <v>2.8958815659671149E-13</v>
      </c>
      <c r="CB160" s="22">
        <f t="shared" si="171"/>
        <v>5.3139366398878183E-13</v>
      </c>
      <c r="CC160" s="62">
        <f t="shared" si="119"/>
        <v>287.45861092658708</v>
      </c>
      <c r="CD160" s="62">
        <f ca="1">AVERAGE(OFFSET($CC$3,0,0,'Données projet'!$E$12+1,1))-AVERAGE(OFFSET($H$3,0,0,'Données projet'!$E$12+1,1))</f>
        <v>182.44246264133781</v>
      </c>
      <c r="CE160" s="62">
        <f t="shared" si="148"/>
        <v>262.5818213397049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0.34839589488998762</v>
      </c>
      <c r="CL160" s="23">
        <f>EXP(-LN(2)/25)*CL159+(1-EXP(-LN(2)/25))/(LN(2)/25)*Calculateur!CG160*Calculateur!CI160*VLOOKUP('Données projet'!$B$12,Paramètres!$A$1:$I$89,3,0)*0.475*44/12</f>
        <v>0.53509320582238407</v>
      </c>
      <c r="CM160" s="23">
        <f>EXP(-LN(2)/2)*CM159+(1-EXP(-LN(2)/2))/(LN(2)/2)*CG160*CJ160*VLOOKUP('Données projet'!$B$12,Paramètres!$A$1:$I$89,3,0)*0.475*44/12</f>
        <v>2.3141606520084915E-22</v>
      </c>
      <c r="CN160" s="24">
        <f t="shared" si="172"/>
        <v>0.88348910071237174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-5.3205440053716299E-14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426.87921482911719</v>
      </c>
      <c r="CZ160" s="62">
        <f t="shared" si="150"/>
        <v>313.49594674441835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500.25828825677058</v>
      </c>
      <c r="DU160" s="62">
        <f t="shared" si="152"/>
        <v>313.56299786481338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7.5818317854934342E-2</v>
      </c>
      <c r="EC160" s="23">
        <f>EXP(-LN(2)/2)*EC159+(1-EXP(-LN(2)/2))/(LN(2)/2)*DW160*DZ160*VLOOKUP('Données projet'!$B$14,Paramètres!$A$1:$I$89,3,0)*0.475*44/12</f>
        <v>1.9265770556747465E-18</v>
      </c>
      <c r="ED160" s="24">
        <f t="shared" si="178"/>
        <v>7.5818317854934342E-2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548.17046467409421</v>
      </c>
      <c r="EP160" s="62">
        <f t="shared" si="154"/>
        <v>341.9250949809848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8.4378450515975423E-2</v>
      </c>
      <c r="EX160" s="23">
        <f>EXP(-LN(2)/2)*EX159+(1-EXP(-LN(2)/2))/(LN(2)/2)*ER160*EU160*VLOOKUP('Données projet'!$B$15,Paramètres!$A$1:$I$89,3,0)*0.475*44/12</f>
        <v>2.1440938200251195E-18</v>
      </c>
      <c r="EY160" s="24">
        <f t="shared" si="181"/>
        <v>8.4378450515975423E-2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472.83070477639035</v>
      </c>
      <c r="T161" s="62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0.2625537103309008</v>
      </c>
      <c r="AB161" s="23">
        <f>EXP(-LN(2)/2)*AB160+(1-EXP(-LN(2)/2))/(LN(2)/2)*V161*Y161*VLOOKUP('Données projet'!$B$9,Paramètres!$A$1:$I$89,3,0)*0.475*44/12</f>
        <v>8.082605030449351E-19</v>
      </c>
      <c r="AC161" s="24">
        <f t="shared" si="163"/>
        <v>0.2625537103309008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520.80494930257237</v>
      </c>
      <c r="AO161" s="62">
        <f t="shared" si="144"/>
        <v>325.72635759450861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0.29424122709497497</v>
      </c>
      <c r="AW161" s="23">
        <f>EXP(-LN(2)/2)*AW160+(1-EXP(-LN(2)/2))/(LN(2)/2)*AQ161*AT161*VLOOKUP('Données projet'!$B$10,Paramètres!$A$1:$I$89,3,0)*0.475*44/12</f>
        <v>9.0580918444690845E-19</v>
      </c>
      <c r="AX161" s="23">
        <f t="shared" si="166"/>
        <v>0.29424122709497497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6.3550942286383367E-14</v>
      </c>
      <c r="BF161" s="14">
        <f t="shared" si="167"/>
        <v>1.0064464192543978E-12</v>
      </c>
      <c r="BG161" s="22">
        <f t="shared" si="168"/>
        <v>1.8635787380168604E-12</v>
      </c>
      <c r="BH161" s="62">
        <f t="shared" si="116"/>
        <v>287.56052422643387</v>
      </c>
      <c r="BI161" s="62">
        <f ca="1">AVERAGE(OFFSET($BH$3,0,0,'Données projet'!$E$11+1,1))-AVERAGE(OFFSET($H$3,0,0,'Données projet'!$E$11+1,1))</f>
        <v>321.60602866722138</v>
      </c>
      <c r="BJ161" s="62">
        <f t="shared" si="146"/>
        <v>375.18886653687389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1.0150503976053542</v>
      </c>
      <c r="BQ161" s="23">
        <f>EXP(-LN(2)/25)*BQ160+(1-EXP(-LN(2)/25))/(LN(2)/25)*Calculateur!BL161*Calculateur!BN161*VLOOKUP('Données projet'!$B$11,Paramètres!$A$1:$I$89,3,0)*0.475*44/12</f>
        <v>0.45929126930671604</v>
      </c>
      <c r="BR161" s="23">
        <f>EXP(-LN(2)/2)*BR160+(1-EXP(-LN(2)/2))/(LN(2)/2)*BL161*BO161*VLOOKUP('Données projet'!$B$11,Paramètres!$A$1:$I$89,3,0)*0.475*44/12</f>
        <v>3.9692257210431233E-19</v>
      </c>
      <c r="BS161" s="24">
        <f t="shared" si="169"/>
        <v>1.4743416669120704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2.8421709430404007E-14</v>
      </c>
      <c r="BZ161" s="14">
        <f>BY161*VLOOKUP('Données projet'!$B$12,Paramètres!$A$1:$I$89,3,0)*VLOOKUP('Données projet'!$B$12,Paramètres!$A$1:$I$89,5,0)</f>
        <v>1.5518253349000589E-14</v>
      </c>
      <c r="CA161" s="14">
        <f t="shared" si="170"/>
        <v>2.8958815659671149E-13</v>
      </c>
      <c r="CB161" s="22">
        <f t="shared" si="171"/>
        <v>5.3139366398878183E-13</v>
      </c>
      <c r="CC161" s="62">
        <f t="shared" si="119"/>
        <v>287.56052422643251</v>
      </c>
      <c r="CD161" s="62">
        <f ca="1">AVERAGE(OFFSET($CC$3,0,0,'Données projet'!$E$12+1,1))-AVERAGE(OFFSET($H$3,0,0,'Données projet'!$E$12+1,1))</f>
        <v>182.44246264133781</v>
      </c>
      <c r="CE161" s="62">
        <f t="shared" si="148"/>
        <v>262.5818213397049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0.34156406389170818</v>
      </c>
      <c r="CL161" s="23">
        <f>EXP(-LN(2)/25)*CL160+(1-EXP(-LN(2)/25))/(LN(2)/25)*Calculateur!CG161*Calculateur!CI161*VLOOKUP('Données projet'!$B$12,Paramètres!$A$1:$I$89,3,0)*0.475*44/12</f>
        <v>0.52046105396984221</v>
      </c>
      <c r="CM161" s="23">
        <f>EXP(-LN(2)/2)*CM160+(1-EXP(-LN(2)/2))/(LN(2)/2)*CG161*CJ161*VLOOKUP('Données projet'!$B$12,Paramètres!$A$1:$I$89,3,0)*0.475*44/12</f>
        <v>1.6363586897902865E-22</v>
      </c>
      <c r="CN161" s="24">
        <f t="shared" si="172"/>
        <v>0.86202511786155034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-5.3205440053716299E-14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426.87921482911719</v>
      </c>
      <c r="CZ161" s="62">
        <f t="shared" si="150"/>
        <v>313.49594674441835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500.25828825677058</v>
      </c>
      <c r="DU161" s="62">
        <f t="shared" si="152"/>
        <v>313.56299786481338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7.3745061966079106E-2</v>
      </c>
      <c r="EC161" s="23">
        <f>EXP(-LN(2)/2)*EC160+(1-EXP(-LN(2)/2))/(LN(2)/2)*DW161*DZ161*VLOOKUP('Données projet'!$B$14,Paramètres!$A$1:$I$89,3,0)*0.475*44/12</f>
        <v>1.362295700546026E-18</v>
      </c>
      <c r="ED161" s="24">
        <f t="shared" si="178"/>
        <v>7.3745061966079106E-2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548.17046467409421</v>
      </c>
      <c r="EP161" s="62">
        <f t="shared" si="154"/>
        <v>341.9250949809848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8.2071117349346218E-2</v>
      </c>
      <c r="EX161" s="23">
        <f>EXP(-LN(2)/2)*EX160+(1-EXP(-LN(2)/2))/(LN(2)/2)*ER161*EU161*VLOOKUP('Données projet'!$B$15,Paramètres!$A$1:$I$89,3,0)*0.475*44/12</f>
        <v>1.516103279639931E-18</v>
      </c>
      <c r="EY161" s="24">
        <f t="shared" si="181"/>
        <v>8.2071117349346218E-2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472.83070477639035</v>
      </c>
      <c r="T162" s="62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0.25537416531480278</v>
      </c>
      <c r="AB162" s="23">
        <f>EXP(-LN(2)/2)*AB161+(1-EXP(-LN(2)/2))/(LN(2)/2)*V162*Y162*VLOOKUP('Données projet'!$B$9,Paramètres!$A$1:$I$89,3,0)*0.475*44/12</f>
        <v>5.7152648266832375E-19</v>
      </c>
      <c r="AC162" s="24">
        <f t="shared" si="163"/>
        <v>0.25537416531480278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520.80494930257237</v>
      </c>
      <c r="AO162" s="62">
        <f t="shared" si="144"/>
        <v>325.72635759450861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0.28619518526658921</v>
      </c>
      <c r="AW162" s="23">
        <f>EXP(-LN(2)/2)*AW161+(1-EXP(-LN(2)/2))/(LN(2)/2)*AQ162*AT162*VLOOKUP('Données projet'!$B$10,Paramètres!$A$1:$I$89,3,0)*0.475*44/12</f>
        <v>6.4050381678346517E-19</v>
      </c>
      <c r="AX162" s="23">
        <f t="shared" si="166"/>
        <v>0.28619518526658921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6.3550942286383367E-14</v>
      </c>
      <c r="BF162" s="14">
        <f t="shared" si="167"/>
        <v>1.0064464192543978E-12</v>
      </c>
      <c r="BG162" s="22">
        <f t="shared" si="168"/>
        <v>1.8635787380168604E-12</v>
      </c>
      <c r="BH162" s="62">
        <f t="shared" si="116"/>
        <v>287.66066955837084</v>
      </c>
      <c r="BI162" s="62">
        <f ca="1">AVERAGE(OFFSET($BH$3,0,0,'Données projet'!$E$11+1,1))-AVERAGE(OFFSET($H$3,0,0,'Données projet'!$E$11+1,1))</f>
        <v>321.60602866722138</v>
      </c>
      <c r="BJ162" s="62">
        <f t="shared" si="146"/>
        <v>375.18886653687389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0.99514587842792279</v>
      </c>
      <c r="BQ162" s="23">
        <f>EXP(-LN(2)/25)*BQ161+(1-EXP(-LN(2)/25))/(LN(2)/25)*Calculateur!BL162*Calculateur!BN162*VLOOKUP('Données projet'!$B$11,Paramètres!$A$1:$I$89,3,0)*0.475*44/12</f>
        <v>0.44673192539444578</v>
      </c>
      <c r="BR162" s="23">
        <f>EXP(-LN(2)/2)*BR161+(1-EXP(-LN(2)/2))/(LN(2)/2)*BL162*BO162*VLOOKUP('Données projet'!$B$11,Paramètres!$A$1:$I$89,3,0)*0.475*44/12</f>
        <v>2.806666423409656E-19</v>
      </c>
      <c r="BS162" s="24">
        <f t="shared" si="169"/>
        <v>1.4418778038223685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2.8421709430404007E-14</v>
      </c>
      <c r="BZ162" s="14">
        <f>BY162*VLOOKUP('Données projet'!$B$12,Paramètres!$A$1:$I$89,3,0)*VLOOKUP('Données projet'!$B$12,Paramètres!$A$1:$I$89,5,0)</f>
        <v>1.5518253349000589E-14</v>
      </c>
      <c r="CA162" s="14">
        <f t="shared" si="170"/>
        <v>2.8958815659671149E-13</v>
      </c>
      <c r="CB162" s="22">
        <f t="shared" si="171"/>
        <v>5.3139366398878183E-13</v>
      </c>
      <c r="CC162" s="62">
        <f t="shared" si="119"/>
        <v>287.66066955836948</v>
      </c>
      <c r="CD162" s="62">
        <f ca="1">AVERAGE(OFFSET($CC$3,0,0,'Données projet'!$E$12+1,1))-AVERAGE(OFFSET($H$3,0,0,'Données projet'!$E$12+1,1))</f>
        <v>182.44246264133781</v>
      </c>
      <c r="CE162" s="62">
        <f t="shared" si="148"/>
        <v>262.5818213397049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0.33486620093229952</v>
      </c>
      <c r="CL162" s="23">
        <f>EXP(-LN(2)/25)*CL161+(1-EXP(-LN(2)/25))/(LN(2)/25)*Calculateur!CG162*Calculateur!CI162*VLOOKUP('Données projet'!$B$12,Paramètres!$A$1:$I$89,3,0)*0.475*44/12</f>
        <v>0.50622901907917961</v>
      </c>
      <c r="CM162" s="23">
        <f>EXP(-LN(2)/2)*CM161+(1-EXP(-LN(2)/2))/(LN(2)/2)*CG162*CJ162*VLOOKUP('Données projet'!$B$12,Paramètres!$A$1:$I$89,3,0)*0.475*44/12</f>
        <v>1.1570803260042457E-22</v>
      </c>
      <c r="CN162" s="24">
        <f t="shared" si="172"/>
        <v>0.84109522001147918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-5.3205440053716299E-14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426.87921482911719</v>
      </c>
      <c r="CZ162" s="62">
        <f t="shared" si="150"/>
        <v>313.49594674441835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500.25828825677058</v>
      </c>
      <c r="DU162" s="62">
        <f t="shared" si="152"/>
        <v>313.56299786481338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7.1728499368532414E-2</v>
      </c>
      <c r="EC162" s="23">
        <f>EXP(-LN(2)/2)*EC161+(1-EXP(-LN(2)/2))/(LN(2)/2)*DW162*DZ162*VLOOKUP('Données projet'!$B$14,Paramètres!$A$1:$I$89,3,0)*0.475*44/12</f>
        <v>9.6328852783737325E-19</v>
      </c>
      <c r="ED162" s="24">
        <f t="shared" si="178"/>
        <v>7.1728499368532414E-2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548.17046467409421</v>
      </c>
      <c r="EP162" s="62">
        <f t="shared" si="154"/>
        <v>341.9250949809848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7.9826878329495865E-2</v>
      </c>
      <c r="EX162" s="23">
        <f>EXP(-LN(2)/2)*EX161+(1-EXP(-LN(2)/2))/(LN(2)/2)*ER162*EU162*VLOOKUP('Données projet'!$B$15,Paramètres!$A$1:$I$89,3,0)*0.475*44/12</f>
        <v>1.0720469100125597E-18</v>
      </c>
      <c r="EY162" s="24">
        <f t="shared" si="181"/>
        <v>7.9826878329495865E-2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472.83070477639035</v>
      </c>
      <c r="T163" s="62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0.2483909453347258</v>
      </c>
      <c r="AB163" s="23">
        <f>EXP(-LN(2)/2)*AB162+(1-EXP(-LN(2)/2))/(LN(2)/2)*V163*Y163*VLOOKUP('Données projet'!$B$9,Paramètres!$A$1:$I$89,3,0)*0.475*44/12</f>
        <v>4.0413025152246755E-19</v>
      </c>
      <c r="AC163" s="24">
        <f t="shared" si="163"/>
        <v>0.2483909453347258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520.80494930257237</v>
      </c>
      <c r="AO163" s="62">
        <f t="shared" si="144"/>
        <v>325.72635759450861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0.27836916287512364</v>
      </c>
      <c r="AW163" s="23">
        <f>EXP(-LN(2)/2)*AW162+(1-EXP(-LN(2)/2))/(LN(2)/2)*AQ163*AT163*VLOOKUP('Données projet'!$B$10,Paramètres!$A$1:$I$89,3,0)*0.475*44/12</f>
        <v>4.5290459222345423E-19</v>
      </c>
      <c r="AX163" s="23">
        <f t="shared" si="166"/>
        <v>0.27836916287512364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6.3550942286383367E-14</v>
      </c>
      <c r="BF163" s="14">
        <f t="shared" si="167"/>
        <v>1.0064464192543978E-12</v>
      </c>
      <c r="BG163" s="22">
        <f t="shared" si="168"/>
        <v>1.8635787380168604E-12</v>
      </c>
      <c r="BH163" s="62">
        <f t="shared" si="116"/>
        <v>287.75907759269023</v>
      </c>
      <c r="BI163" s="62">
        <f ca="1">AVERAGE(OFFSET($BH$3,0,0,'Données projet'!$E$11+1,1))-AVERAGE(OFFSET($H$3,0,0,'Données projet'!$E$11+1,1))</f>
        <v>321.60602866722138</v>
      </c>
      <c r="BJ163" s="62">
        <f t="shared" si="146"/>
        <v>375.18886653687389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0.97563167473100287</v>
      </c>
      <c r="BQ163" s="23">
        <f>EXP(-LN(2)/25)*BQ162+(1-EXP(-LN(2)/25))/(LN(2)/25)*Calculateur!BL163*Calculateur!BN163*VLOOKUP('Données projet'!$B$11,Paramètres!$A$1:$I$89,3,0)*0.475*44/12</f>
        <v>0.43451601740192375</v>
      </c>
      <c r="BR163" s="23">
        <f>EXP(-LN(2)/2)*BR162+(1-EXP(-LN(2)/2))/(LN(2)/2)*BL163*BO163*VLOOKUP('Données projet'!$B$11,Paramètres!$A$1:$I$89,3,0)*0.475*44/12</f>
        <v>1.9846128605215616E-19</v>
      </c>
      <c r="BS163" s="24">
        <f t="shared" si="169"/>
        <v>1.4101476921329266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2.8421709430404007E-14</v>
      </c>
      <c r="BZ163" s="14">
        <f>BY163*VLOOKUP('Données projet'!$B$12,Paramètres!$A$1:$I$89,3,0)*VLOOKUP('Données projet'!$B$12,Paramètres!$A$1:$I$89,5,0)</f>
        <v>1.5518253349000589E-14</v>
      </c>
      <c r="CA163" s="14">
        <f t="shared" si="170"/>
        <v>2.8958815659671149E-13</v>
      </c>
      <c r="CB163" s="22">
        <f t="shared" si="171"/>
        <v>5.3139366398878183E-13</v>
      </c>
      <c r="CC163" s="62">
        <f t="shared" si="119"/>
        <v>287.75907759268887</v>
      </c>
      <c r="CD163" s="62">
        <f ca="1">AVERAGE(OFFSET($CC$3,0,0,'Données projet'!$E$12+1,1))-AVERAGE(OFFSET($H$3,0,0,'Données projet'!$E$12+1,1))</f>
        <v>182.44246264133781</v>
      </c>
      <c r="CE163" s="62">
        <f t="shared" si="148"/>
        <v>262.5818213397049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0.32829967898023188</v>
      </c>
      <c r="CL163" s="23">
        <f>EXP(-LN(2)/25)*CL162+(1-EXP(-LN(2)/25))/(LN(2)/25)*Calculateur!CG163*Calculateur!CI163*VLOOKUP('Données projet'!$B$12,Paramètres!$A$1:$I$89,3,0)*0.475*44/12</f>
        <v>0.49238615993103235</v>
      </c>
      <c r="CM163" s="23">
        <f>EXP(-LN(2)/2)*CM162+(1-EXP(-LN(2)/2))/(LN(2)/2)*CG163*CJ163*VLOOKUP('Données projet'!$B$12,Paramètres!$A$1:$I$89,3,0)*0.475*44/12</f>
        <v>8.1817934489514326E-23</v>
      </c>
      <c r="CN163" s="24">
        <f t="shared" si="172"/>
        <v>0.82068583891126423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-5.3205440053716299E-14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426.87921482911719</v>
      </c>
      <c r="CZ163" s="62">
        <f t="shared" si="150"/>
        <v>313.49594674441835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500.25828825677058</v>
      </c>
      <c r="DU163" s="62">
        <f t="shared" si="152"/>
        <v>313.56299786481338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6.9767079781262051E-2</v>
      </c>
      <c r="EC163" s="23">
        <f>EXP(-LN(2)/2)*EC162+(1-EXP(-LN(2)/2))/(LN(2)/2)*DW163*DZ163*VLOOKUP('Données projet'!$B$14,Paramètres!$A$1:$I$89,3,0)*0.475*44/12</f>
        <v>6.8114785027301299E-19</v>
      </c>
      <c r="ED163" s="24">
        <f t="shared" si="178"/>
        <v>6.9767079781262051E-2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548.17046467409421</v>
      </c>
      <c r="EP163" s="62">
        <f t="shared" si="154"/>
        <v>341.9250949809848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7.7644008143662721E-2</v>
      </c>
      <c r="EX163" s="23">
        <f>EXP(-LN(2)/2)*EX162+(1-EXP(-LN(2)/2))/(LN(2)/2)*ER163*EU163*VLOOKUP('Données projet'!$B$15,Paramètres!$A$1:$I$89,3,0)*0.475*44/12</f>
        <v>7.580516398199655E-19</v>
      </c>
      <c r="EY163" s="24">
        <f t="shared" si="181"/>
        <v>7.7644008143662721E-2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472.83070477639035</v>
      </c>
      <c r="T164" s="62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0.24159868187223563</v>
      </c>
      <c r="AB164" s="23">
        <f>EXP(-LN(2)/2)*AB163+(1-EXP(-LN(2)/2))/(LN(2)/2)*V164*Y164*VLOOKUP('Données projet'!$B$9,Paramètres!$A$1:$I$89,3,0)*0.475*44/12</f>
        <v>2.8576324133416187E-19</v>
      </c>
      <c r="AC164" s="24">
        <f t="shared" si="163"/>
        <v>0.24159868187223563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520.80494930257237</v>
      </c>
      <c r="AO164" s="62">
        <f t="shared" si="144"/>
        <v>325.72635759450861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0.27075714347750535</v>
      </c>
      <c r="AW164" s="23">
        <f>EXP(-LN(2)/2)*AW163+(1-EXP(-LN(2)/2))/(LN(2)/2)*AQ164*AT164*VLOOKUP('Données projet'!$B$10,Paramètres!$A$1:$I$89,3,0)*0.475*44/12</f>
        <v>3.2025190839173258E-19</v>
      </c>
      <c r="AX164" s="23">
        <f t="shared" si="166"/>
        <v>0.27075714347750535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6.3550942286383367E-14</v>
      </c>
      <c r="BF164" s="14">
        <f t="shared" si="167"/>
        <v>1.0064464192543978E-12</v>
      </c>
      <c r="BG164" s="22">
        <f t="shared" si="168"/>
        <v>1.8635787380168604E-12</v>
      </c>
      <c r="BH164" s="62">
        <f t="shared" si="116"/>
        <v>287.85577846762158</v>
      </c>
      <c r="BI164" s="62">
        <f ca="1">AVERAGE(OFFSET($BH$3,0,0,'Données projet'!$E$11+1,1))-AVERAGE(OFFSET($H$3,0,0,'Données projet'!$E$11+1,1))</f>
        <v>321.60602866722138</v>
      </c>
      <c r="BJ164" s="62">
        <f t="shared" si="146"/>
        <v>375.18886653687389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0.95650013266609057</v>
      </c>
      <c r="BQ164" s="23">
        <f>EXP(-LN(2)/25)*BQ163+(1-EXP(-LN(2)/25))/(LN(2)/25)*Calculateur!BL164*Calculateur!BN164*VLOOKUP('Données projet'!$B$11,Paramètres!$A$1:$I$89,3,0)*0.475*44/12</f>
        <v>0.42263415405586391</v>
      </c>
      <c r="BR164" s="23">
        <f>EXP(-LN(2)/2)*BR163+(1-EXP(-LN(2)/2))/(LN(2)/2)*BL164*BO164*VLOOKUP('Données projet'!$B$11,Paramètres!$A$1:$I$89,3,0)*0.475*44/12</f>
        <v>1.403333211704828E-19</v>
      </c>
      <c r="BS164" s="24">
        <f t="shared" si="169"/>
        <v>1.3791342867219545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2.8421709430404007E-14</v>
      </c>
      <c r="BZ164" s="14">
        <f>BY164*VLOOKUP('Données projet'!$B$12,Paramètres!$A$1:$I$89,3,0)*VLOOKUP('Données projet'!$B$12,Paramètres!$A$1:$I$89,5,0)</f>
        <v>1.5518253349000589E-14</v>
      </c>
      <c r="CA164" s="14">
        <f t="shared" si="170"/>
        <v>2.8958815659671149E-13</v>
      </c>
      <c r="CB164" s="22">
        <f t="shared" si="171"/>
        <v>5.3139366398878183E-13</v>
      </c>
      <c r="CC164" s="62">
        <f t="shared" si="119"/>
        <v>287.85577846762021</v>
      </c>
      <c r="CD164" s="62">
        <f ca="1">AVERAGE(OFFSET($CC$3,0,0,'Données projet'!$E$12+1,1))-AVERAGE(OFFSET($H$3,0,0,'Données projet'!$E$12+1,1))</f>
        <v>182.44246264133781</v>
      </c>
      <c r="CE164" s="62">
        <f t="shared" si="148"/>
        <v>262.5818213397049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0.32186192251846135</v>
      </c>
      <c r="CL164" s="23">
        <f>EXP(-LN(2)/25)*CL163+(1-EXP(-LN(2)/25))/(LN(2)/25)*Calculateur!CG164*Calculateur!CI164*VLOOKUP('Données projet'!$B$12,Paramètres!$A$1:$I$89,3,0)*0.475*44/12</f>
        <v>0.47892183449425546</v>
      </c>
      <c r="CM164" s="23">
        <f>EXP(-LN(2)/2)*CM163+(1-EXP(-LN(2)/2))/(LN(2)/2)*CG164*CJ164*VLOOKUP('Données projet'!$B$12,Paramètres!$A$1:$I$89,3,0)*0.475*44/12</f>
        <v>5.7854016300212286E-23</v>
      </c>
      <c r="CN164" s="24">
        <f t="shared" si="172"/>
        <v>0.80078375701271676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-5.3205440053716299E-14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426.87921482911719</v>
      </c>
      <c r="CZ164" s="62">
        <f t="shared" si="150"/>
        <v>313.49594674441835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500.25828825677058</v>
      </c>
      <c r="DU164" s="62">
        <f t="shared" si="152"/>
        <v>313.56299786481338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6.7859295315752174E-2</v>
      </c>
      <c r="EC164" s="23">
        <f>EXP(-LN(2)/2)*EC163+(1-EXP(-LN(2)/2))/(LN(2)/2)*DW164*DZ164*VLOOKUP('Données projet'!$B$14,Paramètres!$A$1:$I$89,3,0)*0.475*44/12</f>
        <v>4.8164426391868663E-19</v>
      </c>
      <c r="ED164" s="24">
        <f t="shared" si="178"/>
        <v>6.7859295315752174E-2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548.17046467409421</v>
      </c>
      <c r="EP164" s="62">
        <f t="shared" si="154"/>
        <v>341.9250949809848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7.5520828657853339E-2</v>
      </c>
      <c r="EX164" s="23">
        <f>EXP(-LN(2)/2)*EX163+(1-EXP(-LN(2)/2))/(LN(2)/2)*ER164*EU164*VLOOKUP('Données projet'!$B$15,Paramètres!$A$1:$I$89,3,0)*0.475*44/12</f>
        <v>5.3602345500627987E-19</v>
      </c>
      <c r="EY164" s="24">
        <f t="shared" si="181"/>
        <v>7.5520828657853339E-2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472.83070477639035</v>
      </c>
      <c r="T165" s="62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0.23499215321131683</v>
      </c>
      <c r="AB165" s="23">
        <f>EXP(-LN(2)/2)*AB164+(1-EXP(-LN(2)/2))/(LN(2)/2)*V165*Y165*VLOOKUP('Données projet'!$B$9,Paramètres!$A$1:$I$89,3,0)*0.475*44/12</f>
        <v>2.0206512576123377E-19</v>
      </c>
      <c r="AC165" s="24">
        <f t="shared" si="163"/>
        <v>0.23499215321131683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520.80494930257237</v>
      </c>
      <c r="AO165" s="62">
        <f t="shared" si="144"/>
        <v>325.72635759450861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0.26335327515061363</v>
      </c>
      <c r="AW165" s="23">
        <f>EXP(-LN(2)/2)*AW164+(1-EXP(-LN(2)/2))/(LN(2)/2)*AQ165*AT165*VLOOKUP('Données projet'!$B$10,Paramètres!$A$1:$I$89,3,0)*0.475*44/12</f>
        <v>2.2645229611172711E-19</v>
      </c>
      <c r="AX165" s="23">
        <f t="shared" si="166"/>
        <v>0.26335327515061363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6.3550942286383367E-14</v>
      </c>
      <c r="BF165" s="14">
        <f t="shared" si="167"/>
        <v>1.0064464192543978E-12</v>
      </c>
      <c r="BG165" s="22">
        <f t="shared" si="168"/>
        <v>1.8635787380168604E-12</v>
      </c>
      <c r="BH165" s="62">
        <f t="shared" si="116"/>
        <v>287.95080179856359</v>
      </c>
      <c r="BI165" s="62">
        <f ca="1">AVERAGE(OFFSET($BH$3,0,0,'Données projet'!$E$11+1,1))-AVERAGE(OFFSET($H$3,0,0,'Données projet'!$E$11+1,1))</f>
        <v>321.60602866722138</v>
      </c>
      <c r="BJ165" s="62">
        <f t="shared" si="146"/>
        <v>375.18886653687389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0.93774374847198272</v>
      </c>
      <c r="BQ165" s="23">
        <f>EXP(-LN(2)/25)*BQ164+(1-EXP(-LN(2)/25))/(LN(2)/25)*Calculateur!BL165*Calculateur!BN165*VLOOKUP('Données projet'!$B$11,Paramètres!$A$1:$I$89,3,0)*0.475*44/12</f>
        <v>0.41107720088784211</v>
      </c>
      <c r="BR165" s="23">
        <f>EXP(-LN(2)/2)*BR164+(1-EXP(-LN(2)/2))/(LN(2)/2)*BL165*BO165*VLOOKUP('Données projet'!$B$11,Paramètres!$A$1:$I$89,3,0)*0.475*44/12</f>
        <v>9.9230643026078082E-20</v>
      </c>
      <c r="BS165" s="24">
        <f t="shared" si="169"/>
        <v>1.3488209493598249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2.8421709430404007E-14</v>
      </c>
      <c r="BZ165" s="14">
        <f>BY165*VLOOKUP('Données projet'!$B$12,Paramètres!$A$1:$I$89,3,0)*VLOOKUP('Données projet'!$B$12,Paramètres!$A$1:$I$89,5,0)</f>
        <v>1.5518253349000589E-14</v>
      </c>
      <c r="CA165" s="14">
        <f t="shared" si="170"/>
        <v>2.8958815659671149E-13</v>
      </c>
      <c r="CB165" s="22">
        <f t="shared" si="171"/>
        <v>5.3139366398878183E-13</v>
      </c>
      <c r="CC165" s="62">
        <f t="shared" si="119"/>
        <v>287.95080179856222</v>
      </c>
      <c r="CD165" s="62">
        <f ca="1">AVERAGE(OFFSET($CC$3,0,0,'Données projet'!$E$12+1,1))-AVERAGE(OFFSET($H$3,0,0,'Données projet'!$E$12+1,1))</f>
        <v>182.44246264133781</v>
      </c>
      <c r="CE165" s="62">
        <f t="shared" si="148"/>
        <v>262.5818213397049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0.31555040653426242</v>
      </c>
      <c r="CL165" s="23">
        <f>EXP(-LN(2)/25)*CL164+(1-EXP(-LN(2)/25))/(LN(2)/25)*Calculateur!CG165*Calculateur!CI165*VLOOKUP('Données projet'!$B$12,Paramètres!$A$1:$I$89,3,0)*0.475*44/12</f>
        <v>0.46582569174460536</v>
      </c>
      <c r="CM165" s="23">
        <f>EXP(-LN(2)/2)*CM164+(1-EXP(-LN(2)/2))/(LN(2)/2)*CG165*CJ165*VLOOKUP('Données projet'!$B$12,Paramètres!$A$1:$I$89,3,0)*0.475*44/12</f>
        <v>4.0908967244757163E-23</v>
      </c>
      <c r="CN165" s="24">
        <f t="shared" si="172"/>
        <v>0.78137609827886778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-5.3205440053716299E-14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426.87921482911719</v>
      </c>
      <c r="CZ165" s="62">
        <f t="shared" si="150"/>
        <v>313.49594674441835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500.25828825677058</v>
      </c>
      <c r="DU165" s="62">
        <f t="shared" si="152"/>
        <v>313.56299786481338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6.6003679316777683E-2</v>
      </c>
      <c r="EC165" s="23">
        <f>EXP(-LN(2)/2)*EC164+(1-EXP(-LN(2)/2))/(LN(2)/2)*DW165*DZ165*VLOOKUP('Données projet'!$B$14,Paramètres!$A$1:$I$89,3,0)*0.475*44/12</f>
        <v>3.405739251365065E-19</v>
      </c>
      <c r="ED165" s="24">
        <f t="shared" si="178"/>
        <v>6.6003679316777683E-2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548.17046467409421</v>
      </c>
      <c r="EP165" s="62">
        <f t="shared" si="154"/>
        <v>341.9250949809848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7.3455707626736561E-2</v>
      </c>
      <c r="EX165" s="23">
        <f>EXP(-LN(2)/2)*EX164+(1-EXP(-LN(2)/2))/(LN(2)/2)*ER165*EU165*VLOOKUP('Données projet'!$B$15,Paramètres!$A$1:$I$89,3,0)*0.475*44/12</f>
        <v>3.7902581990998275E-19</v>
      </c>
      <c r="EY165" s="24">
        <f t="shared" si="181"/>
        <v>7.3455707626736561E-2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472.83070477639035</v>
      </c>
      <c r="T166" s="62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0.22856628042405311</v>
      </c>
      <c r="AB166" s="23">
        <f>EXP(-LN(2)/2)*AB165+(1-EXP(-LN(2)/2))/(LN(2)/2)*V166*Y166*VLOOKUP('Données projet'!$B$9,Paramètres!$A$1:$I$89,3,0)*0.475*44/12</f>
        <v>1.4288162066708094E-19</v>
      </c>
      <c r="AC166" s="24">
        <f t="shared" si="163"/>
        <v>0.22856628042405311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520.80494930257237</v>
      </c>
      <c r="AO166" s="62">
        <f t="shared" si="144"/>
        <v>325.72635759450861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0.25615186599247325</v>
      </c>
      <c r="AW166" s="23">
        <f>EXP(-LN(2)/2)*AW165+(1-EXP(-LN(2)/2))/(LN(2)/2)*AQ166*AT166*VLOOKUP('Données projet'!$B$10,Paramètres!$A$1:$I$89,3,0)*0.475*44/12</f>
        <v>1.6012595419586629E-19</v>
      </c>
      <c r="AX166" s="23">
        <f t="shared" si="166"/>
        <v>0.25615186599247325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6.3550942286383367E-14</v>
      </c>
      <c r="BF166" s="14">
        <f t="shared" si="167"/>
        <v>1.0064464192543978E-12</v>
      </c>
      <c r="BG166" s="22">
        <f t="shared" si="168"/>
        <v>1.8635787380168604E-12</v>
      </c>
      <c r="BH166" s="62">
        <f t="shared" si="116"/>
        <v>288.04417668715411</v>
      </c>
      <c r="BI166" s="62">
        <f ca="1">AVERAGE(OFFSET($BH$3,0,0,'Données projet'!$E$11+1,1))-AVERAGE(OFFSET($H$3,0,0,'Données projet'!$E$11+1,1))</f>
        <v>321.60602866722138</v>
      </c>
      <c r="BJ166" s="62">
        <f t="shared" si="146"/>
        <v>375.18886653687389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0.91935516553165664</v>
      </c>
      <c r="BQ166" s="23">
        <f>EXP(-LN(2)/25)*BQ165+(1-EXP(-LN(2)/25))/(LN(2)/25)*Calculateur!BL166*Calculateur!BN166*VLOOKUP('Données projet'!$B$11,Paramètres!$A$1:$I$89,3,0)*0.475*44/12</f>
        <v>0.39983627321195359</v>
      </c>
      <c r="BR166" s="23">
        <f>EXP(-LN(2)/2)*BR165+(1-EXP(-LN(2)/2))/(LN(2)/2)*BL166*BO166*VLOOKUP('Données projet'!$B$11,Paramètres!$A$1:$I$89,3,0)*0.475*44/12</f>
        <v>7.0166660585241401E-20</v>
      </c>
      <c r="BS166" s="24">
        <f t="shared" si="169"/>
        <v>1.3191914387436103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2.8421709430404007E-14</v>
      </c>
      <c r="BZ166" s="14">
        <f>BY166*VLOOKUP('Données projet'!$B$12,Paramètres!$A$1:$I$89,3,0)*VLOOKUP('Données projet'!$B$12,Paramètres!$A$1:$I$89,5,0)</f>
        <v>1.5518253349000589E-14</v>
      </c>
      <c r="CA166" s="14">
        <f t="shared" si="170"/>
        <v>2.8958815659671149E-13</v>
      </c>
      <c r="CB166" s="22">
        <f t="shared" si="171"/>
        <v>5.3139366398878183E-13</v>
      </c>
      <c r="CC166" s="62">
        <f t="shared" si="119"/>
        <v>288.04417668715274</v>
      </c>
      <c r="CD166" s="62">
        <f ca="1">AVERAGE(OFFSET($CC$3,0,0,'Données projet'!$E$12+1,1))-AVERAGE(OFFSET($H$3,0,0,'Données projet'!$E$12+1,1))</f>
        <v>182.44246264133781</v>
      </c>
      <c r="CE166" s="62">
        <f t="shared" si="148"/>
        <v>262.5818213397049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0.30936265552886899</v>
      </c>
      <c r="CL166" s="23">
        <f>EXP(-LN(2)/25)*CL165+(1-EXP(-LN(2)/25))/(LN(2)/25)*Calculateur!CG166*Calculateur!CI166*VLOOKUP('Données projet'!$B$12,Paramètres!$A$1:$I$89,3,0)*0.475*44/12</f>
        <v>0.45308766370714065</v>
      </c>
      <c r="CM166" s="23">
        <f>EXP(-LN(2)/2)*CM165+(1-EXP(-LN(2)/2))/(LN(2)/2)*CG166*CJ166*VLOOKUP('Données projet'!$B$12,Paramètres!$A$1:$I$89,3,0)*0.475*44/12</f>
        <v>2.8927008150106143E-23</v>
      </c>
      <c r="CN166" s="24">
        <f t="shared" si="172"/>
        <v>0.7624503192360097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-5.3205440053716299E-14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426.87921482911719</v>
      </c>
      <c r="CZ166" s="62">
        <f t="shared" si="150"/>
        <v>313.49594674441835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500.25828825677058</v>
      </c>
      <c r="DU166" s="62">
        <f t="shared" si="152"/>
        <v>313.56299786481338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6.4198805234877754E-2</v>
      </c>
      <c r="EC166" s="23">
        <f>EXP(-LN(2)/2)*EC165+(1-EXP(-LN(2)/2))/(LN(2)/2)*DW166*DZ166*VLOOKUP('Données projet'!$B$14,Paramètres!$A$1:$I$89,3,0)*0.475*44/12</f>
        <v>2.4082213195934331E-19</v>
      </c>
      <c r="ED166" s="24">
        <f t="shared" si="178"/>
        <v>6.4198805234877754E-2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548.17046467409421</v>
      </c>
      <c r="EP166" s="62">
        <f t="shared" si="154"/>
        <v>341.9250949809848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7.1447057438815673E-2</v>
      </c>
      <c r="EX166" s="23">
        <f>EXP(-LN(2)/2)*EX165+(1-EXP(-LN(2)/2))/(LN(2)/2)*ER166*EU166*VLOOKUP('Données projet'!$B$15,Paramètres!$A$1:$I$89,3,0)*0.475*44/12</f>
        <v>2.6801172750313994E-19</v>
      </c>
      <c r="EY166" s="24">
        <f t="shared" si="181"/>
        <v>7.1447057438815673E-2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472.83070477639035</v>
      </c>
      <c r="T167" s="62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0.2223161234660791</v>
      </c>
      <c r="AB167" s="23">
        <f>EXP(-LN(2)/2)*AB166+(1-EXP(-LN(2)/2))/(LN(2)/2)*V167*Y167*VLOOKUP('Données projet'!$B$9,Paramètres!$A$1:$I$89,3,0)*0.475*44/12</f>
        <v>1.0103256288061689E-19</v>
      </c>
      <c r="AC167" s="24">
        <f t="shared" si="163"/>
        <v>0.2223161234660791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520.80494930257237</v>
      </c>
      <c r="AO167" s="62">
        <f t="shared" si="144"/>
        <v>325.72635759450861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0.24914737974646789</v>
      </c>
      <c r="AW167" s="23">
        <f>EXP(-LN(2)/2)*AW166+(1-EXP(-LN(2)/2))/(LN(2)/2)*AQ167*AT167*VLOOKUP('Données projet'!$B$10,Paramètres!$A$1:$I$89,3,0)*0.475*44/12</f>
        <v>1.1322614805586356E-19</v>
      </c>
      <c r="AX167" s="23">
        <f t="shared" si="166"/>
        <v>0.24914737974646789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6.3550942286383367E-14</v>
      </c>
      <c r="BF167" s="14">
        <f t="shared" si="167"/>
        <v>1.0064464192543978E-12</v>
      </c>
      <c r="BG167" s="22">
        <f t="shared" si="168"/>
        <v>1.8635787380168604E-12</v>
      </c>
      <c r="BH167" s="62">
        <f t="shared" si="116"/>
        <v>288.13593173018256</v>
      </c>
      <c r="BI167" s="62">
        <f ca="1">AVERAGE(OFFSET($BH$3,0,0,'Données projet'!$E$11+1,1))-AVERAGE(OFFSET($H$3,0,0,'Données projet'!$E$11+1,1))</f>
        <v>321.60602866722138</v>
      </c>
      <c r="BJ167" s="62">
        <f t="shared" si="146"/>
        <v>375.18886653687389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0.90132717148686226</v>
      </c>
      <c r="BQ167" s="23">
        <f>EXP(-LN(2)/25)*BQ166+(1-EXP(-LN(2)/25))/(LN(2)/25)*Calculateur!BL167*Calculateur!BN167*VLOOKUP('Données projet'!$B$11,Paramètres!$A$1:$I$89,3,0)*0.475*44/12</f>
        <v>0.38890272929449693</v>
      </c>
      <c r="BR167" s="23">
        <f>EXP(-LN(2)/2)*BR166+(1-EXP(-LN(2)/2))/(LN(2)/2)*BL167*BO167*VLOOKUP('Données projet'!$B$11,Paramètres!$A$1:$I$89,3,0)*0.475*44/12</f>
        <v>4.9615321513039041E-20</v>
      </c>
      <c r="BS167" s="24">
        <f t="shared" si="169"/>
        <v>1.2902299007813591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2.8421709430404007E-14</v>
      </c>
      <c r="BZ167" s="14">
        <f>BY167*VLOOKUP('Données projet'!$B$12,Paramètres!$A$1:$I$89,3,0)*VLOOKUP('Données projet'!$B$12,Paramètres!$A$1:$I$89,5,0)</f>
        <v>1.5518253349000589E-14</v>
      </c>
      <c r="CA167" s="14">
        <f t="shared" si="170"/>
        <v>2.8958815659671149E-13</v>
      </c>
      <c r="CB167" s="22">
        <f t="shared" si="171"/>
        <v>5.3139366398878183E-13</v>
      </c>
      <c r="CC167" s="62">
        <f t="shared" si="119"/>
        <v>288.1359317301812</v>
      </c>
      <c r="CD167" s="62">
        <f ca="1">AVERAGE(OFFSET($CC$3,0,0,'Données projet'!$E$12+1,1))-AVERAGE(OFFSET($H$3,0,0,'Données projet'!$E$12+1,1))</f>
        <v>182.44246264133781</v>
      </c>
      <c r="CE167" s="62">
        <f t="shared" si="148"/>
        <v>262.5818213397049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0.30329624254653592</v>
      </c>
      <c r="CL167" s="23">
        <f>EXP(-LN(2)/25)*CL166+(1-EXP(-LN(2)/25))/(LN(2)/25)*Calculateur!CG167*Calculateur!CI167*VLOOKUP('Données projet'!$B$12,Paramètres!$A$1:$I$89,3,0)*0.475*44/12</f>
        <v>0.44069795771622422</v>
      </c>
      <c r="CM167" s="23">
        <f>EXP(-LN(2)/2)*CM166+(1-EXP(-LN(2)/2))/(LN(2)/2)*CG167*CJ167*VLOOKUP('Données projet'!$B$12,Paramètres!$A$1:$I$89,3,0)*0.475*44/12</f>
        <v>2.0454483622378582E-23</v>
      </c>
      <c r="CN167" s="24">
        <f t="shared" si="172"/>
        <v>0.7439942002627602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-5.3205440053716299E-14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426.87921482911719</v>
      </c>
      <c r="CZ167" s="62">
        <f t="shared" si="150"/>
        <v>313.49594674441835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500.25828825677058</v>
      </c>
      <c r="DU167" s="62">
        <f t="shared" si="152"/>
        <v>313.56299786481338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6.244328552966158E-2</v>
      </c>
      <c r="EC167" s="23">
        <f>EXP(-LN(2)/2)*EC166+(1-EXP(-LN(2)/2))/(LN(2)/2)*DW167*DZ167*VLOOKUP('Données projet'!$B$14,Paramètres!$A$1:$I$89,3,0)*0.475*44/12</f>
        <v>1.7028696256825325E-19</v>
      </c>
      <c r="ED167" s="24">
        <f t="shared" si="178"/>
        <v>6.244328552966158E-2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548.17046467409421</v>
      </c>
      <c r="EP167" s="62">
        <f t="shared" si="154"/>
        <v>341.9250949809848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6.9493333895913806E-2</v>
      </c>
      <c r="EX167" s="23">
        <f>EXP(-LN(2)/2)*EX166+(1-EXP(-LN(2)/2))/(LN(2)/2)*ER167*EU167*VLOOKUP('Données projet'!$B$15,Paramètres!$A$1:$I$89,3,0)*0.475*44/12</f>
        <v>1.8951290995499137E-19</v>
      </c>
      <c r="EY167" s="24">
        <f t="shared" si="181"/>
        <v>6.9493333895913806E-2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472.83070477639035</v>
      </c>
      <c r="T168" s="62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0.21623687737880234</v>
      </c>
      <c r="AB168" s="23">
        <f>EXP(-LN(2)/2)*AB167+(1-EXP(-LN(2)/2))/(LN(2)/2)*V168*Y168*VLOOKUP('Données projet'!$B$9,Paramètres!$A$1:$I$89,3,0)*0.475*44/12</f>
        <v>7.1440810333540468E-20</v>
      </c>
      <c r="AC168" s="24">
        <f t="shared" si="163"/>
        <v>0.21623687737880234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520.80494930257237</v>
      </c>
      <c r="AO168" s="62">
        <f t="shared" si="144"/>
        <v>325.72635759450861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0.24233443154520945</v>
      </c>
      <c r="AW168" s="23">
        <f>EXP(-LN(2)/2)*AW167+(1-EXP(-LN(2)/2))/(LN(2)/2)*AQ168*AT168*VLOOKUP('Données projet'!$B$10,Paramètres!$A$1:$I$89,3,0)*0.475*44/12</f>
        <v>8.0062977097933146E-20</v>
      </c>
      <c r="AX168" s="23">
        <f t="shared" si="166"/>
        <v>0.24233443154520945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6.3550942286383367E-14</v>
      </c>
      <c r="BF168" s="14">
        <f t="shared" si="167"/>
        <v>1.0064464192543978E-12</v>
      </c>
      <c r="BG168" s="22">
        <f t="shared" si="168"/>
        <v>1.8635787380168604E-12</v>
      </c>
      <c r="BH168" s="62">
        <f t="shared" si="116"/>
        <v>288.22609502834803</v>
      </c>
      <c r="BI168" s="62">
        <f ca="1">AVERAGE(OFFSET($BH$3,0,0,'Données projet'!$E$11+1,1))-AVERAGE(OFFSET($H$3,0,0,'Données projet'!$E$11+1,1))</f>
        <v>321.60602866722138</v>
      </c>
      <c r="BJ168" s="62">
        <f t="shared" si="146"/>
        <v>375.18886653687389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0.8836526954092957</v>
      </c>
      <c r="BQ168" s="23">
        <f>EXP(-LN(2)/25)*BQ167+(1-EXP(-LN(2)/25))/(LN(2)/25)*Calculateur!BL168*Calculateur!BN168*VLOOKUP('Données projet'!$B$11,Paramètres!$A$1:$I$89,3,0)*0.475*44/12</f>
        <v>0.3782681637104332</v>
      </c>
      <c r="BR168" s="23">
        <f>EXP(-LN(2)/2)*BR167+(1-EXP(-LN(2)/2))/(LN(2)/2)*BL168*BO168*VLOOKUP('Données projet'!$B$11,Paramètres!$A$1:$I$89,3,0)*0.475*44/12</f>
        <v>3.5083330292620701E-20</v>
      </c>
      <c r="BS168" s="24">
        <f t="shared" si="169"/>
        <v>1.2619208591197288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2.8421709430404007E-14</v>
      </c>
      <c r="BZ168" s="14">
        <f>BY168*VLOOKUP('Données projet'!$B$12,Paramètres!$A$1:$I$89,3,0)*VLOOKUP('Données projet'!$B$12,Paramètres!$A$1:$I$89,5,0)</f>
        <v>1.5518253349000589E-14</v>
      </c>
      <c r="CA168" s="14">
        <f t="shared" si="170"/>
        <v>2.8958815659671149E-13</v>
      </c>
      <c r="CB168" s="22">
        <f t="shared" si="171"/>
        <v>5.3139366398878183E-13</v>
      </c>
      <c r="CC168" s="62">
        <f t="shared" si="119"/>
        <v>288.22609502834666</v>
      </c>
      <c r="CD168" s="62">
        <f ca="1">AVERAGE(OFFSET($CC$3,0,0,'Données projet'!$E$12+1,1))-AVERAGE(OFFSET($H$3,0,0,'Données projet'!$E$12+1,1))</f>
        <v>182.44246264133781</v>
      </c>
      <c r="CE168" s="62">
        <f t="shared" si="148"/>
        <v>262.5818213397049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0.29734878822263983</v>
      </c>
      <c r="CL168" s="23">
        <f>EXP(-LN(2)/25)*CL167+(1-EXP(-LN(2)/25))/(LN(2)/25)*Calculateur!CG168*Calculateur!CI168*VLOOKUP('Données projet'!$B$12,Paramètres!$A$1:$I$89,3,0)*0.475*44/12</f>
        <v>0.4286470488871757</v>
      </c>
      <c r="CM168" s="23">
        <f>EXP(-LN(2)/2)*CM167+(1-EXP(-LN(2)/2))/(LN(2)/2)*CG168*CJ168*VLOOKUP('Données projet'!$B$12,Paramètres!$A$1:$I$89,3,0)*0.475*44/12</f>
        <v>1.4463504075053072E-23</v>
      </c>
      <c r="CN168" s="24">
        <f t="shared" si="172"/>
        <v>0.72599583710981552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-5.3205440053716299E-14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426.87921482911719</v>
      </c>
      <c r="CZ168" s="62">
        <f t="shared" si="150"/>
        <v>313.49594674441835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500.25828825677058</v>
      </c>
      <c r="DU168" s="62">
        <f t="shared" si="152"/>
        <v>313.56299786481338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6.0735770603103312E-2</v>
      </c>
      <c r="EC168" s="23">
        <f>EXP(-LN(2)/2)*EC167+(1-EXP(-LN(2)/2))/(LN(2)/2)*DW168*DZ168*VLOOKUP('Données projet'!$B$14,Paramètres!$A$1:$I$89,3,0)*0.475*44/12</f>
        <v>1.2041106597967166E-19</v>
      </c>
      <c r="ED168" s="24">
        <f t="shared" si="178"/>
        <v>6.0735770603103312E-2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548.17046467409421</v>
      </c>
      <c r="EP168" s="62">
        <f t="shared" si="154"/>
        <v>341.9250949809848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6.7593035026034448E-2</v>
      </c>
      <c r="EX168" s="23">
        <f>EXP(-LN(2)/2)*EX167+(1-EXP(-LN(2)/2))/(LN(2)/2)*ER168*EU168*VLOOKUP('Données projet'!$B$15,Paramètres!$A$1:$I$89,3,0)*0.475*44/12</f>
        <v>1.3400586375156997E-19</v>
      </c>
      <c r="EY168" s="24">
        <f t="shared" si="181"/>
        <v>6.7593035026034448E-2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472.83070477639035</v>
      </c>
      <c r="T169" s="62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0.21032386859547583</v>
      </c>
      <c r="AB169" s="23">
        <f>EXP(-LN(2)/2)*AB168+(1-EXP(-LN(2)/2))/(LN(2)/2)*V169*Y169*VLOOKUP('Données projet'!$B$9,Paramètres!$A$1:$I$89,3,0)*0.475*44/12</f>
        <v>5.0516281440308444E-20</v>
      </c>
      <c r="AC169" s="24">
        <f t="shared" si="163"/>
        <v>0.21032386859547583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520.80494930257237</v>
      </c>
      <c r="AO169" s="62">
        <f t="shared" si="144"/>
        <v>325.72635759450861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0.2357077837707918</v>
      </c>
      <c r="AW169" s="23">
        <f>EXP(-LN(2)/2)*AW168+(1-EXP(-LN(2)/2))/(LN(2)/2)*AQ169*AT169*VLOOKUP('Données projet'!$B$10,Paramètres!$A$1:$I$89,3,0)*0.475*44/12</f>
        <v>5.6613074027931778E-20</v>
      </c>
      <c r="AX169" s="23">
        <f t="shared" si="166"/>
        <v>0.2357077837707918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6.3550942286383367E-14</v>
      </c>
      <c r="BF169" s="14">
        <f t="shared" si="167"/>
        <v>1.0064464192543978E-12</v>
      </c>
      <c r="BG169" s="22">
        <f t="shared" si="168"/>
        <v>1.8635787380168604E-12</v>
      </c>
      <c r="BH169" s="62">
        <f t="shared" si="116"/>
        <v>288.3146941948653</v>
      </c>
      <c r="BI169" s="62">
        <f ca="1">AVERAGE(OFFSET($BH$3,0,0,'Données projet'!$E$11+1,1))-AVERAGE(OFFSET($H$3,0,0,'Données projet'!$E$11+1,1))</f>
        <v>321.60602866722138</v>
      </c>
      <c r="BJ169" s="62">
        <f t="shared" si="146"/>
        <v>375.18886653687389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0.86632480502724429</v>
      </c>
      <c r="BQ169" s="23">
        <f>EXP(-LN(2)/25)*BQ168+(1-EXP(-LN(2)/25))/(LN(2)/25)*Calculateur!BL169*Calculateur!BN169*VLOOKUP('Données projet'!$B$11,Paramètres!$A$1:$I$89,3,0)*0.475*44/12</f>
        <v>0.36792440088151324</v>
      </c>
      <c r="BR169" s="23">
        <f>EXP(-LN(2)/2)*BR168+(1-EXP(-LN(2)/2))/(LN(2)/2)*BL169*BO169*VLOOKUP('Données projet'!$B$11,Paramètres!$A$1:$I$89,3,0)*0.475*44/12</f>
        <v>2.480766075651952E-20</v>
      </c>
      <c r="BS169" s="24">
        <f t="shared" si="169"/>
        <v>1.2342492059087575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2.8421709430404007E-14</v>
      </c>
      <c r="BZ169" s="14">
        <f>BY169*VLOOKUP('Données projet'!$B$12,Paramètres!$A$1:$I$89,3,0)*VLOOKUP('Données projet'!$B$12,Paramètres!$A$1:$I$89,5,0)</f>
        <v>1.5518253349000589E-14</v>
      </c>
      <c r="CA169" s="14">
        <f t="shared" si="170"/>
        <v>2.8958815659671149E-13</v>
      </c>
      <c r="CB169" s="22">
        <f t="shared" si="171"/>
        <v>5.3139366398878183E-13</v>
      </c>
      <c r="CC169" s="62">
        <f t="shared" si="119"/>
        <v>288.31469419486393</v>
      </c>
      <c r="CD169" s="62">
        <f ca="1">AVERAGE(OFFSET($CC$3,0,0,'Données projet'!$E$12+1,1))-AVERAGE(OFFSET($H$3,0,0,'Données projet'!$E$12+1,1))</f>
        <v>182.44246264133781</v>
      </c>
      <c r="CE169" s="62">
        <f t="shared" si="148"/>
        <v>262.5818213397049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0.29151795985044637</v>
      </c>
      <c r="CL169" s="23">
        <f>EXP(-LN(2)/25)*CL168+(1-EXP(-LN(2)/25))/(LN(2)/25)*Calculateur!CG169*Calculateur!CI169*VLOOKUP('Données projet'!$B$12,Paramètres!$A$1:$I$89,3,0)*0.475*44/12</f>
        <v>0.41692567279378728</v>
      </c>
      <c r="CM169" s="23">
        <f>EXP(-LN(2)/2)*CM168+(1-EXP(-LN(2)/2))/(LN(2)/2)*CG169*CJ169*VLOOKUP('Données projet'!$B$12,Paramètres!$A$1:$I$89,3,0)*0.475*44/12</f>
        <v>1.0227241811189291E-23</v>
      </c>
      <c r="CN169" s="24">
        <f t="shared" si="172"/>
        <v>0.7084436326442336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-5.3205440053716299E-14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426.87921482911719</v>
      </c>
      <c r="CZ169" s="62">
        <f t="shared" si="150"/>
        <v>313.49594674441835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500.25828825677058</v>
      </c>
      <c r="DU169" s="62">
        <f t="shared" si="152"/>
        <v>313.56299786481338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5.9074947762006086E-2</v>
      </c>
      <c r="EC169" s="23">
        <f>EXP(-LN(2)/2)*EC168+(1-EXP(-LN(2)/2))/(LN(2)/2)*DW169*DZ169*VLOOKUP('Données projet'!$B$14,Paramètres!$A$1:$I$89,3,0)*0.475*44/12</f>
        <v>8.5143481284126624E-20</v>
      </c>
      <c r="ED169" s="24">
        <f t="shared" si="178"/>
        <v>5.9074947762006086E-2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548.17046467409421</v>
      </c>
      <c r="EP169" s="62">
        <f t="shared" si="154"/>
        <v>341.9250949809848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6.5744699928684314E-2</v>
      </c>
      <c r="EX169" s="23">
        <f>EXP(-LN(2)/2)*EX168+(1-EXP(-LN(2)/2))/(LN(2)/2)*ER169*EU169*VLOOKUP('Données projet'!$B$15,Paramètres!$A$1:$I$89,3,0)*0.475*44/12</f>
        <v>9.4756454977495687E-20</v>
      </c>
      <c r="EY169" s="24">
        <f t="shared" si="181"/>
        <v>6.5744699928684314E-2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472.83070477639035</v>
      </c>
      <c r="T170" s="62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0.20457255134828101</v>
      </c>
      <c r="AB170" s="23">
        <f>EXP(-LN(2)/2)*AB169+(1-EXP(-LN(2)/2))/(LN(2)/2)*V170*Y170*VLOOKUP('Données projet'!$B$9,Paramètres!$A$1:$I$89,3,0)*0.475*44/12</f>
        <v>3.5720405166770234E-20</v>
      </c>
      <c r="AC170" s="24">
        <f t="shared" si="163"/>
        <v>0.20457255134828101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520.80494930257237</v>
      </c>
      <c r="AO170" s="62">
        <f t="shared" si="144"/>
        <v>325.72635759450861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0.22926234202824586</v>
      </c>
      <c r="AW170" s="23">
        <f>EXP(-LN(2)/2)*AW169+(1-EXP(-LN(2)/2))/(LN(2)/2)*AQ170*AT170*VLOOKUP('Données projet'!$B$10,Paramètres!$A$1:$I$89,3,0)*0.475*44/12</f>
        <v>4.0031488548966573E-20</v>
      </c>
      <c r="AX170" s="23">
        <f t="shared" si="166"/>
        <v>0.22926234202824586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6.3550942286383367E-14</v>
      </c>
      <c r="BF170" s="14">
        <f t="shared" si="167"/>
        <v>1.0064464192543978E-12</v>
      </c>
      <c r="BG170" s="22">
        <f t="shared" si="168"/>
        <v>1.8635787380168604E-12</v>
      </c>
      <c r="BH170" s="62">
        <f t="shared" si="116"/>
        <v>288.40175636392149</v>
      </c>
      <c r="BI170" s="62">
        <f ca="1">AVERAGE(OFFSET($BH$3,0,0,'Données projet'!$E$11+1,1))-AVERAGE(OFFSET($H$3,0,0,'Données projet'!$E$11+1,1))</f>
        <v>321.60602866722138</v>
      </c>
      <c r="BJ170" s="62">
        <f t="shared" si="146"/>
        <v>375.18886653687389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0.84933670400661532</v>
      </c>
      <c r="BQ170" s="23">
        <f>EXP(-LN(2)/25)*BQ169+(1-EXP(-LN(2)/25))/(LN(2)/25)*Calculateur!BL170*Calculateur!BN170*VLOOKUP('Données projet'!$B$11,Paramètres!$A$1:$I$89,3,0)*0.475*44/12</f>
        <v>0.35786348879110491</v>
      </c>
      <c r="BR170" s="23">
        <f>EXP(-LN(2)/2)*BR169+(1-EXP(-LN(2)/2))/(LN(2)/2)*BL170*BO170*VLOOKUP('Données projet'!$B$11,Paramètres!$A$1:$I$89,3,0)*0.475*44/12</f>
        <v>1.754166514631035E-20</v>
      </c>
      <c r="BS170" s="24">
        <f t="shared" si="169"/>
        <v>1.2072001927977203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2.8421709430404007E-14</v>
      </c>
      <c r="BZ170" s="14">
        <f>BY170*VLOOKUP('Données projet'!$B$12,Paramètres!$A$1:$I$89,3,0)*VLOOKUP('Données projet'!$B$12,Paramètres!$A$1:$I$89,5,0)</f>
        <v>1.5518253349000589E-14</v>
      </c>
      <c r="CA170" s="14">
        <f t="shared" si="170"/>
        <v>2.8958815659671149E-13</v>
      </c>
      <c r="CB170" s="22">
        <f t="shared" si="171"/>
        <v>5.3139366398878183E-13</v>
      </c>
      <c r="CC170" s="62">
        <f t="shared" si="119"/>
        <v>288.40175636392013</v>
      </c>
      <c r="CD170" s="62">
        <f ca="1">AVERAGE(OFFSET($CC$3,0,0,'Données projet'!$E$12+1,1))-AVERAGE(OFFSET($H$3,0,0,'Données projet'!$E$12+1,1))</f>
        <v>182.44246264133781</v>
      </c>
      <c r="CE170" s="62">
        <f t="shared" si="148"/>
        <v>262.5818213397049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0.28580147046617749</v>
      </c>
      <c r="CL170" s="23">
        <f>EXP(-LN(2)/25)*CL169+(1-EXP(-LN(2)/25))/(LN(2)/25)*Calculateur!CG170*Calculateur!CI170*VLOOKUP('Données projet'!$B$12,Paramètres!$A$1:$I$89,3,0)*0.475*44/12</f>
        <v>0.40552481834607296</v>
      </c>
      <c r="CM170" s="23">
        <f>EXP(-LN(2)/2)*CM169+(1-EXP(-LN(2)/2))/(LN(2)/2)*CG170*CJ170*VLOOKUP('Données projet'!$B$12,Paramètres!$A$1:$I$89,3,0)*0.475*44/12</f>
        <v>7.2317520375265358E-24</v>
      </c>
      <c r="CN170" s="24">
        <f t="shared" si="172"/>
        <v>0.69132628881225044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-5.3205440053716299E-14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426.87921482911719</v>
      </c>
      <c r="CZ170" s="62">
        <f t="shared" si="150"/>
        <v>313.49594674441835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500.25828825677058</v>
      </c>
      <c r="DU170" s="62">
        <f t="shared" si="152"/>
        <v>313.56299786481338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5.7459540208837541E-2</v>
      </c>
      <c r="EC170" s="23">
        <f>EXP(-LN(2)/2)*EC169+(1-EXP(-LN(2)/2))/(LN(2)/2)*DW170*DZ170*VLOOKUP('Données projet'!$B$14,Paramètres!$A$1:$I$89,3,0)*0.475*44/12</f>
        <v>6.0205532989835828E-20</v>
      </c>
      <c r="ED170" s="24">
        <f t="shared" si="178"/>
        <v>5.7459540208837541E-2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548.17046467409421</v>
      </c>
      <c r="EP170" s="62">
        <f t="shared" si="154"/>
        <v>341.9250949809848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6.394690765177094E-2</v>
      </c>
      <c r="EX170" s="23">
        <f>EXP(-LN(2)/2)*EX169+(1-EXP(-LN(2)/2))/(LN(2)/2)*ER170*EU170*VLOOKUP('Données projet'!$B$15,Paramètres!$A$1:$I$89,3,0)*0.475*44/12</f>
        <v>6.7002931875784984E-20</v>
      </c>
      <c r="EY170" s="24">
        <f t="shared" si="181"/>
        <v>6.394690765177094E-2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472.83070477639035</v>
      </c>
      <c r="T171" s="62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0.19897850417365934</v>
      </c>
      <c r="AB171" s="23">
        <f>EXP(-LN(2)/2)*AB170+(1-EXP(-LN(2)/2))/(LN(2)/2)*V171*Y171*VLOOKUP('Données projet'!$B$9,Paramètres!$A$1:$I$89,3,0)*0.475*44/12</f>
        <v>2.5258140720154222E-20</v>
      </c>
      <c r="AC171" s="24">
        <f t="shared" si="163"/>
        <v>0.19897850417365934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520.80494930257237</v>
      </c>
      <c r="AO171" s="62">
        <f t="shared" si="144"/>
        <v>325.72635759450861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0.22299315122910091</v>
      </c>
      <c r="AW171" s="23">
        <f>EXP(-LN(2)/2)*AW170+(1-EXP(-LN(2)/2))/(LN(2)/2)*AQ171*AT171*VLOOKUP('Données projet'!$B$10,Paramètres!$A$1:$I$89,3,0)*0.475*44/12</f>
        <v>2.8306537013965889E-20</v>
      </c>
      <c r="AX171" s="23">
        <f t="shared" si="166"/>
        <v>0.22299315122910091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6.3550942286383367E-14</v>
      </c>
      <c r="BF171" s="14">
        <f t="shared" si="167"/>
        <v>1.0064464192543978E-12</v>
      </c>
      <c r="BG171" s="22">
        <f t="shared" si="168"/>
        <v>1.8635787380168604E-12</v>
      </c>
      <c r="BH171" s="62">
        <f t="shared" si="116"/>
        <v>288.4873081989864</v>
      </c>
      <c r="BI171" s="62">
        <f ca="1">AVERAGE(OFFSET($BH$3,0,0,'Données projet'!$E$11+1,1))-AVERAGE(OFFSET($H$3,0,0,'Données projet'!$E$11+1,1))</f>
        <v>321.60602866722138</v>
      </c>
      <c r="BJ171" s="62">
        <f t="shared" si="146"/>
        <v>375.18886653687389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0.83268172928528239</v>
      </c>
      <c r="BQ171" s="23">
        <f>EXP(-LN(2)/25)*BQ170+(1-EXP(-LN(2)/25))/(LN(2)/25)*Calculateur!BL171*Calculateur!BN171*VLOOKUP('Données projet'!$B$11,Paramètres!$A$1:$I$89,3,0)*0.475*44/12</f>
        <v>0.34807769287088919</v>
      </c>
      <c r="BR171" s="23">
        <f>EXP(-LN(2)/2)*BR170+(1-EXP(-LN(2)/2))/(LN(2)/2)*BL171*BO171*VLOOKUP('Données projet'!$B$11,Paramètres!$A$1:$I$89,3,0)*0.475*44/12</f>
        <v>1.240383037825976E-20</v>
      </c>
      <c r="BS171" s="24">
        <f t="shared" si="169"/>
        <v>1.1807594221561715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2.8421709430404007E-14</v>
      </c>
      <c r="BZ171" s="14">
        <f>BY171*VLOOKUP('Données projet'!$B$12,Paramètres!$A$1:$I$89,3,0)*VLOOKUP('Données projet'!$B$12,Paramètres!$A$1:$I$89,5,0)</f>
        <v>1.5518253349000589E-14</v>
      </c>
      <c r="CA171" s="14">
        <f t="shared" si="170"/>
        <v>2.8958815659671149E-13</v>
      </c>
      <c r="CB171" s="22">
        <f t="shared" si="171"/>
        <v>5.3139366398878183E-13</v>
      </c>
      <c r="CC171" s="62">
        <f t="shared" si="119"/>
        <v>288.48730819898503</v>
      </c>
      <c r="CD171" s="62">
        <f ca="1">AVERAGE(OFFSET($CC$3,0,0,'Données projet'!$E$12+1,1))-AVERAGE(OFFSET($H$3,0,0,'Données projet'!$E$12+1,1))</f>
        <v>182.44246264133781</v>
      </c>
      <c r="CE171" s="62">
        <f t="shared" si="148"/>
        <v>262.5818213397049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0.28019707795201987</v>
      </c>
      <c r="CL171" s="23">
        <f>EXP(-LN(2)/25)*CL170+(1-EXP(-LN(2)/25))/(LN(2)/25)*Calculateur!CG171*Calculateur!CI171*VLOOKUP('Données projet'!$B$12,Paramètres!$A$1:$I$89,3,0)*0.475*44/12</f>
        <v>0.39443572086277623</v>
      </c>
      <c r="CM171" s="23">
        <f>EXP(-LN(2)/2)*CM170+(1-EXP(-LN(2)/2))/(LN(2)/2)*CG171*CJ171*VLOOKUP('Données projet'!$B$12,Paramètres!$A$1:$I$89,3,0)*0.475*44/12</f>
        <v>5.1136209055946454E-24</v>
      </c>
      <c r="CN171" s="24">
        <f t="shared" si="172"/>
        <v>0.6746327988147961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-5.3205440053716299E-14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426.87921482911719</v>
      </c>
      <c r="CZ171" s="62">
        <f t="shared" si="150"/>
        <v>313.49594674441835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500.25828825677058</v>
      </c>
      <c r="DU171" s="62">
        <f t="shared" si="152"/>
        <v>313.56299786481338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5.5888306060160986E-2</v>
      </c>
      <c r="EC171" s="23">
        <f>EXP(-LN(2)/2)*EC170+(1-EXP(-LN(2)/2))/(LN(2)/2)*DW171*DZ171*VLOOKUP('Données projet'!$B$14,Paramètres!$A$1:$I$89,3,0)*0.475*44/12</f>
        <v>4.2571740642063312E-20</v>
      </c>
      <c r="ED171" s="24">
        <f t="shared" si="178"/>
        <v>5.5888306060160986E-2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548.17046467409421</v>
      </c>
      <c r="EP171" s="62">
        <f t="shared" si="154"/>
        <v>341.9250949809848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6.2198276099211545E-2</v>
      </c>
      <c r="EX171" s="23">
        <f>EXP(-LN(2)/2)*EX170+(1-EXP(-LN(2)/2))/(LN(2)/2)*ER171*EU171*VLOOKUP('Données projet'!$B$15,Paramètres!$A$1:$I$89,3,0)*0.475*44/12</f>
        <v>4.7378227488747844E-20</v>
      </c>
      <c r="EY171" s="24">
        <f t="shared" si="181"/>
        <v>6.2198276099211545E-2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472.83070477639035</v>
      </c>
      <c r="T172" s="62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0.19353742651320585</v>
      </c>
      <c r="AB172" s="23">
        <f>EXP(-LN(2)/2)*AB171+(1-EXP(-LN(2)/2))/(LN(2)/2)*V172*Y172*VLOOKUP('Données projet'!$B$9,Paramètres!$A$1:$I$89,3,0)*0.475*44/12</f>
        <v>1.7860202583385117E-20</v>
      </c>
      <c r="AC172" s="24">
        <f t="shared" si="163"/>
        <v>0.19353742651320585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520.80494930257237</v>
      </c>
      <c r="AO172" s="62">
        <f t="shared" si="144"/>
        <v>325.72635759450861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0.21689539178204098</v>
      </c>
      <c r="AW172" s="23">
        <f>EXP(-LN(2)/2)*AW171+(1-EXP(-LN(2)/2))/(LN(2)/2)*AQ172*AT172*VLOOKUP('Données projet'!$B$10,Paramètres!$A$1:$I$89,3,0)*0.475*44/12</f>
        <v>2.0015744274483287E-20</v>
      </c>
      <c r="AX172" s="23">
        <f t="shared" si="166"/>
        <v>0.21689539178204098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6.3550942286383367E-14</v>
      </c>
      <c r="BF172" s="14">
        <f t="shared" si="167"/>
        <v>1.0064464192543978E-12</v>
      </c>
      <c r="BG172" s="22">
        <f t="shared" si="168"/>
        <v>1.8635787380168604E-12</v>
      </c>
      <c r="BH172" s="62">
        <f t="shared" si="116"/>
        <v>288.5713759009783</v>
      </c>
      <c r="BI172" s="62">
        <f ca="1">AVERAGE(OFFSET($BH$3,0,0,'Données projet'!$E$11+1,1))-AVERAGE(OFFSET($H$3,0,0,'Données projet'!$E$11+1,1))</f>
        <v>321.60602866722138</v>
      </c>
      <c r="BJ172" s="62">
        <f t="shared" si="146"/>
        <v>375.18886653687389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0.81635334845970331</v>
      </c>
      <c r="BQ172" s="23">
        <f>EXP(-LN(2)/25)*BQ171+(1-EXP(-LN(2)/25))/(LN(2)/25)*Calculateur!BL172*Calculateur!BN172*VLOOKUP('Données projet'!$B$11,Paramètres!$A$1:$I$89,3,0)*0.475*44/12</f>
        <v>0.33855949005472441</v>
      </c>
      <c r="BR172" s="23">
        <f>EXP(-LN(2)/2)*BR171+(1-EXP(-LN(2)/2))/(LN(2)/2)*BL172*BO172*VLOOKUP('Données projet'!$B$11,Paramètres!$A$1:$I$89,3,0)*0.475*44/12</f>
        <v>8.7708325731551752E-21</v>
      </c>
      <c r="BS172" s="24">
        <f t="shared" si="169"/>
        <v>1.1549128385144276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2.8421709430404007E-14</v>
      </c>
      <c r="BZ172" s="14">
        <f>BY172*VLOOKUP('Données projet'!$B$12,Paramètres!$A$1:$I$89,3,0)*VLOOKUP('Données projet'!$B$12,Paramètres!$A$1:$I$89,5,0)</f>
        <v>1.5518253349000589E-14</v>
      </c>
      <c r="CA172" s="14">
        <f t="shared" si="170"/>
        <v>2.8958815659671149E-13</v>
      </c>
      <c r="CB172" s="22">
        <f t="shared" si="171"/>
        <v>5.3139366398878183E-13</v>
      </c>
      <c r="CC172" s="62">
        <f t="shared" si="119"/>
        <v>288.57137590097693</v>
      </c>
      <c r="CD172" s="62">
        <f ca="1">AVERAGE(OFFSET($CC$3,0,0,'Données projet'!$E$12+1,1))-AVERAGE(OFFSET($H$3,0,0,'Données projet'!$E$12+1,1))</f>
        <v>182.44246264133781</v>
      </c>
      <c r="CE172" s="62">
        <f t="shared" si="148"/>
        <v>262.5818213397049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0.274702584156723</v>
      </c>
      <c r="CL172" s="23">
        <f>EXP(-LN(2)/25)*CL171+(1-EXP(-LN(2)/25))/(LN(2)/25)*Calculateur!CG172*Calculateur!CI172*VLOOKUP('Données projet'!$B$12,Paramètres!$A$1:$I$89,3,0)*0.475*44/12</f>
        <v>0.38364985533331053</v>
      </c>
      <c r="CM172" s="23">
        <f>EXP(-LN(2)/2)*CM171+(1-EXP(-LN(2)/2))/(LN(2)/2)*CG172*CJ172*VLOOKUP('Données projet'!$B$12,Paramètres!$A$1:$I$89,3,0)*0.475*44/12</f>
        <v>3.6158760187632679E-24</v>
      </c>
      <c r="CN172" s="24">
        <f t="shared" si="172"/>
        <v>0.65835243949003353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-5.3205440053716299E-14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426.87921482911719</v>
      </c>
      <c r="CZ172" s="62">
        <f t="shared" si="150"/>
        <v>313.49594674441835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500.25828825677058</v>
      </c>
      <c r="DU172" s="62">
        <f t="shared" si="152"/>
        <v>313.56299786481338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5.4360037391907604E-2</v>
      </c>
      <c r="EC172" s="23">
        <f>EXP(-LN(2)/2)*EC171+(1-EXP(-LN(2)/2))/(LN(2)/2)*DW172*DZ172*VLOOKUP('Données projet'!$B$14,Paramètres!$A$1:$I$89,3,0)*0.475*44/12</f>
        <v>3.0102766494917914E-20</v>
      </c>
      <c r="ED172" s="24">
        <f t="shared" si="178"/>
        <v>5.4360037391907604E-2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548.17046467409421</v>
      </c>
      <c r="EP172" s="62">
        <f t="shared" si="154"/>
        <v>341.9250949809848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6.0497460968413422E-2</v>
      </c>
      <c r="EX172" s="23">
        <f>EXP(-LN(2)/2)*EX171+(1-EXP(-LN(2)/2))/(LN(2)/2)*ER172*EU172*VLOOKUP('Données projet'!$B$15,Paramètres!$A$1:$I$89,3,0)*0.475*44/12</f>
        <v>3.3501465937892492E-20</v>
      </c>
      <c r="EY172" s="24">
        <f t="shared" si="181"/>
        <v>6.0497460968413422E-2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472.83070477639035</v>
      </c>
      <c r="T173" s="62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0.18824513540751131</v>
      </c>
      <c r="AB173" s="23">
        <f>EXP(-LN(2)/2)*AB172+(1-EXP(-LN(2)/2))/(LN(2)/2)*V173*Y173*VLOOKUP('Données projet'!$B$9,Paramètres!$A$1:$I$89,3,0)*0.475*44/12</f>
        <v>1.2629070360077111E-20</v>
      </c>
      <c r="AC173" s="24">
        <f t="shared" si="163"/>
        <v>0.18824513540751131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520.80494930257237</v>
      </c>
      <c r="AO173" s="62">
        <f t="shared" si="144"/>
        <v>325.72635759450861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0.21096437588772815</v>
      </c>
      <c r="AW173" s="23">
        <f>EXP(-LN(2)/2)*AW172+(1-EXP(-LN(2)/2))/(LN(2)/2)*AQ173*AT173*VLOOKUP('Données projet'!$B$10,Paramètres!$A$1:$I$89,3,0)*0.475*44/12</f>
        <v>1.4153268506982945E-20</v>
      </c>
      <c r="AX173" s="23">
        <f t="shared" si="166"/>
        <v>0.21096437588772815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6.3550942286383367E-14</v>
      </c>
      <c r="BF173" s="14">
        <f t="shared" si="167"/>
        <v>1.0064464192543978E-12</v>
      </c>
      <c r="BG173" s="22">
        <f t="shared" si="168"/>
        <v>1.8635787380168604E-12</v>
      </c>
      <c r="BH173" s="62">
        <f t="shared" si="116"/>
        <v>288.65398521628777</v>
      </c>
      <c r="BI173" s="62">
        <f ca="1">AVERAGE(OFFSET($BH$3,0,0,'Données projet'!$E$11+1,1))-AVERAGE(OFFSET($H$3,0,0,'Données projet'!$E$11+1,1))</f>
        <v>321.60602866722138</v>
      </c>
      <c r="BJ173" s="62">
        <f t="shared" si="146"/>
        <v>375.18886653687389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0.80034515722278499</v>
      </c>
      <c r="BQ173" s="23">
        <f>EXP(-LN(2)/25)*BQ172+(1-EXP(-LN(2)/25))/(LN(2)/25)*Calculateur!BL173*Calculateur!BN173*VLOOKUP('Données projet'!$B$11,Paramètres!$A$1:$I$89,3,0)*0.475*44/12</f>
        <v>0.32930156299510815</v>
      </c>
      <c r="BR173" s="23">
        <f>EXP(-LN(2)/2)*BR172+(1-EXP(-LN(2)/2))/(LN(2)/2)*BL173*BO173*VLOOKUP('Données projet'!$B$11,Paramètres!$A$1:$I$89,3,0)*0.475*44/12</f>
        <v>6.2019151891298801E-21</v>
      </c>
      <c r="BS173" s="24">
        <f t="shared" si="169"/>
        <v>1.129646720217893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2.8421709430404007E-14</v>
      </c>
      <c r="BZ173" s="14">
        <f>BY173*VLOOKUP('Données projet'!$B$12,Paramètres!$A$1:$I$89,3,0)*VLOOKUP('Données projet'!$B$12,Paramètres!$A$1:$I$89,5,0)</f>
        <v>1.5518253349000589E-14</v>
      </c>
      <c r="CA173" s="14">
        <f t="shared" si="170"/>
        <v>2.8958815659671149E-13</v>
      </c>
      <c r="CB173" s="22">
        <f t="shared" si="171"/>
        <v>5.3139366398878183E-13</v>
      </c>
      <c r="CC173" s="62">
        <f t="shared" si="119"/>
        <v>288.6539852162864</v>
      </c>
      <c r="CD173" s="62">
        <f ca="1">AVERAGE(OFFSET($CC$3,0,0,'Données projet'!$E$12+1,1))-AVERAGE(OFFSET($H$3,0,0,'Données projet'!$E$12+1,1))</f>
        <v>182.44246264133781</v>
      </c>
      <c r="CE173" s="62">
        <f t="shared" si="148"/>
        <v>262.5818213397049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0.26931583403344161</v>
      </c>
      <c r="CL173" s="23">
        <f>EXP(-LN(2)/25)*CL172+(1-EXP(-LN(2)/25))/(LN(2)/25)*Calculateur!CG173*Calculateur!CI173*VLOOKUP('Données projet'!$B$12,Paramètres!$A$1:$I$89,3,0)*0.475*44/12</f>
        <v>0.3731589298639521</v>
      </c>
      <c r="CM173" s="23">
        <f>EXP(-LN(2)/2)*CM172+(1-EXP(-LN(2)/2))/(LN(2)/2)*CG173*CJ173*VLOOKUP('Données projet'!$B$12,Paramètres!$A$1:$I$89,3,0)*0.475*44/12</f>
        <v>2.5568104527973227E-24</v>
      </c>
      <c r="CN173" s="24">
        <f t="shared" si="172"/>
        <v>0.64247476389739377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-5.3205440053716299E-14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426.87921482911719</v>
      </c>
      <c r="CZ173" s="62">
        <f t="shared" si="150"/>
        <v>313.49594674441835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500.25828825677058</v>
      </c>
      <c r="DU173" s="62">
        <f t="shared" si="152"/>
        <v>313.56299786481338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5.2873559310755762E-2</v>
      </c>
      <c r="EC173" s="23">
        <f>EXP(-LN(2)/2)*EC172+(1-EXP(-LN(2)/2))/(LN(2)/2)*DW173*DZ173*VLOOKUP('Données projet'!$B$14,Paramètres!$A$1:$I$89,3,0)*0.475*44/12</f>
        <v>2.1285870321031656E-20</v>
      </c>
      <c r="ED173" s="24">
        <f t="shared" si="178"/>
        <v>5.2873559310755762E-2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548.17046467409421</v>
      </c>
      <c r="EP173" s="62">
        <f t="shared" si="154"/>
        <v>341.9250949809848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5.8843154716808954E-2</v>
      </c>
      <c r="EX173" s="23">
        <f>EXP(-LN(2)/2)*EX172+(1-EXP(-LN(2)/2))/(LN(2)/2)*ER173*EU173*VLOOKUP('Données projet'!$B$15,Paramètres!$A$1:$I$89,3,0)*0.475*44/12</f>
        <v>2.3689113744373922E-20</v>
      </c>
      <c r="EY173" s="24">
        <f t="shared" si="181"/>
        <v>5.8843154716808954E-2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472.83070477639035</v>
      </c>
      <c r="T174" s="62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0.18309756228041149</v>
      </c>
      <c r="AB174" s="23">
        <f>EXP(-LN(2)/2)*AB173+(1-EXP(-LN(2)/2))/(LN(2)/2)*V174*Y174*VLOOKUP('Données projet'!$B$9,Paramètres!$A$1:$I$89,3,0)*0.475*44/12</f>
        <v>8.9301012916925585E-21</v>
      </c>
      <c r="AC174" s="24">
        <f t="shared" si="163"/>
        <v>0.18309756228041149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520.80494930257237</v>
      </c>
      <c r="AO174" s="62">
        <f t="shared" si="144"/>
        <v>325.72635759450861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0.20519554393494385</v>
      </c>
      <c r="AW174" s="23">
        <f>EXP(-LN(2)/2)*AW173+(1-EXP(-LN(2)/2))/(LN(2)/2)*AQ174*AT174*VLOOKUP('Données projet'!$B$10,Paramètres!$A$1:$I$89,3,0)*0.475*44/12</f>
        <v>1.0007872137241643E-20</v>
      </c>
      <c r="AX174" s="23">
        <f t="shared" si="166"/>
        <v>0.20519554393494385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6.3550942286383367E-14</v>
      </c>
      <c r="BF174" s="14">
        <f t="shared" si="167"/>
        <v>1.0064464192543978E-12</v>
      </c>
      <c r="BG174" s="22">
        <f t="shared" si="168"/>
        <v>1.8635787380168604E-12</v>
      </c>
      <c r="BH174" s="62">
        <f t="shared" si="116"/>
        <v>288.73516144466339</v>
      </c>
      <c r="BI174" s="62">
        <f ca="1">AVERAGE(OFFSET($BH$3,0,0,'Données projet'!$E$11+1,1))-AVERAGE(OFFSET($H$3,0,0,'Données projet'!$E$11+1,1))</f>
        <v>321.60602866722138</v>
      </c>
      <c r="BJ174" s="62">
        <f t="shared" si="146"/>
        <v>375.18886653687389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0.78465087685199009</v>
      </c>
      <c r="BQ174" s="23">
        <f>EXP(-LN(2)/25)*BQ173+(1-EXP(-LN(2)/25))/(LN(2)/25)*Calculateur!BL174*Calculateur!BN174*VLOOKUP('Données projet'!$B$11,Paramètres!$A$1:$I$89,3,0)*0.475*44/12</f>
        <v>0.32029679443779036</v>
      </c>
      <c r="BR174" s="23">
        <f>EXP(-LN(2)/2)*BR173+(1-EXP(-LN(2)/2))/(LN(2)/2)*BL174*BO174*VLOOKUP('Données projet'!$B$11,Paramètres!$A$1:$I$89,3,0)*0.475*44/12</f>
        <v>4.3854162865775876E-21</v>
      </c>
      <c r="BS174" s="24">
        <f t="shared" si="169"/>
        <v>1.1049476712897803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2.8421709430404007E-14</v>
      </c>
      <c r="BZ174" s="14">
        <f>BY174*VLOOKUP('Données projet'!$B$12,Paramètres!$A$1:$I$89,3,0)*VLOOKUP('Données projet'!$B$12,Paramètres!$A$1:$I$89,5,0)</f>
        <v>1.5518253349000589E-14</v>
      </c>
      <c r="CA174" s="14">
        <f t="shared" si="170"/>
        <v>2.8958815659671149E-13</v>
      </c>
      <c r="CB174" s="22">
        <f t="shared" si="171"/>
        <v>5.3139366398878183E-13</v>
      </c>
      <c r="CC174" s="62">
        <f t="shared" si="119"/>
        <v>288.73516144466203</v>
      </c>
      <c r="CD174" s="62">
        <f ca="1">AVERAGE(OFFSET($CC$3,0,0,'Données projet'!$E$12+1,1))-AVERAGE(OFFSET($H$3,0,0,'Données projet'!$E$12+1,1))</f>
        <v>182.44246264133781</v>
      </c>
      <c r="CE174" s="62">
        <f t="shared" si="148"/>
        <v>262.5818213397049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0.26403471479448465</v>
      </c>
      <c r="CL174" s="23">
        <f>EXP(-LN(2)/25)*CL173+(1-EXP(-LN(2)/25))/(LN(2)/25)*Calculateur!CG174*Calculateur!CI174*VLOOKUP('Données projet'!$B$12,Paramètres!$A$1:$I$89,3,0)*0.475*44/12</f>
        <v>0.3629548793032471</v>
      </c>
      <c r="CM174" s="23">
        <f>EXP(-LN(2)/2)*CM173+(1-EXP(-LN(2)/2))/(LN(2)/2)*CG174*CJ174*VLOOKUP('Données projet'!$B$12,Paramètres!$A$1:$I$89,3,0)*0.475*44/12</f>
        <v>1.807938009381634E-24</v>
      </c>
      <c r="CN174" s="24">
        <f t="shared" si="172"/>
        <v>0.6269895940977317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-5.3205440053716299E-14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426.87921482911719</v>
      </c>
      <c r="CZ174" s="62">
        <f t="shared" si="150"/>
        <v>313.49594674441835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500.25828825677058</v>
      </c>
      <c r="DU174" s="62">
        <f t="shared" si="152"/>
        <v>313.56299786481338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5.1427729050903509E-2</v>
      </c>
      <c r="EC174" s="23">
        <f>EXP(-LN(2)/2)*EC173+(1-EXP(-LN(2)/2))/(LN(2)/2)*DW174*DZ174*VLOOKUP('Données projet'!$B$14,Paramètres!$A$1:$I$89,3,0)*0.475*44/12</f>
        <v>1.5051383247458957E-20</v>
      </c>
      <c r="ED174" s="24">
        <f t="shared" si="178"/>
        <v>5.1427729050903509E-2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548.17046467409421</v>
      </c>
      <c r="EP174" s="62">
        <f t="shared" si="154"/>
        <v>341.9250949809848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5.7234085556650792E-2</v>
      </c>
      <c r="EX174" s="23">
        <f>EXP(-LN(2)/2)*EX173+(1-EXP(-LN(2)/2))/(LN(2)/2)*ER174*EU174*VLOOKUP('Données projet'!$B$15,Paramètres!$A$1:$I$89,3,0)*0.475*44/12</f>
        <v>1.6750732968946246E-20</v>
      </c>
      <c r="EY174" s="24">
        <f t="shared" si="181"/>
        <v>5.7234085556650792E-2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472.83070477639035</v>
      </c>
      <c r="T175" s="62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0.17809074981117132</v>
      </c>
      <c r="AB175" s="23">
        <f>EXP(-LN(2)/2)*AB174+(1-EXP(-LN(2)/2))/(LN(2)/2)*V175*Y175*VLOOKUP('Données projet'!$B$9,Paramètres!$A$1:$I$89,3,0)*0.475*44/12</f>
        <v>6.3145351800385555E-21</v>
      </c>
      <c r="AC175" s="24">
        <f t="shared" si="163"/>
        <v>0.17809074981117132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520.80494930257237</v>
      </c>
      <c r="AO175" s="62">
        <f t="shared" si="144"/>
        <v>325.72635759450861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0.19958446099527813</v>
      </c>
      <c r="AW175" s="23">
        <f>EXP(-LN(2)/2)*AW174+(1-EXP(-LN(2)/2))/(LN(2)/2)*AQ175*AT175*VLOOKUP('Données projet'!$B$10,Paramètres!$A$1:$I$89,3,0)*0.475*44/12</f>
        <v>7.0766342534914723E-21</v>
      </c>
      <c r="AX175" s="23">
        <f t="shared" si="166"/>
        <v>0.19958446099527813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6.3550942286383367E-14</v>
      </c>
      <c r="BF175" s="14">
        <f t="shared" si="167"/>
        <v>1.0064464192543978E-12</v>
      </c>
      <c r="BG175" s="22">
        <f t="shared" si="168"/>
        <v>1.8635787380168604E-12</v>
      </c>
      <c r="BH175" s="62">
        <f t="shared" si="116"/>
        <v>288.81492944695952</v>
      </c>
      <c r="BI175" s="62">
        <f ca="1">AVERAGE(OFFSET($BH$3,0,0,'Données projet'!$E$11+1,1))-AVERAGE(OFFSET($H$3,0,0,'Données projet'!$E$11+1,1))</f>
        <v>321.60602866722138</v>
      </c>
      <c r="BJ175" s="62">
        <f t="shared" si="146"/>
        <v>375.18886653687389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0.7692643517467006</v>
      </c>
      <c r="BQ175" s="23">
        <f>EXP(-LN(2)/25)*BQ174+(1-EXP(-LN(2)/25))/(LN(2)/25)*Calculateur!BL175*Calculateur!BN175*VLOOKUP('Données projet'!$B$11,Paramètres!$A$1:$I$89,3,0)*0.475*44/12</f>
        <v>0.3115382617502126</v>
      </c>
      <c r="BR175" s="23">
        <f>EXP(-LN(2)/2)*BR174+(1-EXP(-LN(2)/2))/(LN(2)/2)*BL175*BO175*VLOOKUP('Données projet'!$B$11,Paramètres!$A$1:$I$89,3,0)*0.475*44/12</f>
        <v>3.1009575945649401E-21</v>
      </c>
      <c r="BS175" s="24">
        <f t="shared" si="169"/>
        <v>1.0808026134969131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2.8421709430404007E-14</v>
      </c>
      <c r="BZ175" s="14">
        <f>BY175*VLOOKUP('Données projet'!$B$12,Paramètres!$A$1:$I$89,3,0)*VLOOKUP('Données projet'!$B$12,Paramètres!$A$1:$I$89,5,0)</f>
        <v>1.5518253349000589E-14</v>
      </c>
      <c r="CA175" s="14">
        <f t="shared" si="170"/>
        <v>2.8958815659671149E-13</v>
      </c>
      <c r="CB175" s="22">
        <f t="shared" si="171"/>
        <v>5.3139366398878183E-13</v>
      </c>
      <c r="CC175" s="62">
        <f t="shared" si="119"/>
        <v>288.81492944695816</v>
      </c>
      <c r="CD175" s="62">
        <f ca="1">AVERAGE(OFFSET($CC$3,0,0,'Données projet'!$E$12+1,1))-AVERAGE(OFFSET($H$3,0,0,'Données projet'!$E$12+1,1))</f>
        <v>182.44246264133781</v>
      </c>
      <c r="CE175" s="62">
        <f t="shared" si="148"/>
        <v>262.5818213397049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0.25885715508263896</v>
      </c>
      <c r="CL175" s="23">
        <f>EXP(-LN(2)/25)*CL174+(1-EXP(-LN(2)/25))/(LN(2)/25)*Calculateur!CG175*Calculateur!CI175*VLOOKUP('Données projet'!$B$12,Paramètres!$A$1:$I$89,3,0)*0.475*44/12</f>
        <v>0.35302985904173223</v>
      </c>
      <c r="CM175" s="23">
        <f>EXP(-LN(2)/2)*CM174+(1-EXP(-LN(2)/2))/(LN(2)/2)*CG175*CJ175*VLOOKUP('Données projet'!$B$12,Paramètres!$A$1:$I$89,3,0)*0.475*44/12</f>
        <v>1.2784052263986613E-24</v>
      </c>
      <c r="CN175" s="24">
        <f t="shared" si="172"/>
        <v>0.61188701412437119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-5.3205440053716299E-14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426.87921482911719</v>
      </c>
      <c r="CZ175" s="62">
        <f t="shared" si="150"/>
        <v>313.49594674441835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500.25828825677058</v>
      </c>
      <c r="DU175" s="62">
        <f t="shared" si="152"/>
        <v>313.56299786481338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5.0021435095539822E-2</v>
      </c>
      <c r="EC175" s="23">
        <f>EXP(-LN(2)/2)*EC174+(1-EXP(-LN(2)/2))/(LN(2)/2)*DW175*DZ175*VLOOKUP('Données projet'!$B$14,Paramètres!$A$1:$I$89,3,0)*0.475*44/12</f>
        <v>1.0642935160515828E-20</v>
      </c>
      <c r="ED175" s="24">
        <f t="shared" si="178"/>
        <v>5.0021435095539822E-2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548.17046467409421</v>
      </c>
      <c r="EP175" s="62">
        <f t="shared" si="154"/>
        <v>341.9250949809848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5.5669016477294428E-2</v>
      </c>
      <c r="EX175" s="23">
        <f>EXP(-LN(2)/2)*EX174+(1-EXP(-LN(2)/2))/(LN(2)/2)*ER175*EU175*VLOOKUP('Données projet'!$B$15,Paramètres!$A$1:$I$89,3,0)*0.475*44/12</f>
        <v>1.1844556872186961E-20</v>
      </c>
      <c r="EY175" s="24">
        <f t="shared" si="181"/>
        <v>5.5669016477294428E-2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472.83070477639035</v>
      </c>
      <c r="T176" s="62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0.17322084889219933</v>
      </c>
      <c r="AB176" s="23">
        <f>EXP(-LN(2)/2)*AB175+(1-EXP(-LN(2)/2))/(LN(2)/2)*V176*Y176*VLOOKUP('Données projet'!$B$9,Paramètres!$A$1:$I$89,3,0)*0.475*44/12</f>
        <v>4.4650506458462793E-21</v>
      </c>
      <c r="AC176" s="24">
        <f t="shared" si="163"/>
        <v>0.17322084889219933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520.80494930257237</v>
      </c>
      <c r="AO176" s="62">
        <f t="shared" si="144"/>
        <v>325.72635759450861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0.19412681341367161</v>
      </c>
      <c r="AW176" s="23">
        <f>EXP(-LN(2)/2)*AW175+(1-EXP(-LN(2)/2))/(LN(2)/2)*AQ176*AT176*VLOOKUP('Données projet'!$B$10,Paramètres!$A$1:$I$89,3,0)*0.475*44/12</f>
        <v>5.0039360686208216E-21</v>
      </c>
      <c r="AX176" s="23">
        <f t="shared" si="166"/>
        <v>0.19412681341367161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6.3550942286383367E-14</v>
      </c>
      <c r="BF176" s="14">
        <f t="shared" si="167"/>
        <v>1.0064464192543978E-12</v>
      </c>
      <c r="BG176" s="22">
        <f t="shared" si="168"/>
        <v>1.8635787380168604E-12</v>
      </c>
      <c r="BH176" s="62">
        <f t="shared" si="116"/>
        <v>288.89331365275035</v>
      </c>
      <c r="BI176" s="62">
        <f ca="1">AVERAGE(OFFSET($BH$3,0,0,'Données projet'!$E$11+1,1))-AVERAGE(OFFSET($H$3,0,0,'Données projet'!$E$11+1,1))</f>
        <v>321.60602866722138</v>
      </c>
      <c r="BJ176" s="62">
        <f t="shared" si="146"/>
        <v>375.18886653687389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0.75417954701387224</v>
      </c>
      <c r="BQ176" s="23">
        <f>EXP(-LN(2)/25)*BQ175+(1-EXP(-LN(2)/25))/(LN(2)/25)*Calculateur!BL176*Calculateur!BN176*VLOOKUP('Données projet'!$B$11,Paramètres!$A$1:$I$89,3,0)*0.475*44/12</f>
        <v>0.3030192315995679</v>
      </c>
      <c r="BR176" s="23">
        <f>EXP(-LN(2)/2)*BR175+(1-EXP(-LN(2)/2))/(LN(2)/2)*BL176*BO176*VLOOKUP('Données projet'!$B$11,Paramètres!$A$1:$I$89,3,0)*0.475*44/12</f>
        <v>2.1927081432887938E-21</v>
      </c>
      <c r="BS176" s="24">
        <f t="shared" si="169"/>
        <v>1.05719877861344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2.8421709430404007E-14</v>
      </c>
      <c r="BZ176" s="14">
        <f>BY176*VLOOKUP('Données projet'!$B$12,Paramètres!$A$1:$I$89,3,0)*VLOOKUP('Données projet'!$B$12,Paramètres!$A$1:$I$89,5,0)</f>
        <v>1.5518253349000589E-14</v>
      </c>
      <c r="CA176" s="14">
        <f t="shared" si="170"/>
        <v>2.8958815659671149E-13</v>
      </c>
      <c r="CB176" s="22">
        <f t="shared" si="171"/>
        <v>5.3139366398878183E-13</v>
      </c>
      <c r="CC176" s="62">
        <f t="shared" si="119"/>
        <v>288.89331365274899</v>
      </c>
      <c r="CD176" s="62">
        <f ca="1">AVERAGE(OFFSET($CC$3,0,0,'Données projet'!$E$12+1,1))-AVERAGE(OFFSET($H$3,0,0,'Données projet'!$E$12+1,1))</f>
        <v>182.44246264133781</v>
      </c>
      <c r="CE176" s="62">
        <f t="shared" si="148"/>
        <v>262.5818213397049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0.25378112415874293</v>
      </c>
      <c r="CL176" s="23">
        <f>EXP(-LN(2)/25)*CL175+(1-EXP(-LN(2)/25))/(LN(2)/25)*Calculateur!CG176*Calculateur!CI176*VLOOKUP('Données projet'!$B$12,Paramètres!$A$1:$I$89,3,0)*0.475*44/12</f>
        <v>0.34337623898120262</v>
      </c>
      <c r="CM176" s="23">
        <f>EXP(-LN(2)/2)*CM175+(1-EXP(-LN(2)/2))/(LN(2)/2)*CG176*CJ176*VLOOKUP('Données projet'!$B$12,Paramètres!$A$1:$I$89,3,0)*0.475*44/12</f>
        <v>9.0396900469081698E-25</v>
      </c>
      <c r="CN176" s="24">
        <f t="shared" si="172"/>
        <v>0.59715736313994561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-5.3205440053716299E-14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426.87921482911719</v>
      </c>
      <c r="CZ176" s="62">
        <f t="shared" si="150"/>
        <v>313.49594674441835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500.25828825677058</v>
      </c>
      <c r="DU176" s="62">
        <f t="shared" si="152"/>
        <v>313.56299786481338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4.8653596322339336E-2</v>
      </c>
      <c r="EC176" s="23">
        <f>EXP(-LN(2)/2)*EC175+(1-EXP(-LN(2)/2))/(LN(2)/2)*DW176*DZ176*VLOOKUP('Données projet'!$B$14,Paramètres!$A$1:$I$89,3,0)*0.475*44/12</f>
        <v>7.5256916237294785E-21</v>
      </c>
      <c r="ED176" s="24">
        <f t="shared" si="178"/>
        <v>4.8653596322339336E-2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548.17046467409421</v>
      </c>
      <c r="EP176" s="62">
        <f t="shared" si="154"/>
        <v>341.9250949809848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5.4146744294216467E-2</v>
      </c>
      <c r="EX176" s="23">
        <f>EXP(-LN(2)/2)*EX175+(1-EXP(-LN(2)/2))/(LN(2)/2)*ER176*EU176*VLOOKUP('Données projet'!$B$15,Paramètres!$A$1:$I$89,3,0)*0.475*44/12</f>
        <v>8.375366484473123E-21</v>
      </c>
      <c r="EY176" s="24">
        <f t="shared" si="181"/>
        <v>5.4146744294216467E-2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472.83070477639035</v>
      </c>
      <c r="T177" s="62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0.16848411566995358</v>
      </c>
      <c r="AB177" s="23">
        <f>EXP(-LN(2)/2)*AB176+(1-EXP(-LN(2)/2))/(LN(2)/2)*V177*Y177*VLOOKUP('Données projet'!$B$9,Paramètres!$A$1:$I$89,3,0)*0.475*44/12</f>
        <v>3.1572675900192777E-21</v>
      </c>
      <c r="AC177" s="24">
        <f t="shared" si="163"/>
        <v>0.16848411566995358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520.80494930257237</v>
      </c>
      <c r="AO177" s="62">
        <f t="shared" si="144"/>
        <v>325.72635759450861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0.18881840549218931</v>
      </c>
      <c r="AW177" s="23">
        <f>EXP(-LN(2)/2)*AW176+(1-EXP(-LN(2)/2))/(LN(2)/2)*AQ177*AT177*VLOOKUP('Données projet'!$B$10,Paramètres!$A$1:$I$89,3,0)*0.475*44/12</f>
        <v>3.5383171267457361E-21</v>
      </c>
      <c r="AX177" s="23">
        <f t="shared" si="166"/>
        <v>0.18881840549218931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6.3550942286383367E-14</v>
      </c>
      <c r="BF177" s="14">
        <f t="shared" si="167"/>
        <v>1.0064464192543978E-12</v>
      </c>
      <c r="BG177" s="22">
        <f t="shared" si="168"/>
        <v>1.8635787380168604E-12</v>
      </c>
      <c r="BH177" s="62">
        <f t="shared" si="116"/>
        <v>288.97033806781161</v>
      </c>
      <c r="BI177" s="62">
        <f ca="1">AVERAGE(OFFSET($BH$3,0,0,'Données projet'!$E$11+1,1))-AVERAGE(OFFSET($H$3,0,0,'Données projet'!$E$11+1,1))</f>
        <v>321.60602866722138</v>
      </c>
      <c r="BJ177" s="62">
        <f t="shared" si="146"/>
        <v>375.18886653687389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0.73939054610103228</v>
      </c>
      <c r="BQ177" s="23">
        <f>EXP(-LN(2)/25)*BQ176+(1-EXP(-LN(2)/25))/(LN(2)/25)*Calculateur!BL177*Calculateur!BN177*VLOOKUP('Données projet'!$B$11,Paramètres!$A$1:$I$89,3,0)*0.475*44/12</f>
        <v>0.29473315477638889</v>
      </c>
      <c r="BR177" s="23">
        <f>EXP(-LN(2)/2)*BR176+(1-EXP(-LN(2)/2))/(LN(2)/2)*BL177*BO177*VLOOKUP('Données projet'!$B$11,Paramètres!$A$1:$I$89,3,0)*0.475*44/12</f>
        <v>1.55047879728247E-21</v>
      </c>
      <c r="BS177" s="24">
        <f t="shared" si="169"/>
        <v>1.0341237008774211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2.8421709430404007E-14</v>
      </c>
      <c r="BZ177" s="14">
        <f>BY177*VLOOKUP('Données projet'!$B$12,Paramètres!$A$1:$I$89,3,0)*VLOOKUP('Données projet'!$B$12,Paramètres!$A$1:$I$89,5,0)</f>
        <v>1.5518253349000589E-14</v>
      </c>
      <c r="CA177" s="14">
        <f t="shared" si="170"/>
        <v>2.8958815659671149E-13</v>
      </c>
      <c r="CB177" s="22">
        <f t="shared" si="171"/>
        <v>5.3139366398878183E-13</v>
      </c>
      <c r="CC177" s="62">
        <f t="shared" si="119"/>
        <v>288.97033806781025</v>
      </c>
      <c r="CD177" s="62">
        <f ca="1">AVERAGE(OFFSET($CC$3,0,0,'Données projet'!$E$12+1,1))-AVERAGE(OFFSET($H$3,0,0,'Données projet'!$E$12+1,1))</f>
        <v>182.44246264133781</v>
      </c>
      <c r="CE177" s="62">
        <f t="shared" si="148"/>
        <v>262.5818213397049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0.24880463110519135</v>
      </c>
      <c r="CL177" s="23">
        <f>EXP(-LN(2)/25)*CL176+(1-EXP(-LN(2)/25))/(LN(2)/25)*Calculateur!CG177*Calculateur!CI177*VLOOKUP('Données projet'!$B$12,Paramètres!$A$1:$I$89,3,0)*0.475*44/12</f>
        <v>0.33398659766889</v>
      </c>
      <c r="CM177" s="23">
        <f>EXP(-LN(2)/2)*CM176+(1-EXP(-LN(2)/2))/(LN(2)/2)*CG177*CJ177*VLOOKUP('Données projet'!$B$12,Paramètres!$A$1:$I$89,3,0)*0.475*44/12</f>
        <v>6.3920261319933067E-25</v>
      </c>
      <c r="CN177" s="24">
        <f t="shared" si="172"/>
        <v>0.58279122877408129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-5.3205440053716299E-14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426.87921482911719</v>
      </c>
      <c r="CZ177" s="62">
        <f t="shared" si="150"/>
        <v>313.49594674441835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500.25828825677058</v>
      </c>
      <c r="DU177" s="62">
        <f t="shared" si="152"/>
        <v>313.56299786481338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4.7323161172323533E-2</v>
      </c>
      <c r="EC177" s="23">
        <f>EXP(-LN(2)/2)*EC176+(1-EXP(-LN(2)/2))/(LN(2)/2)*DW177*DZ177*VLOOKUP('Données projet'!$B$14,Paramètres!$A$1:$I$89,3,0)*0.475*44/12</f>
        <v>5.321467580257914E-21</v>
      </c>
      <c r="ED177" s="24">
        <f t="shared" si="178"/>
        <v>4.7323161172323533E-2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548.17046467409421</v>
      </c>
      <c r="EP177" s="62">
        <f t="shared" si="154"/>
        <v>341.9250949809848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5.2666098724037588E-2</v>
      </c>
      <c r="EX177" s="23">
        <f>EXP(-LN(2)/2)*EX176+(1-EXP(-LN(2)/2))/(LN(2)/2)*ER177*EU177*VLOOKUP('Données projet'!$B$15,Paramètres!$A$1:$I$89,3,0)*0.475*44/12</f>
        <v>5.9222784360934805E-21</v>
      </c>
      <c r="EY177" s="24">
        <f t="shared" si="181"/>
        <v>5.2666098724037588E-2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472.83070477639035</v>
      </c>
      <c r="T178" s="62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0.16387690866676413</v>
      </c>
      <c r="AB178" s="23">
        <f>EXP(-LN(2)/2)*AB177+(1-EXP(-LN(2)/2))/(LN(2)/2)*V178*Y178*VLOOKUP('Données projet'!$B$9,Paramètres!$A$1:$I$89,3,0)*0.475*44/12</f>
        <v>2.2325253229231396E-21</v>
      </c>
      <c r="AC178" s="24">
        <f t="shared" si="163"/>
        <v>0.16387690866676413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520.80494930257237</v>
      </c>
      <c r="AO178" s="62">
        <f t="shared" si="144"/>
        <v>325.72635759450861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0.18365515626447701</v>
      </c>
      <c r="AW178" s="23">
        <f>EXP(-LN(2)/2)*AW177+(1-EXP(-LN(2)/2))/(LN(2)/2)*AQ178*AT178*VLOOKUP('Données projet'!$B$10,Paramètres!$A$1:$I$89,3,0)*0.475*44/12</f>
        <v>2.5019680343104108E-21</v>
      </c>
      <c r="AX178" s="23">
        <f t="shared" si="166"/>
        <v>0.18365515626447701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6.3550942286383367E-14</v>
      </c>
      <c r="BF178" s="14">
        <f t="shared" si="167"/>
        <v>1.0064464192543978E-12</v>
      </c>
      <c r="BG178" s="22">
        <f t="shared" si="168"/>
        <v>1.8635787380168604E-12</v>
      </c>
      <c r="BH178" s="62">
        <f t="shared" si="116"/>
        <v>289.04602628147228</v>
      </c>
      <c r="BI178" s="62">
        <f ca="1">AVERAGE(OFFSET($BH$3,0,0,'Données projet'!$E$11+1,1))-AVERAGE(OFFSET($H$3,0,0,'Données projet'!$E$11+1,1))</f>
        <v>321.60602866722138</v>
      </c>
      <c r="BJ178" s="62">
        <f t="shared" si="146"/>
        <v>375.18886653687389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0.72489154847569326</v>
      </c>
      <c r="BQ178" s="23">
        <f>EXP(-LN(2)/25)*BQ177+(1-EXP(-LN(2)/25))/(LN(2)/25)*Calculateur!BL178*Calculateur!BN178*VLOOKUP('Données projet'!$B$11,Paramètres!$A$1:$I$89,3,0)*0.475*44/12</f>
        <v>0.28667366115968557</v>
      </c>
      <c r="BR178" s="23">
        <f>EXP(-LN(2)/2)*BR177+(1-EXP(-LN(2)/2))/(LN(2)/2)*BL178*BO178*VLOOKUP('Données projet'!$B$11,Paramètres!$A$1:$I$89,3,0)*0.475*44/12</f>
        <v>1.0963540716443969E-21</v>
      </c>
      <c r="BS178" s="24">
        <f t="shared" si="169"/>
        <v>1.0115652096353789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2.8421709430404007E-14</v>
      </c>
      <c r="BZ178" s="14">
        <f>BY178*VLOOKUP('Données projet'!$B$12,Paramètres!$A$1:$I$89,3,0)*VLOOKUP('Données projet'!$B$12,Paramètres!$A$1:$I$89,5,0)</f>
        <v>1.5518253349000589E-14</v>
      </c>
      <c r="CA178" s="14">
        <f t="shared" si="170"/>
        <v>2.8958815659671149E-13</v>
      </c>
      <c r="CB178" s="22">
        <f t="shared" si="171"/>
        <v>5.3139366398878183E-13</v>
      </c>
      <c r="CC178" s="62">
        <f t="shared" si="119"/>
        <v>289.04602628147092</v>
      </c>
      <c r="CD178" s="62">
        <f ca="1">AVERAGE(OFFSET($CC$3,0,0,'Données projet'!$E$12+1,1))-AVERAGE(OFFSET($H$3,0,0,'Données projet'!$E$12+1,1))</f>
        <v>182.44246264133781</v>
      </c>
      <c r="CE178" s="62">
        <f t="shared" si="148"/>
        <v>262.5818213397049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0.24392572404505888</v>
      </c>
      <c r="CL178" s="23">
        <f>EXP(-LN(2)/25)*CL177+(1-EXP(-LN(2)/25))/(LN(2)/25)*Calculateur!CG178*Calculateur!CI178*VLOOKUP('Données projet'!$B$12,Paramètres!$A$1:$I$89,3,0)*0.475*44/12</f>
        <v>0.32485371659204237</v>
      </c>
      <c r="CM178" s="23">
        <f>EXP(-LN(2)/2)*CM177+(1-EXP(-LN(2)/2))/(LN(2)/2)*CG178*CJ178*VLOOKUP('Données projet'!$B$12,Paramètres!$A$1:$I$89,3,0)*0.475*44/12</f>
        <v>4.5198450234540849E-25</v>
      </c>
      <c r="CN178" s="24">
        <f t="shared" si="172"/>
        <v>0.56877944063710129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-5.3205440053716299E-14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426.87921482911719</v>
      </c>
      <c r="CZ178" s="62">
        <f t="shared" si="150"/>
        <v>313.49594674441835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500.25828825677058</v>
      </c>
      <c r="DU178" s="62">
        <f t="shared" si="152"/>
        <v>313.56299786481338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4.6029106841449459E-2</v>
      </c>
      <c r="EC178" s="23">
        <f>EXP(-LN(2)/2)*EC177+(1-EXP(-LN(2)/2))/(LN(2)/2)*DW178*DZ178*VLOOKUP('Données projet'!$B$14,Paramètres!$A$1:$I$89,3,0)*0.475*44/12</f>
        <v>3.7628458118647393E-21</v>
      </c>
      <c r="ED178" s="24">
        <f t="shared" si="178"/>
        <v>4.6029106841449459E-2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548.17046467409421</v>
      </c>
      <c r="EP178" s="62">
        <f t="shared" si="154"/>
        <v>341.9250949809848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5.122594148483902E-2</v>
      </c>
      <c r="EX178" s="23">
        <f>EXP(-LN(2)/2)*EX177+(1-EXP(-LN(2)/2))/(LN(2)/2)*ER178*EU178*VLOOKUP('Données projet'!$B$15,Paramètres!$A$1:$I$89,3,0)*0.475*44/12</f>
        <v>4.1876832422365615E-21</v>
      </c>
      <c r="EY178" s="24">
        <f t="shared" si="181"/>
        <v>5.122594148483902E-2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472.83070477639035</v>
      </c>
      <c r="T179" s="62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0.15939568598135939</v>
      </c>
      <c r="AB179" s="23">
        <f>EXP(-LN(2)/2)*AB178+(1-EXP(-LN(2)/2))/(LN(2)/2)*V179*Y179*VLOOKUP('Données projet'!$B$9,Paramètres!$A$1:$I$89,3,0)*0.475*44/12</f>
        <v>1.5786337950096389E-21</v>
      </c>
      <c r="AC179" s="24">
        <f t="shared" si="163"/>
        <v>0.15939568598135939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520.80494930257237</v>
      </c>
      <c r="AO179" s="62">
        <f t="shared" si="144"/>
        <v>325.72635759450861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0.17863309635841998</v>
      </c>
      <c r="AW179" s="23">
        <f>EXP(-LN(2)/2)*AW178+(1-EXP(-LN(2)/2))/(LN(2)/2)*AQ179*AT179*VLOOKUP('Données projet'!$B$10,Paramètres!$A$1:$I$89,3,0)*0.475*44/12</f>
        <v>1.7691585633728681E-21</v>
      </c>
      <c r="AX179" s="23">
        <f t="shared" si="166"/>
        <v>0.17863309635841998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6.3550942286383367E-14</v>
      </c>
      <c r="BF179" s="14">
        <f t="shared" si="167"/>
        <v>1.0064464192543978E-12</v>
      </c>
      <c r="BG179" s="22">
        <f t="shared" si="168"/>
        <v>1.8635787380168604E-12</v>
      </c>
      <c r="BH179" s="62">
        <f t="shared" si="116"/>
        <v>289.12040147383948</v>
      </c>
      <c r="BI179" s="62">
        <f ca="1">AVERAGE(OFFSET($BH$3,0,0,'Données projet'!$E$11+1,1))-AVERAGE(OFFSET($H$3,0,0,'Données projet'!$E$11+1,1))</f>
        <v>321.60602866722138</v>
      </c>
      <c r="BJ179" s="62">
        <f t="shared" si="146"/>
        <v>375.18886653687389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0.7106768673502718</v>
      </c>
      <c r="BQ179" s="23">
        <f>EXP(-LN(2)/25)*BQ178+(1-EXP(-LN(2)/25))/(LN(2)/25)*Calculateur!BL179*Calculateur!BN179*VLOOKUP('Données projet'!$B$11,Paramètres!$A$1:$I$89,3,0)*0.475*44/12</f>
        <v>0.27883455481976133</v>
      </c>
      <c r="BR179" s="23">
        <f>EXP(-LN(2)/2)*BR178+(1-EXP(-LN(2)/2))/(LN(2)/2)*BL179*BO179*VLOOKUP('Données projet'!$B$11,Paramètres!$A$1:$I$89,3,0)*0.475*44/12</f>
        <v>7.7523939864123501E-22</v>
      </c>
      <c r="BS179" s="24">
        <f t="shared" si="169"/>
        <v>0.98951142217003318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2.8421709430404007E-14</v>
      </c>
      <c r="BZ179" s="14">
        <f>BY179*VLOOKUP('Données projet'!$B$12,Paramètres!$A$1:$I$89,3,0)*VLOOKUP('Données projet'!$B$12,Paramètres!$A$1:$I$89,5,0)</f>
        <v>1.5518253349000589E-14</v>
      </c>
      <c r="CA179" s="14">
        <f t="shared" si="170"/>
        <v>2.8958815659671149E-13</v>
      </c>
      <c r="CB179" s="22">
        <f t="shared" si="171"/>
        <v>5.3139366398878183E-13</v>
      </c>
      <c r="CC179" s="62">
        <f t="shared" si="119"/>
        <v>289.12040147383811</v>
      </c>
      <c r="CD179" s="62">
        <f ca="1">AVERAGE(OFFSET($CC$3,0,0,'Données projet'!$E$12+1,1))-AVERAGE(OFFSET($H$3,0,0,'Données projet'!$E$12+1,1))</f>
        <v>182.44246264133781</v>
      </c>
      <c r="CE179" s="62">
        <f t="shared" si="148"/>
        <v>262.5818213397049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0.23914248937653615</v>
      </c>
      <c r="CL179" s="23">
        <f>EXP(-LN(2)/25)*CL178+(1-EXP(-LN(2)/25))/(LN(2)/25)*Calculateur!CG179*Calculateur!CI179*VLOOKUP('Données projet'!$B$12,Paramètres!$A$1:$I$89,3,0)*0.475*44/12</f>
        <v>0.31597057462851846</v>
      </c>
      <c r="CM179" s="23">
        <f>EXP(-LN(2)/2)*CM178+(1-EXP(-LN(2)/2))/(LN(2)/2)*CG179*CJ179*VLOOKUP('Données projet'!$B$12,Paramètres!$A$1:$I$89,3,0)*0.475*44/12</f>
        <v>3.1960130659966534E-25</v>
      </c>
      <c r="CN179" s="24">
        <f t="shared" si="172"/>
        <v>0.55511306400505456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-5.3205440053716299E-14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426.87921482911719</v>
      </c>
      <c r="CZ179" s="62">
        <f t="shared" si="150"/>
        <v>313.49594674441835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500.25828825677058</v>
      </c>
      <c r="DU179" s="62">
        <f t="shared" si="152"/>
        <v>313.56299786481338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4.4770438494304496E-2</v>
      </c>
      <c r="EC179" s="23">
        <f>EXP(-LN(2)/2)*EC178+(1-EXP(-LN(2)/2))/(LN(2)/2)*DW179*DZ179*VLOOKUP('Données projet'!$B$14,Paramètres!$A$1:$I$89,3,0)*0.475*44/12</f>
        <v>2.660733790128957E-21</v>
      </c>
      <c r="ED179" s="24">
        <f t="shared" si="178"/>
        <v>4.4770438494304496E-2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548.17046467409421</v>
      </c>
      <c r="EP179" s="62">
        <f t="shared" si="154"/>
        <v>341.9250949809848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4.9825165421080911E-2</v>
      </c>
      <c r="EX179" s="23">
        <f>EXP(-LN(2)/2)*EX178+(1-EXP(-LN(2)/2))/(LN(2)/2)*ER179*EU179*VLOOKUP('Données projet'!$B$15,Paramètres!$A$1:$I$89,3,0)*0.475*44/12</f>
        <v>2.9611392180467402E-21</v>
      </c>
      <c r="EY179" s="24">
        <f t="shared" si="181"/>
        <v>4.9825165421080911E-2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472.83070477639035</v>
      </c>
      <c r="T180" s="62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0.1550370025659443</v>
      </c>
      <c r="AB180" s="23">
        <f>EXP(-LN(2)/2)*AB179+(1-EXP(-LN(2)/2))/(LN(2)/2)*V180*Y180*VLOOKUP('Données projet'!$B$9,Paramètres!$A$1:$I$89,3,0)*0.475*44/12</f>
        <v>1.1162626614615698E-21</v>
      </c>
      <c r="AC180" s="24">
        <f t="shared" si="163"/>
        <v>0.1550370025659443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520.80494930257237</v>
      </c>
      <c r="AO180" s="62">
        <f t="shared" si="144"/>
        <v>325.72635759450861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0.17374836494459273</v>
      </c>
      <c r="AW180" s="23">
        <f>EXP(-LN(2)/2)*AW179+(1-EXP(-LN(2)/2))/(LN(2)/2)*AQ180*AT180*VLOOKUP('Données projet'!$B$10,Paramètres!$A$1:$I$89,3,0)*0.475*44/12</f>
        <v>1.2509840171552054E-21</v>
      </c>
      <c r="AX180" s="23">
        <f t="shared" si="166"/>
        <v>0.17374836494459273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6.3550942286383367E-14</v>
      </c>
      <c r="BF180" s="14">
        <f t="shared" si="167"/>
        <v>1.0064464192543978E-12</v>
      </c>
      <c r="BG180" s="22">
        <f t="shared" si="168"/>
        <v>1.8635787380168604E-12</v>
      </c>
      <c r="BH180" s="62">
        <f t="shared" si="116"/>
        <v>289.19348642289714</v>
      </c>
      <c r="BI180" s="62">
        <f ca="1">AVERAGE(OFFSET($BH$3,0,0,'Données projet'!$E$11+1,1))-AVERAGE(OFFSET($H$3,0,0,'Données projet'!$E$11+1,1))</f>
        <v>321.60602866722138</v>
      </c>
      <c r="BJ180" s="62">
        <f t="shared" si="146"/>
        <v>375.18886653687389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0.69674092745162042</v>
      </c>
      <c r="BQ180" s="23">
        <f>EXP(-LN(2)/25)*BQ179+(1-EXP(-LN(2)/25))/(LN(2)/25)*Calculateur!BL180*Calculateur!BN180*VLOOKUP('Données projet'!$B$11,Paramètres!$A$1:$I$89,3,0)*0.475*44/12</f>
        <v>0.27120980925494298</v>
      </c>
      <c r="BR180" s="23">
        <f>EXP(-LN(2)/2)*BR179+(1-EXP(-LN(2)/2))/(LN(2)/2)*BL180*BO180*VLOOKUP('Données projet'!$B$11,Paramètres!$A$1:$I$89,3,0)*0.475*44/12</f>
        <v>5.4817703582219845E-22</v>
      </c>
      <c r="BS180" s="24">
        <f t="shared" si="169"/>
        <v>0.9679507367065634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2.8421709430404007E-14</v>
      </c>
      <c r="BZ180" s="14">
        <f>BY180*VLOOKUP('Données projet'!$B$12,Paramètres!$A$1:$I$89,3,0)*VLOOKUP('Données projet'!$B$12,Paramètres!$A$1:$I$89,5,0)</f>
        <v>1.5518253349000589E-14</v>
      </c>
      <c r="CA180" s="14">
        <f t="shared" si="170"/>
        <v>2.8958815659671149E-13</v>
      </c>
      <c r="CB180" s="22">
        <f t="shared" si="171"/>
        <v>5.3139366398878183E-13</v>
      </c>
      <c r="CC180" s="62">
        <f t="shared" si="119"/>
        <v>289.19348642289577</v>
      </c>
      <c r="CD180" s="62">
        <f ca="1">AVERAGE(OFFSET($CC$3,0,0,'Données projet'!$E$12+1,1))-AVERAGE(OFFSET($H$3,0,0,'Données projet'!$E$12+1,1))</f>
        <v>182.44246264133781</v>
      </c>
      <c r="CE180" s="62">
        <f t="shared" si="148"/>
        <v>262.5818213397049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0.23445305102237807</v>
      </c>
      <c r="CL180" s="23">
        <f>EXP(-LN(2)/25)*CL179+(1-EXP(-LN(2)/25))/(LN(2)/25)*Calculateur!CG180*Calculateur!CI180*VLOOKUP('Données projet'!$B$12,Paramètres!$A$1:$I$89,3,0)*0.475*44/12</f>
        <v>0.30733034264913128</v>
      </c>
      <c r="CM180" s="23">
        <f>EXP(-LN(2)/2)*CM179+(1-EXP(-LN(2)/2))/(LN(2)/2)*CG180*CJ180*VLOOKUP('Données projet'!$B$12,Paramètres!$A$1:$I$89,3,0)*0.475*44/12</f>
        <v>2.2599225117270424E-25</v>
      </c>
      <c r="CN180" s="24">
        <f t="shared" si="172"/>
        <v>0.54178339367150929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-5.3205440053716299E-14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426.87921482911719</v>
      </c>
      <c r="CZ180" s="62">
        <f t="shared" si="150"/>
        <v>313.49594674441835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500.25828825677058</v>
      </c>
      <c r="DU180" s="62">
        <f t="shared" si="152"/>
        <v>313.56299786481338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4.3546188499302703E-2</v>
      </c>
      <c r="EC180" s="23">
        <f>EXP(-LN(2)/2)*EC179+(1-EXP(-LN(2)/2))/(LN(2)/2)*DW180*DZ180*VLOOKUP('Données projet'!$B$14,Paramètres!$A$1:$I$89,3,0)*0.475*44/12</f>
        <v>1.8814229059323696E-21</v>
      </c>
      <c r="ED180" s="24">
        <f t="shared" si="178"/>
        <v>4.3546188499302703E-2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548.17046467409421</v>
      </c>
      <c r="EP180" s="62">
        <f t="shared" si="154"/>
        <v>341.9250949809848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4.846269365244988E-2</v>
      </c>
      <c r="EX180" s="23">
        <f>EXP(-LN(2)/2)*EX179+(1-EXP(-LN(2)/2))/(LN(2)/2)*ER180*EU180*VLOOKUP('Données projet'!$B$15,Paramètres!$A$1:$I$89,3,0)*0.475*44/12</f>
        <v>2.0938416211182807E-21</v>
      </c>
      <c r="EY180" s="24">
        <f t="shared" si="181"/>
        <v>4.846269365244988E-2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472.83070477639035</v>
      </c>
      <c r="T181" s="62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0.15079750757773694</v>
      </c>
      <c r="AB181" s="23">
        <f>EXP(-LN(2)/2)*AB180+(1-EXP(-LN(2)/2))/(LN(2)/2)*V181*Y181*VLOOKUP('Données projet'!$B$9,Paramètres!$A$1:$I$89,3,0)*0.475*44/12</f>
        <v>7.8931689750481943E-22</v>
      </c>
      <c r="AC181" s="24">
        <f t="shared" si="163"/>
        <v>0.15079750757773694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520.80494930257237</v>
      </c>
      <c r="AO181" s="62">
        <f t="shared" si="144"/>
        <v>325.72635759450861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0.16899720676815344</v>
      </c>
      <c r="AW181" s="23">
        <f>EXP(-LN(2)/2)*AW180+(1-EXP(-LN(2)/2))/(LN(2)/2)*AQ181*AT181*VLOOKUP('Données projet'!$B$10,Paramètres!$A$1:$I$89,3,0)*0.475*44/12</f>
        <v>8.8457928168643403E-22</v>
      </c>
      <c r="AX181" s="23">
        <f t="shared" si="166"/>
        <v>0.16899720676815344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6.3550942286383367E-14</v>
      </c>
      <c r="BF181" s="14">
        <f t="shared" si="167"/>
        <v>1.0064464192543978E-12</v>
      </c>
      <c r="BG181" s="22">
        <f t="shared" si="168"/>
        <v>1.8635787380168604E-12</v>
      </c>
      <c r="BH181" s="62">
        <f t="shared" si="116"/>
        <v>289.26530351148205</v>
      </c>
      <c r="BI181" s="62">
        <f ca="1">AVERAGE(OFFSET($BH$3,0,0,'Données projet'!$E$11+1,1))-AVERAGE(OFFSET($H$3,0,0,'Données projet'!$E$11+1,1))</f>
        <v>321.60602866722138</v>
      </c>
      <c r="BJ181" s="62">
        <f t="shared" si="146"/>
        <v>375.18886653687389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0.68307826283429762</v>
      </c>
      <c r="BQ181" s="23">
        <f>EXP(-LN(2)/25)*BQ180+(1-EXP(-LN(2)/25))/(LN(2)/25)*Calculateur!BL181*Calculateur!BN181*VLOOKUP('Données projet'!$B$11,Paramètres!$A$1:$I$89,3,0)*0.475*44/12</f>
        <v>0.26379356275856253</v>
      </c>
      <c r="BR181" s="23">
        <f>EXP(-LN(2)/2)*BR180+(1-EXP(-LN(2)/2))/(LN(2)/2)*BL181*BO181*VLOOKUP('Données projet'!$B$11,Paramètres!$A$1:$I$89,3,0)*0.475*44/12</f>
        <v>3.8761969932061751E-22</v>
      </c>
      <c r="BS181" s="24">
        <f t="shared" si="169"/>
        <v>0.94687182559286009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2.8421709430404007E-14</v>
      </c>
      <c r="BZ181" s="14">
        <f>BY181*VLOOKUP('Données projet'!$B$12,Paramètres!$A$1:$I$89,3,0)*VLOOKUP('Données projet'!$B$12,Paramètres!$A$1:$I$89,5,0)</f>
        <v>1.5518253349000589E-14</v>
      </c>
      <c r="CA181" s="14">
        <f t="shared" si="170"/>
        <v>2.8958815659671149E-13</v>
      </c>
      <c r="CB181" s="22">
        <f t="shared" si="171"/>
        <v>5.3139366398878183E-13</v>
      </c>
      <c r="CC181" s="62">
        <f t="shared" si="119"/>
        <v>289.26530351148068</v>
      </c>
      <c r="CD181" s="62">
        <f ca="1">AVERAGE(OFFSET($CC$3,0,0,'Données projet'!$E$12+1,1))-AVERAGE(OFFSET($H$3,0,0,'Données projet'!$E$12+1,1))</f>
        <v>182.44246264133781</v>
      </c>
      <c r="CE181" s="62">
        <f t="shared" si="148"/>
        <v>262.5818213397049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0.22985556969407006</v>
      </c>
      <c r="CL181" s="23">
        <f>EXP(-LN(2)/25)*CL180+(1-EXP(-LN(2)/25))/(LN(2)/25)*Calculateur!CG181*Calculateur!CI181*VLOOKUP('Données projet'!$B$12,Paramètres!$A$1:$I$89,3,0)*0.475*44/12</f>
        <v>0.2989263782675905</v>
      </c>
      <c r="CM181" s="23">
        <f>EXP(-LN(2)/2)*CM180+(1-EXP(-LN(2)/2))/(LN(2)/2)*CG181*CJ181*VLOOKUP('Données projet'!$B$12,Paramètres!$A$1:$I$89,3,0)*0.475*44/12</f>
        <v>1.5980065329983267E-25</v>
      </c>
      <c r="CN181" s="24">
        <f t="shared" si="172"/>
        <v>0.52878194796166056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-5.3205440053716299E-14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426.87921482911719</v>
      </c>
      <c r="CZ181" s="62">
        <f t="shared" si="150"/>
        <v>313.49594674441835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500.25828825677058</v>
      </c>
      <c r="DU181" s="62">
        <f t="shared" si="152"/>
        <v>313.56299786481338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4.2355415684794742E-2</v>
      </c>
      <c r="EC181" s="23">
        <f>EXP(-LN(2)/2)*EC180+(1-EXP(-LN(2)/2))/(LN(2)/2)*DW181*DZ181*VLOOKUP('Données projet'!$B$14,Paramètres!$A$1:$I$89,3,0)*0.475*44/12</f>
        <v>1.3303668950644785E-21</v>
      </c>
      <c r="ED181" s="24">
        <f t="shared" si="178"/>
        <v>4.2355415684794742E-2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548.17046467409421</v>
      </c>
      <c r="EP181" s="62">
        <f t="shared" si="154"/>
        <v>341.9250949809848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4.7137478745981343E-2</v>
      </c>
      <c r="EX181" s="23">
        <f>EXP(-LN(2)/2)*EX180+(1-EXP(-LN(2)/2))/(LN(2)/2)*ER181*EU181*VLOOKUP('Données projet'!$B$15,Paramètres!$A$1:$I$89,3,0)*0.475*44/12</f>
        <v>1.4805696090233701E-21</v>
      </c>
      <c r="EY181" s="24">
        <f t="shared" si="181"/>
        <v>4.7137478745981343E-2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472.83070477639035</v>
      </c>
      <c r="T182" s="62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0.14667394180292745</v>
      </c>
      <c r="AB182" s="23">
        <f>EXP(-LN(2)/2)*AB181+(1-EXP(-LN(2)/2))/(LN(2)/2)*V182*Y182*VLOOKUP('Données projet'!$B$9,Paramètres!$A$1:$I$89,3,0)*0.475*44/12</f>
        <v>5.5813133073078491E-22</v>
      </c>
      <c r="AC182" s="24">
        <f t="shared" si="163"/>
        <v>0.14667394180292745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520.80494930257237</v>
      </c>
      <c r="AO182" s="62">
        <f t="shared" si="144"/>
        <v>325.72635759450861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0.16437596926190143</v>
      </c>
      <c r="AW182" s="23">
        <f>EXP(-LN(2)/2)*AW181+(1-EXP(-LN(2)/2))/(LN(2)/2)*AQ182*AT182*VLOOKUP('Données projet'!$B$10,Paramètres!$A$1:$I$89,3,0)*0.475*44/12</f>
        <v>6.254920085776027E-22</v>
      </c>
      <c r="AX182" s="23">
        <f t="shared" si="166"/>
        <v>0.16437596926190143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6.3550942286383367E-14</v>
      </c>
      <c r="BF182" s="14">
        <f t="shared" si="167"/>
        <v>1.0064464192543978E-12</v>
      </c>
      <c r="BG182" s="22">
        <f t="shared" si="168"/>
        <v>1.8635787380168604E-12</v>
      </c>
      <c r="BH182" s="62">
        <f t="shared" si="116"/>
        <v>289.335874734139</v>
      </c>
      <c r="BI182" s="62">
        <f ca="1">AVERAGE(OFFSET($BH$3,0,0,'Données projet'!$E$11+1,1))-AVERAGE(OFFSET($H$3,0,0,'Données projet'!$E$11+1,1))</f>
        <v>321.60602866722138</v>
      </c>
      <c r="BJ182" s="62">
        <f t="shared" si="146"/>
        <v>375.18886653687389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0.66968351473671794</v>
      </c>
      <c r="BQ182" s="23">
        <f>EXP(-LN(2)/25)*BQ181+(1-EXP(-LN(2)/25))/(LN(2)/25)*Calculateur!BL182*Calculateur!BN182*VLOOKUP('Données projet'!$B$11,Paramètres!$A$1:$I$89,3,0)*0.475*44/12</f>
        <v>0.25658011391262908</v>
      </c>
      <c r="BR182" s="23">
        <f>EXP(-LN(2)/2)*BR181+(1-EXP(-LN(2)/2))/(LN(2)/2)*BL182*BO182*VLOOKUP('Données projet'!$B$11,Paramètres!$A$1:$I$89,3,0)*0.475*44/12</f>
        <v>2.7408851791109922E-22</v>
      </c>
      <c r="BS182" s="24">
        <f t="shared" si="169"/>
        <v>0.92626362864934708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2.8421709430404007E-14</v>
      </c>
      <c r="BZ182" s="14">
        <f>BY182*VLOOKUP('Données projet'!$B$12,Paramètres!$A$1:$I$89,3,0)*VLOOKUP('Données projet'!$B$12,Paramètres!$A$1:$I$89,5,0)</f>
        <v>1.5518253349000589E-14</v>
      </c>
      <c r="CA182" s="14">
        <f t="shared" si="170"/>
        <v>2.8958815659671149E-13</v>
      </c>
      <c r="CB182" s="22">
        <f t="shared" si="171"/>
        <v>5.3139366398878183E-13</v>
      </c>
      <c r="CC182" s="62">
        <f t="shared" si="119"/>
        <v>289.33587473413763</v>
      </c>
      <c r="CD182" s="62">
        <f ca="1">AVERAGE(OFFSET($CC$3,0,0,'Données projet'!$E$12+1,1))-AVERAGE(OFFSET($H$3,0,0,'Données projet'!$E$12+1,1))</f>
        <v>182.44246264133781</v>
      </c>
      <c r="CE182" s="62">
        <f t="shared" si="148"/>
        <v>262.5818213397049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0.22534824217042346</v>
      </c>
      <c r="CL182" s="23">
        <f>EXP(-LN(2)/25)*CL181+(1-EXP(-LN(2)/25))/(LN(2)/25)*Calculateur!CG182*Calculateur!CI182*VLOOKUP('Données projet'!$B$12,Paramètres!$A$1:$I$89,3,0)*0.475*44/12</f>
        <v>0.29075222073400819</v>
      </c>
      <c r="CM182" s="23">
        <f>EXP(-LN(2)/2)*CM181+(1-EXP(-LN(2)/2))/(LN(2)/2)*CG182*CJ182*VLOOKUP('Données projet'!$B$12,Paramètres!$A$1:$I$89,3,0)*0.475*44/12</f>
        <v>1.1299612558635212E-25</v>
      </c>
      <c r="CN182" s="24">
        <f t="shared" si="172"/>
        <v>0.51610046290443168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-5.3205440053716299E-14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426.87921482911719</v>
      </c>
      <c r="CZ182" s="62">
        <f t="shared" si="150"/>
        <v>313.49594674441835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500.25828825677058</v>
      </c>
      <c r="DU182" s="62">
        <f t="shared" si="152"/>
        <v>313.56299786481338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4.1197204615519525E-2</v>
      </c>
      <c r="EC182" s="23">
        <f>EXP(-LN(2)/2)*EC181+(1-EXP(-LN(2)/2))/(LN(2)/2)*DW182*DZ182*VLOOKUP('Données projet'!$B$14,Paramètres!$A$1:$I$89,3,0)*0.475*44/12</f>
        <v>9.4071145296618482E-22</v>
      </c>
      <c r="ED182" s="24">
        <f t="shared" si="178"/>
        <v>4.1197204615519525E-2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548.17046467409421</v>
      </c>
      <c r="EP182" s="62">
        <f t="shared" si="154"/>
        <v>341.9250949809848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4.5848501910820211E-2</v>
      </c>
      <c r="EX182" s="23">
        <f>EXP(-LN(2)/2)*EX181+(1-EXP(-LN(2)/2))/(LN(2)/2)*ER182*EU182*VLOOKUP('Données projet'!$B$15,Paramètres!$A$1:$I$89,3,0)*0.475*44/12</f>
        <v>1.0469208105591404E-21</v>
      </c>
      <c r="EY182" s="24">
        <f t="shared" si="181"/>
        <v>4.5848501910820211E-2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472.83070477639035</v>
      </c>
      <c r="T183" s="62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0.14266313515107903</v>
      </c>
      <c r="AB183" s="23">
        <f>EXP(-LN(2)/2)*AB182+(1-EXP(-LN(2)/2))/(LN(2)/2)*V183*Y183*VLOOKUP('Données projet'!$B$9,Paramètres!$A$1:$I$89,3,0)*0.475*44/12</f>
        <v>3.9465844875240972E-22</v>
      </c>
      <c r="AC183" s="24">
        <f t="shared" si="163"/>
        <v>0.14266313515107903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520.80494930257237</v>
      </c>
      <c r="AO183" s="62">
        <f t="shared" si="144"/>
        <v>325.72635759450861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0.15988109973827819</v>
      </c>
      <c r="AW183" s="23">
        <f>EXP(-LN(2)/2)*AW182+(1-EXP(-LN(2)/2))/(LN(2)/2)*AQ183*AT183*VLOOKUP('Données projet'!$B$10,Paramètres!$A$1:$I$89,3,0)*0.475*44/12</f>
        <v>4.4228964084321702E-22</v>
      </c>
      <c r="AX183" s="23">
        <f t="shared" si="166"/>
        <v>0.15988109973827819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6.3550942286383367E-14</v>
      </c>
      <c r="BF183" s="14">
        <f t="shared" si="167"/>
        <v>1.0064464192543978E-12</v>
      </c>
      <c r="BG183" s="22">
        <f t="shared" si="168"/>
        <v>1.8635787380168604E-12</v>
      </c>
      <c r="BH183" s="62">
        <f t="shared" si="116"/>
        <v>289.40522170385651</v>
      </c>
      <c r="BI183" s="62">
        <f ca="1">AVERAGE(OFFSET($BH$3,0,0,'Données projet'!$E$11+1,1))-AVERAGE(OFFSET($H$3,0,0,'Données projet'!$E$11+1,1))</f>
        <v>321.60602866722138</v>
      </c>
      <c r="BJ183" s="62">
        <f t="shared" si="146"/>
        <v>375.18886653687389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0.6565514294793422</v>
      </c>
      <c r="BQ183" s="23">
        <f>EXP(-LN(2)/25)*BQ182+(1-EXP(-LN(2)/25))/(LN(2)/25)*Calculateur!BL183*Calculateur!BN183*VLOOKUP('Données projet'!$B$11,Paramètres!$A$1:$I$89,3,0)*0.475*44/12</f>
        <v>0.24956391720472648</v>
      </c>
      <c r="BR183" s="23">
        <f>EXP(-LN(2)/2)*BR182+(1-EXP(-LN(2)/2))/(LN(2)/2)*BL183*BO183*VLOOKUP('Données projet'!$B$11,Paramètres!$A$1:$I$89,3,0)*0.475*44/12</f>
        <v>1.9380984966030875E-22</v>
      </c>
      <c r="BS183" s="24">
        <f t="shared" si="169"/>
        <v>0.90611534668406868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2.8421709430404007E-14</v>
      </c>
      <c r="BZ183" s="14">
        <f>BY183*VLOOKUP('Données projet'!$B$12,Paramètres!$A$1:$I$89,3,0)*VLOOKUP('Données projet'!$B$12,Paramètres!$A$1:$I$89,5,0)</f>
        <v>1.5518253349000589E-14</v>
      </c>
      <c r="CA183" s="14">
        <f t="shared" si="170"/>
        <v>2.8958815659671149E-13</v>
      </c>
      <c r="CB183" s="22">
        <f t="shared" si="171"/>
        <v>5.3139366398878183E-13</v>
      </c>
      <c r="CC183" s="62">
        <f t="shared" si="119"/>
        <v>289.40522170385515</v>
      </c>
      <c r="CD183" s="62">
        <f ca="1">AVERAGE(OFFSET($CC$3,0,0,'Données projet'!$E$12+1,1))-AVERAGE(OFFSET($H$3,0,0,'Données projet'!$E$12+1,1))</f>
        <v>182.44246264133781</v>
      </c>
      <c r="CE183" s="62">
        <f t="shared" si="148"/>
        <v>262.5818213397049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0.22092930059031723</v>
      </c>
      <c r="CL183" s="23">
        <f>EXP(-LN(2)/25)*CL182+(1-EXP(-LN(2)/25))/(LN(2)/25)*Calculateur!CG183*Calculateur!CI183*VLOOKUP('Données projet'!$B$12,Paramètres!$A$1:$I$89,3,0)*0.475*44/12</f>
        <v>0.28280158596804195</v>
      </c>
      <c r="CM183" s="23">
        <f>EXP(-LN(2)/2)*CM182+(1-EXP(-LN(2)/2))/(LN(2)/2)*CG183*CJ183*VLOOKUP('Données projet'!$B$12,Paramètres!$A$1:$I$89,3,0)*0.475*44/12</f>
        <v>7.9900326649916334E-26</v>
      </c>
      <c r="CN183" s="24">
        <f t="shared" si="172"/>
        <v>0.50373088655835918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-5.3205440053716299E-14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426.87921482911719</v>
      </c>
      <c r="CZ183" s="62">
        <f t="shared" si="150"/>
        <v>313.49594674441835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500.25828825677058</v>
      </c>
      <c r="DU183" s="62">
        <f t="shared" si="152"/>
        <v>313.56299786481338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4.0070664888841312E-2</v>
      </c>
      <c r="EC183" s="23">
        <f>EXP(-LN(2)/2)*EC182+(1-EXP(-LN(2)/2))/(LN(2)/2)*DW183*DZ183*VLOOKUP('Données projet'!$B$14,Paramètres!$A$1:$I$89,3,0)*0.475*44/12</f>
        <v>6.6518344753223925E-22</v>
      </c>
      <c r="ED183" s="24">
        <f t="shared" si="178"/>
        <v>4.0070664888841312E-2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548.17046467409421</v>
      </c>
      <c r="EP183" s="62">
        <f t="shared" si="154"/>
        <v>341.9250949809848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4.4594772215000904E-2</v>
      </c>
      <c r="EX183" s="23">
        <f>EXP(-LN(2)/2)*EX182+(1-EXP(-LN(2)/2))/(LN(2)/2)*ER183*EU183*VLOOKUP('Données projet'!$B$15,Paramètres!$A$1:$I$89,3,0)*0.475*44/12</f>
        <v>7.4028480451168506E-22</v>
      </c>
      <c r="EY183" s="24">
        <f t="shared" si="181"/>
        <v>4.4594772215000904E-2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472.83070477639035</v>
      </c>
      <c r="T184" s="62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0.13876200421804455</v>
      </c>
      <c r="AB184" s="23">
        <f>EXP(-LN(2)/2)*AB183+(1-EXP(-LN(2)/2))/(LN(2)/2)*V184*Y184*VLOOKUP('Données projet'!$B$9,Paramètres!$A$1:$I$89,3,0)*0.475*44/12</f>
        <v>2.7906566536539245E-22</v>
      </c>
      <c r="AC184" s="24">
        <f t="shared" si="163"/>
        <v>0.13876200421804455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520.80494930257237</v>
      </c>
      <c r="AO184" s="62">
        <f t="shared" si="144"/>
        <v>325.72635759450861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0.15550914265815335</v>
      </c>
      <c r="AW184" s="23">
        <f>EXP(-LN(2)/2)*AW183+(1-EXP(-LN(2)/2))/(LN(2)/2)*AQ184*AT184*VLOOKUP('Données projet'!$B$10,Paramètres!$A$1:$I$89,3,0)*0.475*44/12</f>
        <v>3.1274600428880135E-22</v>
      </c>
      <c r="AX184" s="23">
        <f t="shared" si="166"/>
        <v>0.15550914265815335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6.3550942286383367E-14</v>
      </c>
      <c r="BF184" s="14">
        <f t="shared" si="167"/>
        <v>1.0064464192543978E-12</v>
      </c>
      <c r="BG184" s="22">
        <f t="shared" si="168"/>
        <v>1.8635787380168604E-12</v>
      </c>
      <c r="BH184" s="62">
        <f t="shared" si="116"/>
        <v>289.47336565868596</v>
      </c>
      <c r="BI184" s="62">
        <f ca="1">AVERAGE(OFFSET($BH$3,0,0,'Données projet'!$E$11+1,1))-AVERAGE(OFFSET($H$3,0,0,'Données projet'!$E$11+1,1))</f>
        <v>321.60602866722138</v>
      </c>
      <c r="BJ184" s="62">
        <f t="shared" si="146"/>
        <v>375.18886653687389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0.64367685640408245</v>
      </c>
      <c r="BQ184" s="23">
        <f>EXP(-LN(2)/25)*BQ183+(1-EXP(-LN(2)/25))/(LN(2)/25)*Calculateur!BL184*Calculateur!BN184*VLOOKUP('Données projet'!$B$11,Paramètres!$A$1:$I$89,3,0)*0.475*44/12</f>
        <v>0.24273957876476721</v>
      </c>
      <c r="BR184" s="23">
        <f>EXP(-LN(2)/2)*BR183+(1-EXP(-LN(2)/2))/(LN(2)/2)*BL184*BO184*VLOOKUP('Données projet'!$B$11,Paramètres!$A$1:$I$89,3,0)*0.475*44/12</f>
        <v>1.3704425895554961E-22</v>
      </c>
      <c r="BS184" s="24">
        <f t="shared" si="169"/>
        <v>0.88641643516884971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2.8421709430404007E-14</v>
      </c>
      <c r="BZ184" s="14">
        <f>BY184*VLOOKUP('Données projet'!$B$12,Paramètres!$A$1:$I$89,3,0)*VLOOKUP('Données projet'!$B$12,Paramètres!$A$1:$I$89,5,0)</f>
        <v>1.5518253349000589E-14</v>
      </c>
      <c r="CA184" s="14">
        <f t="shared" si="170"/>
        <v>2.8958815659671149E-13</v>
      </c>
      <c r="CB184" s="22">
        <f t="shared" si="171"/>
        <v>5.3139366398878183E-13</v>
      </c>
      <c r="CC184" s="62">
        <f t="shared" si="119"/>
        <v>289.4733656586846</v>
      </c>
      <c r="CD184" s="62">
        <f ca="1">AVERAGE(OFFSET($CC$3,0,0,'Données projet'!$E$12+1,1))-AVERAGE(OFFSET($H$3,0,0,'Données projet'!$E$12+1,1))</f>
        <v>182.44246264133781</v>
      </c>
      <c r="CE184" s="62">
        <f t="shared" si="148"/>
        <v>262.5818213397049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0.21659701175930868</v>
      </c>
      <c r="CL184" s="23">
        <f>EXP(-LN(2)/25)*CL183+(1-EXP(-LN(2)/25))/(LN(2)/25)*Calculateur!CG184*Calculateur!CI184*VLOOKUP('Données projet'!$B$12,Paramètres!$A$1:$I$89,3,0)*0.475*44/12</f>
        <v>0.27506836172785676</v>
      </c>
      <c r="CM184" s="23">
        <f>EXP(-LN(2)/2)*CM183+(1-EXP(-LN(2)/2))/(LN(2)/2)*CG184*CJ184*VLOOKUP('Données projet'!$B$12,Paramètres!$A$1:$I$89,3,0)*0.475*44/12</f>
        <v>5.6498062793176061E-26</v>
      </c>
      <c r="CN184" s="24">
        <f t="shared" si="172"/>
        <v>0.49166537348716544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-5.3205440053716299E-14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426.87921482911719</v>
      </c>
      <c r="CZ184" s="62">
        <f t="shared" si="150"/>
        <v>313.49594674441835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500.25828825677058</v>
      </c>
      <c r="DU184" s="62">
        <f t="shared" si="152"/>
        <v>313.56299786481338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3.897493045023126E-2</v>
      </c>
      <c r="EC184" s="23">
        <f>EXP(-LN(2)/2)*EC183+(1-EXP(-LN(2)/2))/(LN(2)/2)*DW184*DZ184*VLOOKUP('Données projet'!$B$14,Paramètres!$A$1:$I$89,3,0)*0.475*44/12</f>
        <v>4.7035572648309241E-22</v>
      </c>
      <c r="ED184" s="24">
        <f t="shared" si="178"/>
        <v>3.897493045023126E-2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548.17046467409421</v>
      </c>
      <c r="EP184" s="62">
        <f t="shared" si="154"/>
        <v>341.9250949809848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4.3375325823644555E-2</v>
      </c>
      <c r="EX184" s="23">
        <f>EXP(-LN(2)/2)*EX183+(1-EXP(-LN(2)/2))/(LN(2)/2)*ER184*EU184*VLOOKUP('Données projet'!$B$15,Paramètres!$A$1:$I$89,3,0)*0.475*44/12</f>
        <v>5.2346040527957019E-22</v>
      </c>
      <c r="EY184" s="24">
        <f t="shared" si="181"/>
        <v>4.3375325823644555E-2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472.83070477639035</v>
      </c>
      <c r="T185" s="62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0.13496754991552545</v>
      </c>
      <c r="AB185" s="23">
        <f>EXP(-LN(2)/2)*AB184+(1-EXP(-LN(2)/2))/(LN(2)/2)*V185*Y185*VLOOKUP('Données projet'!$B$9,Paramètres!$A$1:$I$89,3,0)*0.475*44/12</f>
        <v>1.9732922437620486E-22</v>
      </c>
      <c r="AC185" s="24">
        <f t="shared" si="163"/>
        <v>0.13496754991552545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520.80494930257237</v>
      </c>
      <c r="AO185" s="62">
        <f t="shared" si="144"/>
        <v>325.72635759450861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0.15125673697429576</v>
      </c>
      <c r="AW185" s="23">
        <f>EXP(-LN(2)/2)*AW184+(1-EXP(-LN(2)/2))/(LN(2)/2)*AQ185*AT185*VLOOKUP('Données projet'!$B$10,Paramètres!$A$1:$I$89,3,0)*0.475*44/12</f>
        <v>2.2114482042160851E-22</v>
      </c>
      <c r="AX185" s="23">
        <f t="shared" si="166"/>
        <v>0.15125673697429576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6.3550942286383367E-14</v>
      </c>
      <c r="BF185" s="14">
        <f t="shared" si="167"/>
        <v>1.0064464192543978E-12</v>
      </c>
      <c r="BG185" s="22">
        <f t="shared" si="168"/>
        <v>1.8635787380168604E-12</v>
      </c>
      <c r="BH185" s="62">
        <f t="shared" si="116"/>
        <v>289.54032746824629</v>
      </c>
      <c r="BI185" s="62">
        <f ca="1">AVERAGE(OFFSET($BH$3,0,0,'Données projet'!$E$11+1,1))-AVERAGE(OFFSET($H$3,0,0,'Données projet'!$E$11+1,1))</f>
        <v>321.60602866722138</v>
      </c>
      <c r="BJ185" s="62">
        <f t="shared" si="146"/>
        <v>375.18886653687389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0.63105474585411436</v>
      </c>
      <c r="BQ185" s="23">
        <f>EXP(-LN(2)/25)*BQ184+(1-EXP(-LN(2)/25))/(LN(2)/25)*Calculateur!BL185*Calculateur!BN185*VLOOKUP('Données projet'!$B$11,Paramètres!$A$1:$I$89,3,0)*0.475*44/12</f>
        <v>0.236101852218325</v>
      </c>
      <c r="BR185" s="23">
        <f>EXP(-LN(2)/2)*BR184+(1-EXP(-LN(2)/2))/(LN(2)/2)*BL185*BO185*VLOOKUP('Données projet'!$B$11,Paramètres!$A$1:$I$89,3,0)*0.475*44/12</f>
        <v>9.6904924830154377E-23</v>
      </c>
      <c r="BS185" s="24">
        <f t="shared" si="169"/>
        <v>0.86715659807243939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2.8421709430404007E-14</v>
      </c>
      <c r="BZ185" s="14">
        <f>BY185*VLOOKUP('Données projet'!$B$12,Paramètres!$A$1:$I$89,3,0)*VLOOKUP('Données projet'!$B$12,Paramètres!$A$1:$I$89,5,0)</f>
        <v>1.5518253349000589E-14</v>
      </c>
      <c r="CA185" s="14">
        <f t="shared" si="170"/>
        <v>2.8958815659671149E-13</v>
      </c>
      <c r="CB185" s="22">
        <f t="shared" si="171"/>
        <v>5.3139366398878183E-13</v>
      </c>
      <c r="CC185" s="62">
        <f t="shared" si="119"/>
        <v>289.54032746824493</v>
      </c>
      <c r="CD185" s="62">
        <f ca="1">AVERAGE(OFFSET($CC$3,0,0,'Données projet'!$E$12+1,1))-AVERAGE(OFFSET($H$3,0,0,'Données projet'!$E$12+1,1))</f>
        <v>182.44246264133781</v>
      </c>
      <c r="CE185" s="62">
        <f t="shared" si="148"/>
        <v>262.5818213397049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0.2123496764698409</v>
      </c>
      <c r="CL185" s="23">
        <f>EXP(-LN(2)/25)*CL184+(1-EXP(-LN(2)/25))/(LN(2)/25)*Calculateur!CG185*Calculateur!CI185*VLOOKUP('Données projet'!$B$12,Paramètres!$A$1:$I$89,3,0)*0.475*44/12</f>
        <v>0.26754660291119203</v>
      </c>
      <c r="CM185" s="23">
        <f>EXP(-LN(2)/2)*CM184+(1-EXP(-LN(2)/2))/(LN(2)/2)*CG185*CJ185*VLOOKUP('Données projet'!$B$12,Paramètres!$A$1:$I$89,3,0)*0.475*44/12</f>
        <v>3.9950163324958167E-26</v>
      </c>
      <c r="CN185" s="24">
        <f t="shared" si="172"/>
        <v>0.47989627938103296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-5.3205440053716299E-14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426.87921482911719</v>
      </c>
      <c r="CZ185" s="62">
        <f t="shared" si="150"/>
        <v>313.49594674441835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500.25828825677058</v>
      </c>
      <c r="DU185" s="62">
        <f t="shared" si="152"/>
        <v>313.56299786481338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3.7909158927467171E-2</v>
      </c>
      <c r="EC185" s="23">
        <f>EXP(-LN(2)/2)*EC184+(1-EXP(-LN(2)/2))/(LN(2)/2)*DW185*DZ185*VLOOKUP('Données projet'!$B$14,Paramètres!$A$1:$I$89,3,0)*0.475*44/12</f>
        <v>3.3259172376611963E-22</v>
      </c>
      <c r="ED185" s="24">
        <f t="shared" si="178"/>
        <v>3.7909158927467171E-2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548.17046467409421</v>
      </c>
      <c r="EP185" s="62">
        <f t="shared" si="154"/>
        <v>341.9250949809848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4.2189225257987746E-2</v>
      </c>
      <c r="EX185" s="23">
        <f>EXP(-LN(2)/2)*EX184+(1-EXP(-LN(2)/2))/(LN(2)/2)*ER185*EU185*VLOOKUP('Données projet'!$B$15,Paramètres!$A$1:$I$89,3,0)*0.475*44/12</f>
        <v>3.7014240225584253E-22</v>
      </c>
      <c r="EY185" s="24">
        <f t="shared" si="181"/>
        <v>4.2189225257987746E-2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472.83070477639035</v>
      </c>
      <c r="T186" s="62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0.13127685516545043</v>
      </c>
      <c r="AB186" s="23">
        <f>EXP(-LN(2)/2)*AB185+(1-EXP(-LN(2)/2))/(LN(2)/2)*V186*Y186*VLOOKUP('Données projet'!$B$9,Paramètres!$A$1:$I$89,3,0)*0.475*44/12</f>
        <v>1.3953283268269623E-22</v>
      </c>
      <c r="AC186" s="24">
        <f t="shared" si="163"/>
        <v>0.13127685516545043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520.80494930257237</v>
      </c>
      <c r="AO186" s="62">
        <f t="shared" si="144"/>
        <v>325.72635759450861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0.14712061354748754</v>
      </c>
      <c r="AW186" s="23">
        <f>EXP(-LN(2)/2)*AW185+(1-EXP(-LN(2)/2))/(LN(2)/2)*AQ186*AT186*VLOOKUP('Données projet'!$B$10,Paramètres!$A$1:$I$89,3,0)*0.475*44/12</f>
        <v>1.5637300214440068E-22</v>
      </c>
      <c r="AX186" s="23">
        <f t="shared" si="166"/>
        <v>0.14712061354748754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6.3550942286383367E-14</v>
      </c>
      <c r="BF186" s="14">
        <f t="shared" si="167"/>
        <v>1.0064464192543978E-12</v>
      </c>
      <c r="BG186" s="22">
        <f t="shared" si="168"/>
        <v>1.8635787380168604E-12</v>
      </c>
      <c r="BH186" s="62">
        <f t="shared" si="116"/>
        <v>289.60612764011483</v>
      </c>
      <c r="BI186" s="62">
        <f ca="1">AVERAGE(OFFSET($BH$3,0,0,'Données projet'!$E$11+1,1))-AVERAGE(OFFSET($H$3,0,0,'Données projet'!$E$11+1,1))</f>
        <v>321.60602866722138</v>
      </c>
      <c r="BJ186" s="62">
        <f t="shared" si="146"/>
        <v>375.18886653687389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0.61868014719330389</v>
      </c>
      <c r="BQ186" s="23">
        <f>EXP(-LN(2)/25)*BQ185+(1-EXP(-LN(2)/25))/(LN(2)/25)*Calculateur!BL186*Calculateur!BN186*VLOOKUP('Données projet'!$B$11,Paramètres!$A$1:$I$89,3,0)*0.475*44/12</f>
        <v>0.2296456346533581</v>
      </c>
      <c r="BR186" s="23">
        <f>EXP(-LN(2)/2)*BR185+(1-EXP(-LN(2)/2))/(LN(2)/2)*BL186*BO186*VLOOKUP('Données projet'!$B$11,Paramètres!$A$1:$I$89,3,0)*0.475*44/12</f>
        <v>6.8522129477774806E-23</v>
      </c>
      <c r="BS186" s="24">
        <f t="shared" si="169"/>
        <v>0.84832578184666196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2.8421709430404007E-14</v>
      </c>
      <c r="BZ186" s="14">
        <f>BY186*VLOOKUP('Données projet'!$B$12,Paramètres!$A$1:$I$89,3,0)*VLOOKUP('Données projet'!$B$12,Paramètres!$A$1:$I$89,5,0)</f>
        <v>1.5518253349000589E-14</v>
      </c>
      <c r="CA186" s="14">
        <f t="shared" si="170"/>
        <v>2.8958815659671149E-13</v>
      </c>
      <c r="CB186" s="22">
        <f t="shared" si="171"/>
        <v>5.3139366398878183E-13</v>
      </c>
      <c r="CC186" s="62">
        <f t="shared" si="119"/>
        <v>289.60612764011347</v>
      </c>
      <c r="CD186" s="62">
        <f ca="1">AVERAGE(OFFSET($CC$3,0,0,'Données projet'!$E$12+1,1))-AVERAGE(OFFSET($H$3,0,0,'Données projet'!$E$12+1,1))</f>
        <v>182.44246264133781</v>
      </c>
      <c r="CE186" s="62">
        <f t="shared" si="148"/>
        <v>262.5818213397049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0.20818562883478089</v>
      </c>
      <c r="CL186" s="23">
        <f>EXP(-LN(2)/25)*CL185+(1-EXP(-LN(2)/25))/(LN(2)/25)*Calculateur!CG186*Calculateur!CI186*VLOOKUP('Données projet'!$B$12,Paramètres!$A$1:$I$89,3,0)*0.475*44/12</f>
        <v>0.26023052698492111</v>
      </c>
      <c r="CM186" s="23">
        <f>EXP(-LN(2)/2)*CM185+(1-EXP(-LN(2)/2))/(LN(2)/2)*CG186*CJ186*VLOOKUP('Données projet'!$B$12,Paramètres!$A$1:$I$89,3,0)*0.475*44/12</f>
        <v>2.824903139658803E-26</v>
      </c>
      <c r="CN186" s="24">
        <f t="shared" si="172"/>
        <v>0.46841615581970197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-5.3205440053716299E-14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426.87921482911719</v>
      </c>
      <c r="CZ186" s="62">
        <f t="shared" si="150"/>
        <v>313.49594674441835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500.25828825677058</v>
      </c>
      <c r="DU186" s="62">
        <f t="shared" si="152"/>
        <v>313.56299786481338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3.6872530983039553E-2</v>
      </c>
      <c r="EC186" s="23">
        <f>EXP(-LN(2)/2)*EC185+(1-EXP(-LN(2)/2))/(LN(2)/2)*DW186*DZ186*VLOOKUP('Données projet'!$B$14,Paramètres!$A$1:$I$89,3,0)*0.475*44/12</f>
        <v>2.351778632415462E-22</v>
      </c>
      <c r="ED186" s="24">
        <f t="shared" si="178"/>
        <v>3.6872530983039553E-2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548.17046467409421</v>
      </c>
      <c r="EP186" s="62">
        <f t="shared" si="154"/>
        <v>341.9250949809848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4.1035558674673137E-2</v>
      </c>
      <c r="EX186" s="23">
        <f>EXP(-LN(2)/2)*EX185+(1-EXP(-LN(2)/2))/(LN(2)/2)*ER186*EU186*VLOOKUP('Données projet'!$B$15,Paramètres!$A$1:$I$89,3,0)*0.475*44/12</f>
        <v>2.6173020263978509E-22</v>
      </c>
      <c r="EY186" s="24">
        <f t="shared" si="181"/>
        <v>4.1035558674673137E-2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472.83070477639035</v>
      </c>
      <c r="T187" s="62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0.12768708265740142</v>
      </c>
      <c r="AB187" s="23">
        <f>EXP(-LN(2)/2)*AB186+(1-EXP(-LN(2)/2))/(LN(2)/2)*V187*Y187*VLOOKUP('Données projet'!$B$9,Paramètres!$A$1:$I$89,3,0)*0.475*44/12</f>
        <v>9.8664612188102429E-23</v>
      </c>
      <c r="AC187" s="24">
        <f t="shared" si="163"/>
        <v>0.12768708265740142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520.80494930257237</v>
      </c>
      <c r="AO187" s="62">
        <f t="shared" si="144"/>
        <v>325.72635759450861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0.14309759263329466</v>
      </c>
      <c r="AW187" s="23">
        <f>EXP(-LN(2)/2)*AW186+(1-EXP(-LN(2)/2))/(LN(2)/2)*AQ187*AT187*VLOOKUP('Données projet'!$B$10,Paramètres!$A$1:$I$89,3,0)*0.475*44/12</f>
        <v>1.1057241021080425E-22</v>
      </c>
      <c r="AX187" s="23">
        <f t="shared" si="166"/>
        <v>0.14309759263329466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6.3550942286383367E-14</v>
      </c>
      <c r="BF187" s="14">
        <f t="shared" si="167"/>
        <v>1.0064464192543978E-12</v>
      </c>
      <c r="BG187" s="22">
        <f t="shared" si="168"/>
        <v>1.8635787380168604E-12</v>
      </c>
      <c r="BH187" s="62">
        <f t="shared" si="116"/>
        <v>289.67078632610861</v>
      </c>
      <c r="BI187" s="62">
        <f ca="1">AVERAGE(OFFSET($BH$3,0,0,'Données projet'!$E$11+1,1))-AVERAGE(OFFSET($H$3,0,0,'Données projet'!$E$11+1,1))</f>
        <v>321.60602866722138</v>
      </c>
      <c r="BJ187" s="62">
        <f t="shared" si="146"/>
        <v>375.18886653687389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0.60654820686447197</v>
      </c>
      <c r="BQ187" s="23">
        <f>EXP(-LN(2)/25)*BQ186+(1-EXP(-LN(2)/25))/(LN(2)/25)*Calculateur!BL187*Calculateur!BN187*VLOOKUP('Données projet'!$B$11,Paramètres!$A$1:$I$89,3,0)*0.475*44/12</f>
        <v>0.22336596269722298</v>
      </c>
      <c r="BR187" s="23">
        <f>EXP(-LN(2)/2)*BR186+(1-EXP(-LN(2)/2))/(LN(2)/2)*BL187*BO187*VLOOKUP('Données projet'!$B$11,Paramètres!$A$1:$I$89,3,0)*0.475*44/12</f>
        <v>4.8452462415077188E-23</v>
      </c>
      <c r="BS187" s="24">
        <f t="shared" si="169"/>
        <v>0.82991416956169495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2.8421709430404007E-14</v>
      </c>
      <c r="BZ187" s="14">
        <f>BY187*VLOOKUP('Données projet'!$B$12,Paramètres!$A$1:$I$89,3,0)*VLOOKUP('Données projet'!$B$12,Paramètres!$A$1:$I$89,5,0)</f>
        <v>1.5518253349000589E-14</v>
      </c>
      <c r="CA187" s="14">
        <f t="shared" si="170"/>
        <v>2.8958815659671149E-13</v>
      </c>
      <c r="CB187" s="22">
        <f t="shared" si="171"/>
        <v>5.3139366398878183E-13</v>
      </c>
      <c r="CC187" s="62">
        <f t="shared" si="119"/>
        <v>289.67078632610725</v>
      </c>
      <c r="CD187" s="62">
        <f ca="1">AVERAGE(OFFSET($CC$3,0,0,'Données projet'!$E$12+1,1))-AVERAGE(OFFSET($H$3,0,0,'Données projet'!$E$12+1,1))</f>
        <v>182.44246264133781</v>
      </c>
      <c r="CE187" s="62">
        <f t="shared" si="148"/>
        <v>262.5818213397049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0.20410323563402613</v>
      </c>
      <c r="CL187" s="23">
        <f>EXP(-LN(2)/25)*CL186+(1-EXP(-LN(2)/25))/(LN(2)/25)*Calculateur!CG187*Calculateur!CI187*VLOOKUP('Données projet'!$B$12,Paramètres!$A$1:$I$89,3,0)*0.475*44/12</f>
        <v>0.2531145095395898</v>
      </c>
      <c r="CM187" s="23">
        <f>EXP(-LN(2)/2)*CM186+(1-EXP(-LN(2)/2))/(LN(2)/2)*CG187*CJ187*VLOOKUP('Données projet'!$B$12,Paramètres!$A$1:$I$89,3,0)*0.475*44/12</f>
        <v>1.9975081662479084E-26</v>
      </c>
      <c r="CN187" s="24">
        <f t="shared" si="172"/>
        <v>0.45721774517361591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-5.3205440053716299E-14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426.87921482911719</v>
      </c>
      <c r="CZ187" s="62">
        <f t="shared" si="150"/>
        <v>313.49594674441835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500.25828825677058</v>
      </c>
      <c r="DU187" s="62">
        <f t="shared" si="152"/>
        <v>313.56299786481338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3.5864249684266207E-2</v>
      </c>
      <c r="EC187" s="23">
        <f>EXP(-LN(2)/2)*EC186+(1-EXP(-LN(2)/2))/(LN(2)/2)*DW187*DZ187*VLOOKUP('Données projet'!$B$14,Paramètres!$A$1:$I$89,3,0)*0.475*44/12</f>
        <v>1.6629586188305981E-22</v>
      </c>
      <c r="ED187" s="24">
        <f t="shared" si="178"/>
        <v>3.5864249684266207E-2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548.17046467409421</v>
      </c>
      <c r="EP187" s="62">
        <f t="shared" si="154"/>
        <v>341.9250949809848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3.991343916474796E-2</v>
      </c>
      <c r="EX187" s="23">
        <f>EXP(-LN(2)/2)*EX186+(1-EXP(-LN(2)/2))/(LN(2)/2)*ER187*EU187*VLOOKUP('Données projet'!$B$15,Paramètres!$A$1:$I$89,3,0)*0.475*44/12</f>
        <v>1.8507120112792126E-22</v>
      </c>
      <c r="EY187" s="24">
        <f t="shared" si="181"/>
        <v>3.991343916474796E-2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472.83070477639035</v>
      </c>
      <c r="T188" s="62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0.12419547266736293</v>
      </c>
      <c r="AB188" s="23">
        <f>EXP(-LN(2)/2)*AB187+(1-EXP(-LN(2)/2))/(LN(2)/2)*V188*Y188*VLOOKUP('Données projet'!$B$9,Paramètres!$A$1:$I$89,3,0)*0.475*44/12</f>
        <v>6.9766416341348114E-23</v>
      </c>
      <c r="AC188" s="24">
        <f t="shared" si="163"/>
        <v>0.12419547266736293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520.80494930257237</v>
      </c>
      <c r="AO188" s="62">
        <f t="shared" si="144"/>
        <v>325.72635759450861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0.13918458143756188</v>
      </c>
      <c r="AW188" s="23">
        <f>EXP(-LN(2)/2)*AW187+(1-EXP(-LN(2)/2))/(LN(2)/2)*AQ188*AT188*VLOOKUP('Données projet'!$B$10,Paramètres!$A$1:$I$89,3,0)*0.475*44/12</f>
        <v>7.8186501072200338E-23</v>
      </c>
      <c r="AX188" s="23">
        <f t="shared" si="166"/>
        <v>0.13918458143756188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6.3550942286383367E-14</v>
      </c>
      <c r="BF188" s="14">
        <f t="shared" si="167"/>
        <v>1.0064464192543978E-12</v>
      </c>
      <c r="BG188" s="22">
        <f t="shared" si="168"/>
        <v>1.8635787380168604E-12</v>
      </c>
      <c r="BH188" s="62">
        <f t="shared" si="116"/>
        <v>289.73432332845562</v>
      </c>
      <c r="BI188" s="62">
        <f ca="1">AVERAGE(OFFSET($BH$3,0,0,'Données projet'!$E$11+1,1))-AVERAGE(OFFSET($H$3,0,0,'Données projet'!$E$11+1,1))</f>
        <v>321.60602866722138</v>
      </c>
      <c r="BJ188" s="62">
        <f t="shared" si="146"/>
        <v>375.18886653687389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0.59465416648573555</v>
      </c>
      <c r="BQ188" s="23">
        <f>EXP(-LN(2)/25)*BQ187+(1-EXP(-LN(2)/25))/(LN(2)/25)*Calculateur!BL188*Calculateur!BN188*VLOOKUP('Données projet'!$B$11,Paramètres!$A$1:$I$89,3,0)*0.475*44/12</f>
        <v>0.21725800870096196</v>
      </c>
      <c r="BR188" s="23">
        <f>EXP(-LN(2)/2)*BR187+(1-EXP(-LN(2)/2))/(LN(2)/2)*BL188*BO188*VLOOKUP('Données projet'!$B$11,Paramètres!$A$1:$I$89,3,0)*0.475*44/12</f>
        <v>3.4261064738887403E-23</v>
      </c>
      <c r="BS188" s="24">
        <f t="shared" si="169"/>
        <v>0.81191217518669756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2.8421709430404007E-14</v>
      </c>
      <c r="BZ188" s="14">
        <f>BY188*VLOOKUP('Données projet'!$B$12,Paramètres!$A$1:$I$89,3,0)*VLOOKUP('Données projet'!$B$12,Paramètres!$A$1:$I$89,5,0)</f>
        <v>1.5518253349000589E-14</v>
      </c>
      <c r="CA188" s="14">
        <f t="shared" si="170"/>
        <v>2.8958815659671149E-13</v>
      </c>
      <c r="CB188" s="22">
        <f t="shared" si="171"/>
        <v>5.3139366398878183E-13</v>
      </c>
      <c r="CC188" s="62">
        <f t="shared" si="119"/>
        <v>289.73432332845425</v>
      </c>
      <c r="CD188" s="62">
        <f ca="1">AVERAGE(OFFSET($CC$3,0,0,'Données projet'!$E$12+1,1))-AVERAGE(OFFSET($H$3,0,0,'Données projet'!$E$12+1,1))</f>
        <v>182.44246264133781</v>
      </c>
      <c r="CE188" s="62">
        <f t="shared" si="148"/>
        <v>262.5818213397049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0.2001008956739242</v>
      </c>
      <c r="CL188" s="23">
        <f>EXP(-LN(2)/25)*CL187+(1-EXP(-LN(2)/25))/(LN(2)/25)*Calculateur!CG188*Calculateur!CI188*VLOOKUP('Données projet'!$B$12,Paramètres!$A$1:$I$89,3,0)*0.475*44/12</f>
        <v>0.24619307996551618</v>
      </c>
      <c r="CM188" s="23">
        <f>EXP(-LN(2)/2)*CM187+(1-EXP(-LN(2)/2))/(LN(2)/2)*CG188*CJ188*VLOOKUP('Données projet'!$B$12,Paramètres!$A$1:$I$89,3,0)*0.475*44/12</f>
        <v>1.4124515698294015E-26</v>
      </c>
      <c r="CN188" s="24">
        <f t="shared" si="172"/>
        <v>0.4462939756394404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-5.3205440053716299E-14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426.87921482911719</v>
      </c>
      <c r="CZ188" s="62">
        <f t="shared" si="150"/>
        <v>313.49594674441835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500.25828825677058</v>
      </c>
      <c r="DU188" s="62">
        <f t="shared" si="152"/>
        <v>313.56299786481338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3.4883539890631025E-2</v>
      </c>
      <c r="EC188" s="23">
        <f>EXP(-LN(2)/2)*EC187+(1-EXP(-LN(2)/2))/(LN(2)/2)*DW188*DZ188*VLOOKUP('Données projet'!$B$14,Paramètres!$A$1:$I$89,3,0)*0.475*44/12</f>
        <v>1.175889316207731E-22</v>
      </c>
      <c r="ED188" s="24">
        <f t="shared" si="178"/>
        <v>3.4883539890631025E-2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548.17046467409421</v>
      </c>
      <c r="EP188" s="62">
        <f t="shared" si="154"/>
        <v>341.9250949809848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3.8822004071831388E-2</v>
      </c>
      <c r="EX188" s="23">
        <f>EXP(-LN(2)/2)*EX187+(1-EXP(-LN(2)/2))/(LN(2)/2)*ER188*EU188*VLOOKUP('Données projet'!$B$15,Paramètres!$A$1:$I$89,3,0)*0.475*44/12</f>
        <v>1.3086510131989255E-22</v>
      </c>
      <c r="EY188" s="24">
        <f t="shared" si="181"/>
        <v>3.8822004071831388E-2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472.83070477639035</v>
      </c>
      <c r="T189" s="62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0.12079934093611784</v>
      </c>
      <c r="AB189" s="23">
        <f>EXP(-LN(2)/2)*AB188+(1-EXP(-LN(2)/2))/(LN(2)/2)*V189*Y189*VLOOKUP('Données projet'!$B$9,Paramètres!$A$1:$I$89,3,0)*0.475*44/12</f>
        <v>4.9332306094051215E-23</v>
      </c>
      <c r="AC189" s="24">
        <f t="shared" si="163"/>
        <v>0.12079934093611784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520.80494930257237</v>
      </c>
      <c r="AO189" s="62">
        <f t="shared" si="144"/>
        <v>325.72635759450861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0.13537857173875273</v>
      </c>
      <c r="AW189" s="23">
        <f>EXP(-LN(2)/2)*AW188+(1-EXP(-LN(2)/2))/(LN(2)/2)*AQ189*AT189*VLOOKUP('Données projet'!$B$10,Paramètres!$A$1:$I$89,3,0)*0.475*44/12</f>
        <v>5.5286205105402127E-23</v>
      </c>
      <c r="AX189" s="23">
        <f t="shared" si="166"/>
        <v>0.13537857173875273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6.3550942286383367E-14</v>
      </c>
      <c r="BF189" s="14">
        <f t="shared" si="167"/>
        <v>1.0064464192543978E-12</v>
      </c>
      <c r="BG189" s="22">
        <f t="shared" si="168"/>
        <v>1.8635787380168604E-12</v>
      </c>
      <c r="BH189" s="62">
        <f t="shared" si="116"/>
        <v>289.79675810585928</v>
      </c>
      <c r="BI189" s="62">
        <f ca="1">AVERAGE(OFFSET($BH$3,0,0,'Données projet'!$E$11+1,1))-AVERAGE(OFFSET($H$3,0,0,'Données projet'!$E$11+1,1))</f>
        <v>321.60602866722138</v>
      </c>
      <c r="BJ189" s="62">
        <f t="shared" si="146"/>
        <v>375.18886653687389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0.58299336098417787</v>
      </c>
      <c r="BQ189" s="23">
        <f>EXP(-LN(2)/25)*BQ188+(1-EXP(-LN(2)/25))/(LN(2)/25)*Calculateur!BL189*Calculateur!BN189*VLOOKUP('Données projet'!$B$11,Paramètres!$A$1:$I$89,3,0)*0.475*44/12</f>
        <v>0.21131707702793204</v>
      </c>
      <c r="BR189" s="23">
        <f>EXP(-LN(2)/2)*BR188+(1-EXP(-LN(2)/2))/(LN(2)/2)*BL189*BO189*VLOOKUP('Données projet'!$B$11,Paramètres!$A$1:$I$89,3,0)*0.475*44/12</f>
        <v>2.4226231207538594E-23</v>
      </c>
      <c r="BS189" s="24">
        <f t="shared" si="169"/>
        <v>0.79431043801210988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2.8421709430404007E-14</v>
      </c>
      <c r="BZ189" s="14">
        <f>BY189*VLOOKUP('Données projet'!$B$12,Paramètres!$A$1:$I$89,3,0)*VLOOKUP('Données projet'!$B$12,Paramètres!$A$1:$I$89,5,0)</f>
        <v>1.5518253349000589E-14</v>
      </c>
      <c r="CA189" s="14">
        <f t="shared" si="170"/>
        <v>2.8958815659671149E-13</v>
      </c>
      <c r="CB189" s="22">
        <f t="shared" si="171"/>
        <v>5.3139366398878183E-13</v>
      </c>
      <c r="CC189" s="62">
        <f t="shared" si="119"/>
        <v>289.79675810585792</v>
      </c>
      <c r="CD189" s="62">
        <f ca="1">AVERAGE(OFFSET($CC$3,0,0,'Données projet'!$E$12+1,1))-AVERAGE(OFFSET($H$3,0,0,'Données projet'!$E$12+1,1))</f>
        <v>182.44246264133781</v>
      </c>
      <c r="CE189" s="62">
        <f t="shared" si="148"/>
        <v>262.5818213397049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0.19617703915925352</v>
      </c>
      <c r="CL189" s="23">
        <f>EXP(-LN(2)/25)*CL188+(1-EXP(-LN(2)/25))/(LN(2)/25)*Calculateur!CG189*Calculateur!CI189*VLOOKUP('Données projet'!$B$12,Paramètres!$A$1:$I$89,3,0)*0.475*44/12</f>
        <v>0.23946091724712773</v>
      </c>
      <c r="CM189" s="23">
        <f>EXP(-LN(2)/2)*CM188+(1-EXP(-LN(2)/2))/(LN(2)/2)*CG189*CJ189*VLOOKUP('Données projet'!$B$12,Paramètres!$A$1:$I$89,3,0)*0.475*44/12</f>
        <v>9.9875408312395418E-27</v>
      </c>
      <c r="CN189" s="24">
        <f t="shared" si="172"/>
        <v>0.43563795640638125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-5.3205440053716299E-14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426.87921482911719</v>
      </c>
      <c r="CZ189" s="62">
        <f t="shared" si="150"/>
        <v>313.49594674441835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500.25828825677058</v>
      </c>
      <c r="DU189" s="62">
        <f t="shared" si="152"/>
        <v>313.56299786481338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3.3929647657876087E-2</v>
      </c>
      <c r="EC189" s="23">
        <f>EXP(-LN(2)/2)*EC188+(1-EXP(-LN(2)/2))/(LN(2)/2)*DW189*DZ189*VLOOKUP('Données projet'!$B$14,Paramètres!$A$1:$I$89,3,0)*0.475*44/12</f>
        <v>8.3147930941529906E-23</v>
      </c>
      <c r="ED189" s="24">
        <f t="shared" si="178"/>
        <v>3.3929647657876087E-2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548.17046467409421</v>
      </c>
      <c r="EP189" s="62">
        <f t="shared" si="154"/>
        <v>341.9250949809848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3.7760414328926691E-2</v>
      </c>
      <c r="EX189" s="23">
        <f>EXP(-LN(2)/2)*EX188+(1-EXP(-LN(2)/2))/(LN(2)/2)*ER189*EU189*VLOOKUP('Données projet'!$B$15,Paramètres!$A$1:$I$89,3,0)*0.475*44/12</f>
        <v>9.2535600563960632E-23</v>
      </c>
      <c r="EY189" s="24">
        <f t="shared" si="181"/>
        <v>3.7760414328926691E-2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472.83070477639035</v>
      </c>
      <c r="T190" s="62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0.11749607660565844</v>
      </c>
      <c r="AB190" s="23">
        <f>EXP(-LN(2)/2)*AB189+(1-EXP(-LN(2)/2))/(LN(2)/2)*V190*Y190*VLOOKUP('Données projet'!$B$9,Paramètres!$A$1:$I$89,3,0)*0.475*44/12</f>
        <v>3.4883208170674057E-23</v>
      </c>
      <c r="AC190" s="24">
        <f t="shared" si="163"/>
        <v>0.11749607660565844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520.80494930257237</v>
      </c>
      <c r="AO190" s="62">
        <f t="shared" si="144"/>
        <v>325.72635759450861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0.13167663757530687</v>
      </c>
      <c r="AW190" s="23">
        <f>EXP(-LN(2)/2)*AW189+(1-EXP(-LN(2)/2))/(LN(2)/2)*AQ190*AT190*VLOOKUP('Données projet'!$B$10,Paramètres!$A$1:$I$89,3,0)*0.475*44/12</f>
        <v>3.9093250536100169E-23</v>
      </c>
      <c r="AX190" s="23">
        <f t="shared" si="166"/>
        <v>0.13167663757530687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6.3550942286383367E-14</v>
      </c>
      <c r="BF190" s="14">
        <f t="shared" si="167"/>
        <v>1.0064464192543978E-12</v>
      </c>
      <c r="BG190" s="22">
        <f t="shared" si="168"/>
        <v>1.8635787380168604E-12</v>
      </c>
      <c r="BH190" s="62">
        <f t="shared" si="116"/>
        <v>289.85810977945829</v>
      </c>
      <c r="BI190" s="62">
        <f ca="1">AVERAGE(OFFSET($BH$3,0,0,'Données projet'!$E$11+1,1))-AVERAGE(OFFSET($H$3,0,0,'Données projet'!$E$11+1,1))</f>
        <v>321.60602866722138</v>
      </c>
      <c r="BJ190" s="62">
        <f t="shared" si="146"/>
        <v>375.18886653687389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0.57156121676611671</v>
      </c>
      <c r="BQ190" s="23">
        <f>EXP(-LN(2)/25)*BQ189+(1-EXP(-LN(2)/25))/(LN(2)/25)*Calculateur!BL190*Calculateur!BN190*VLOOKUP('Données projet'!$B$11,Paramètres!$A$1:$I$89,3,0)*0.475*44/12</f>
        <v>0.20553860044392114</v>
      </c>
      <c r="BR190" s="23">
        <f>EXP(-LN(2)/2)*BR189+(1-EXP(-LN(2)/2))/(LN(2)/2)*BL190*BO190*VLOOKUP('Données projet'!$B$11,Paramètres!$A$1:$I$89,3,0)*0.475*44/12</f>
        <v>1.7130532369443701E-23</v>
      </c>
      <c r="BS190" s="24">
        <f t="shared" si="169"/>
        <v>0.77709981721003785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2.8421709430404007E-14</v>
      </c>
      <c r="BZ190" s="14">
        <f>BY190*VLOOKUP('Données projet'!$B$12,Paramètres!$A$1:$I$89,3,0)*VLOOKUP('Données projet'!$B$12,Paramètres!$A$1:$I$89,5,0)</f>
        <v>1.5518253349000589E-14</v>
      </c>
      <c r="CA190" s="14">
        <f t="shared" si="170"/>
        <v>2.8958815659671149E-13</v>
      </c>
      <c r="CB190" s="22">
        <f t="shared" si="171"/>
        <v>5.3139366398878183E-13</v>
      </c>
      <c r="CC190" s="62">
        <f t="shared" si="119"/>
        <v>289.85810977945692</v>
      </c>
      <c r="CD190" s="62">
        <f ca="1">AVERAGE(OFFSET($CC$3,0,0,'Données projet'!$E$12+1,1))-AVERAGE(OFFSET($H$3,0,0,'Données projet'!$E$12+1,1))</f>
        <v>182.44246264133781</v>
      </c>
      <c r="CE190" s="62">
        <f t="shared" si="148"/>
        <v>262.5818213397049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0.1923301270775194</v>
      </c>
      <c r="CL190" s="23">
        <f>EXP(-LN(2)/25)*CL189+(1-EXP(-LN(2)/25))/(LN(2)/25)*Calculateur!CG190*Calculateur!CI190*VLOOKUP('Données projet'!$B$12,Paramètres!$A$1:$I$89,3,0)*0.475*44/12</f>
        <v>0.23291284587230268</v>
      </c>
      <c r="CM190" s="23">
        <f>EXP(-LN(2)/2)*CM189+(1-EXP(-LN(2)/2))/(LN(2)/2)*CG190*CJ190*VLOOKUP('Données projet'!$B$12,Paramètres!$A$1:$I$89,3,0)*0.475*44/12</f>
        <v>7.0622578491470076E-27</v>
      </c>
      <c r="CN190" s="24">
        <f t="shared" si="172"/>
        <v>0.42524297294982205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-5.3205440053716299E-14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426.87921482911719</v>
      </c>
      <c r="CZ190" s="62">
        <f t="shared" si="150"/>
        <v>313.49594674441835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500.25828825677058</v>
      </c>
      <c r="DU190" s="62">
        <f t="shared" si="152"/>
        <v>313.56299786481338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3.3001839658388842E-2</v>
      </c>
      <c r="EC190" s="23">
        <f>EXP(-LN(2)/2)*EC189+(1-EXP(-LN(2)/2))/(LN(2)/2)*DW190*DZ190*VLOOKUP('Données projet'!$B$14,Paramètres!$A$1:$I$89,3,0)*0.475*44/12</f>
        <v>5.8794465810386551E-23</v>
      </c>
      <c r="ED190" s="24">
        <f t="shared" si="178"/>
        <v>3.3001839658388842E-2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548.17046467409421</v>
      </c>
      <c r="EP190" s="62">
        <f t="shared" si="154"/>
        <v>341.9250949809848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3.6727853813368301E-2</v>
      </c>
      <c r="EX190" s="23">
        <f>EXP(-LN(2)/2)*EX189+(1-EXP(-LN(2)/2))/(LN(2)/2)*ER190*EU190*VLOOKUP('Données projet'!$B$15,Paramètres!$A$1:$I$89,3,0)*0.475*44/12</f>
        <v>6.5432550659946273E-23</v>
      </c>
      <c r="EY190" s="24">
        <f t="shared" si="181"/>
        <v>3.6727853813368301E-2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472.83070477639035</v>
      </c>
      <c r="T191" s="62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0.11428314021202658</v>
      </c>
      <c r="AB191" s="23">
        <f>EXP(-LN(2)/2)*AB190+(1-EXP(-LN(2)/2))/(LN(2)/2)*V191*Y191*VLOOKUP('Données projet'!$B$9,Paramètres!$A$1:$I$89,3,0)*0.475*44/12</f>
        <v>2.4666153047025607E-23</v>
      </c>
      <c r="AC191" s="24">
        <f t="shared" si="163"/>
        <v>0.11428314021202658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520.80494930257237</v>
      </c>
      <c r="AO191" s="62">
        <f t="shared" si="144"/>
        <v>325.72635759450861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0.12807593299623668</v>
      </c>
      <c r="AW191" s="23">
        <f>EXP(-LN(2)/2)*AW190+(1-EXP(-LN(2)/2))/(LN(2)/2)*AQ191*AT191*VLOOKUP('Données projet'!$B$10,Paramètres!$A$1:$I$89,3,0)*0.475*44/12</f>
        <v>2.7643102552701064E-23</v>
      </c>
      <c r="AX191" s="23">
        <f t="shared" si="166"/>
        <v>0.12807593299623668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6.3550942286383367E-14</v>
      </c>
      <c r="BF191" s="14">
        <f t="shared" si="167"/>
        <v>1.0064464192543978E-12</v>
      </c>
      <c r="BG191" s="22">
        <f t="shared" si="168"/>
        <v>1.8635787380168604E-12</v>
      </c>
      <c r="BH191" s="62">
        <f t="shared" si="116"/>
        <v>289.91839713868211</v>
      </c>
      <c r="BI191" s="62">
        <f ca="1">AVERAGE(OFFSET($BH$3,0,0,'Données projet'!$E$11+1,1))-AVERAGE(OFFSET($H$3,0,0,'Données projet'!$E$11+1,1))</f>
        <v>321.60602866722138</v>
      </c>
      <c r="BJ191" s="62">
        <f t="shared" si="146"/>
        <v>375.18886653687389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0.56035324992325219</v>
      </c>
      <c r="BQ191" s="23">
        <f>EXP(-LN(2)/25)*BQ190+(1-EXP(-LN(2)/25))/(LN(2)/25)*Calculateur!BL191*Calculateur!BN191*VLOOKUP('Données projet'!$B$11,Paramètres!$A$1:$I$89,3,0)*0.475*44/12</f>
        <v>0.19991813660597688</v>
      </c>
      <c r="BR191" s="23">
        <f>EXP(-LN(2)/2)*BR190+(1-EXP(-LN(2)/2))/(LN(2)/2)*BL191*BO191*VLOOKUP('Données projet'!$B$11,Paramètres!$A$1:$I$89,3,0)*0.475*44/12</f>
        <v>1.2113115603769297E-23</v>
      </c>
      <c r="BS191" s="24">
        <f t="shared" si="169"/>
        <v>0.7602713865292291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2.8421709430404007E-14</v>
      </c>
      <c r="BZ191" s="14">
        <f>BY191*VLOOKUP('Données projet'!$B$12,Paramètres!$A$1:$I$89,3,0)*VLOOKUP('Données projet'!$B$12,Paramètres!$A$1:$I$89,5,0)</f>
        <v>1.5518253349000589E-14</v>
      </c>
      <c r="CA191" s="14">
        <f t="shared" si="170"/>
        <v>2.8958815659671149E-13</v>
      </c>
      <c r="CB191" s="22">
        <f t="shared" si="171"/>
        <v>5.3139366398878183E-13</v>
      </c>
      <c r="CC191" s="62">
        <f t="shared" si="119"/>
        <v>289.91839713868075</v>
      </c>
      <c r="CD191" s="62">
        <f ca="1">AVERAGE(OFFSET($CC$3,0,0,'Données projet'!$E$12+1,1))-AVERAGE(OFFSET($H$3,0,0,'Données projet'!$E$12+1,1))</f>
        <v>182.44246264133781</v>
      </c>
      <c r="CE191" s="62">
        <f t="shared" si="148"/>
        <v>262.5818213397049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0.18855865059532337</v>
      </c>
      <c r="CL191" s="23">
        <f>EXP(-LN(2)/25)*CL190+(1-EXP(-LN(2)/25))/(LN(2)/25)*Calculateur!CG191*Calculateur!CI191*VLOOKUP('Données projet'!$B$12,Paramètres!$A$1:$I$89,3,0)*0.475*44/12</f>
        <v>0.22654383185357033</v>
      </c>
      <c r="CM191" s="23">
        <f>EXP(-LN(2)/2)*CM190+(1-EXP(-LN(2)/2))/(LN(2)/2)*CG191*CJ191*VLOOKUP('Données projet'!$B$12,Paramètres!$A$1:$I$89,3,0)*0.475*44/12</f>
        <v>4.9937704156197709E-27</v>
      </c>
      <c r="CN191" s="24">
        <f t="shared" si="172"/>
        <v>0.41510248244889369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-5.3205440053716299E-14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426.87921482911719</v>
      </c>
      <c r="CZ191" s="62">
        <f t="shared" si="150"/>
        <v>313.49594674441835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500.25828825677058</v>
      </c>
      <c r="DU191" s="62">
        <f t="shared" si="152"/>
        <v>313.56299786481338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3.2099402617438877E-2</v>
      </c>
      <c r="EC191" s="23">
        <f>EXP(-LN(2)/2)*EC190+(1-EXP(-LN(2)/2))/(LN(2)/2)*DW191*DZ191*VLOOKUP('Données projet'!$B$14,Paramètres!$A$1:$I$89,3,0)*0.475*44/12</f>
        <v>4.1573965470764953E-23</v>
      </c>
      <c r="ED191" s="24">
        <f t="shared" si="178"/>
        <v>3.2099402617438877E-2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548.17046467409421</v>
      </c>
      <c r="EP191" s="62">
        <f t="shared" si="154"/>
        <v>341.9250949809848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3.5723528719407857E-2</v>
      </c>
      <c r="EX191" s="23">
        <f>EXP(-LN(2)/2)*EX190+(1-EXP(-LN(2)/2))/(LN(2)/2)*ER191*EU191*VLOOKUP('Données projet'!$B$15,Paramètres!$A$1:$I$89,3,0)*0.475*44/12</f>
        <v>4.6267800281980316E-23</v>
      </c>
      <c r="EY191" s="24">
        <f t="shared" si="181"/>
        <v>3.5723528719407857E-2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472.83070477639035</v>
      </c>
      <c r="T192" s="62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0.11115806173303958</v>
      </c>
      <c r="AB192" s="23">
        <f>EXP(-LN(2)/2)*AB191+(1-EXP(-LN(2)/2))/(LN(2)/2)*V192*Y192*VLOOKUP('Données projet'!$B$9,Paramètres!$A$1:$I$89,3,0)*0.475*44/12</f>
        <v>1.7441604085337028E-23</v>
      </c>
      <c r="AC192" s="24">
        <f t="shared" si="163"/>
        <v>0.11115806173303958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520.80494930257237</v>
      </c>
      <c r="AO192" s="62">
        <f t="shared" si="144"/>
        <v>325.72635759450861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0.12457368987323399</v>
      </c>
      <c r="AW192" s="23">
        <f>EXP(-LN(2)/2)*AW191+(1-EXP(-LN(2)/2))/(LN(2)/2)*AQ192*AT192*VLOOKUP('Données projet'!$B$10,Paramètres!$A$1:$I$89,3,0)*0.475*44/12</f>
        <v>1.9546625268050084E-23</v>
      </c>
      <c r="AX192" s="23">
        <f t="shared" si="166"/>
        <v>0.12457368987323399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6.3550942286383367E-14</v>
      </c>
      <c r="BF192" s="14">
        <f t="shared" si="167"/>
        <v>1.0064464192543978E-12</v>
      </c>
      <c r="BG192" s="22">
        <f t="shared" si="168"/>
        <v>1.8635787380168604E-12</v>
      </c>
      <c r="BH192" s="62">
        <f t="shared" si="116"/>
        <v>289.97763864700573</v>
      </c>
      <c r="BI192" s="62">
        <f ca="1">AVERAGE(OFFSET($BH$3,0,0,'Données projet'!$E$11+1,1))-AVERAGE(OFFSET($H$3,0,0,'Données projet'!$E$11+1,1))</f>
        <v>321.60602866722138</v>
      </c>
      <c r="BJ192" s="62">
        <f t="shared" si="146"/>
        <v>375.18886653687389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0.54936506447399158</v>
      </c>
      <c r="BQ192" s="23">
        <f>EXP(-LN(2)/25)*BQ191+(1-EXP(-LN(2)/25))/(LN(2)/25)*Calculateur!BL192*Calculateur!BN192*VLOOKUP('Données projet'!$B$11,Paramètres!$A$1:$I$89,3,0)*0.475*44/12</f>
        <v>0.19445136464724855</v>
      </c>
      <c r="BR192" s="23">
        <f>EXP(-LN(2)/2)*BR191+(1-EXP(-LN(2)/2))/(LN(2)/2)*BL192*BO192*VLOOKUP('Données projet'!$B$11,Paramètres!$A$1:$I$89,3,0)*0.475*44/12</f>
        <v>8.5652661847218507E-24</v>
      </c>
      <c r="BS192" s="24">
        <f t="shared" si="169"/>
        <v>0.74381642912124013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2.8421709430404007E-14</v>
      </c>
      <c r="BZ192" s="14">
        <f>BY192*VLOOKUP('Données projet'!$B$12,Paramètres!$A$1:$I$89,3,0)*VLOOKUP('Données projet'!$B$12,Paramètres!$A$1:$I$89,5,0)</f>
        <v>1.5518253349000589E-14</v>
      </c>
      <c r="CA192" s="14">
        <f t="shared" si="170"/>
        <v>2.8958815659671149E-13</v>
      </c>
      <c r="CB192" s="22">
        <f t="shared" si="171"/>
        <v>5.3139366398878183E-13</v>
      </c>
      <c r="CC192" s="62">
        <f t="shared" si="119"/>
        <v>289.97763864700437</v>
      </c>
      <c r="CD192" s="62">
        <f ca="1">AVERAGE(OFFSET($CC$3,0,0,'Données projet'!$E$12+1,1))-AVERAGE(OFFSET($H$3,0,0,'Données projet'!$E$12+1,1))</f>
        <v>182.44246264133781</v>
      </c>
      <c r="CE192" s="62">
        <f t="shared" si="148"/>
        <v>262.5818213397049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0.18486113046656971</v>
      </c>
      <c r="CL192" s="23">
        <f>EXP(-LN(2)/25)*CL191+(1-EXP(-LN(2)/25))/(LN(2)/25)*Calculateur!CG192*Calculateur!CI192*VLOOKUP('Données projet'!$B$12,Paramètres!$A$1:$I$89,3,0)*0.475*44/12</f>
        <v>0.22034897885811211</v>
      </c>
      <c r="CM192" s="23">
        <f>EXP(-LN(2)/2)*CM191+(1-EXP(-LN(2)/2))/(LN(2)/2)*CG192*CJ192*VLOOKUP('Données projet'!$B$12,Paramètres!$A$1:$I$89,3,0)*0.475*44/12</f>
        <v>3.5311289245735038E-27</v>
      </c>
      <c r="CN192" s="24">
        <f t="shared" si="172"/>
        <v>0.40521010932468182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-5.3205440053716299E-14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426.87921482911719</v>
      </c>
      <c r="CZ192" s="62">
        <f t="shared" si="150"/>
        <v>313.49594674441835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500.25828825677058</v>
      </c>
      <c r="DU192" s="62">
        <f t="shared" si="152"/>
        <v>313.56299786481338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3.122164276483079E-2</v>
      </c>
      <c r="EC192" s="23">
        <f>EXP(-LN(2)/2)*EC191+(1-EXP(-LN(2)/2))/(LN(2)/2)*DW192*DZ192*VLOOKUP('Données projet'!$B$14,Paramètres!$A$1:$I$89,3,0)*0.475*44/12</f>
        <v>2.9397232905193276E-23</v>
      </c>
      <c r="ED192" s="24">
        <f t="shared" si="178"/>
        <v>3.122164276483079E-2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548.17046467409421</v>
      </c>
      <c r="EP192" s="62">
        <f t="shared" si="154"/>
        <v>341.9250949809848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3.4746666947956924E-2</v>
      </c>
      <c r="EX192" s="23">
        <f>EXP(-LN(2)/2)*EX191+(1-EXP(-LN(2)/2))/(LN(2)/2)*ER192*EU192*VLOOKUP('Données projet'!$B$15,Paramètres!$A$1:$I$89,3,0)*0.475*44/12</f>
        <v>3.2716275329973137E-23</v>
      </c>
      <c r="EY192" s="24">
        <f t="shared" si="181"/>
        <v>3.4746666947956924E-2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472.83070477639035</v>
      </c>
      <c r="T193" s="62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0.1081184386894012</v>
      </c>
      <c r="AB193" s="23">
        <f>EXP(-LN(2)/2)*AB192+(1-EXP(-LN(2)/2))/(LN(2)/2)*V193*Y193*VLOOKUP('Données projet'!$B$9,Paramètres!$A$1:$I$89,3,0)*0.475*44/12</f>
        <v>1.2333076523512804E-23</v>
      </c>
      <c r="AC193" s="24">
        <f t="shared" si="163"/>
        <v>0.1081184386894012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520.80494930257237</v>
      </c>
      <c r="AO193" s="62">
        <f t="shared" si="144"/>
        <v>325.72635759450861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0.12116721577260477</v>
      </c>
      <c r="AW193" s="23">
        <f>EXP(-LN(2)/2)*AW192+(1-EXP(-LN(2)/2))/(LN(2)/2)*AQ193*AT193*VLOOKUP('Données projet'!$B$10,Paramètres!$A$1:$I$89,3,0)*0.475*44/12</f>
        <v>1.3821551276350532E-23</v>
      </c>
      <c r="AX193" s="23">
        <f t="shared" si="166"/>
        <v>0.12116721577260477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6.3550942286383367E-14</v>
      </c>
      <c r="BF193" s="14">
        <f t="shared" si="167"/>
        <v>1.0064464192543978E-12</v>
      </c>
      <c r="BG193" s="22">
        <f t="shared" si="168"/>
        <v>1.8635787380168604E-12</v>
      </c>
      <c r="BH193" s="62">
        <f t="shared" si="116"/>
        <v>290.03585244760416</v>
      </c>
      <c r="BI193" s="62">
        <f ca="1">AVERAGE(OFFSET($BH$3,0,0,'Données projet'!$E$11+1,1))-AVERAGE(OFFSET($H$3,0,0,'Données projet'!$E$11+1,1))</f>
        <v>321.60602866722138</v>
      </c>
      <c r="BJ193" s="62">
        <f t="shared" si="146"/>
        <v>375.18886653687389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0.53859235063925959</v>
      </c>
      <c r="BQ193" s="23">
        <f>EXP(-LN(2)/25)*BQ192+(1-EXP(-LN(2)/25))/(LN(2)/25)*Calculateur!BL193*Calculateur!BN193*VLOOKUP('Données projet'!$B$11,Paramètres!$A$1:$I$89,3,0)*0.475*44/12</f>
        <v>0.18913408185521668</v>
      </c>
      <c r="BR193" s="23">
        <f>EXP(-LN(2)/2)*BR192+(1-EXP(-LN(2)/2))/(LN(2)/2)*BL193*BO193*VLOOKUP('Données projet'!$B$11,Paramètres!$A$1:$I$89,3,0)*0.475*44/12</f>
        <v>6.0565578018846485E-24</v>
      </c>
      <c r="BS193" s="24">
        <f t="shared" si="169"/>
        <v>0.72772643249447633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2.8421709430404007E-14</v>
      </c>
      <c r="BZ193" s="14">
        <f>BY193*VLOOKUP('Données projet'!$B$12,Paramètres!$A$1:$I$89,3,0)*VLOOKUP('Données projet'!$B$12,Paramètres!$A$1:$I$89,5,0)</f>
        <v>1.5518253349000589E-14</v>
      </c>
      <c r="CA193" s="14">
        <f t="shared" si="170"/>
        <v>2.8958815659671149E-13</v>
      </c>
      <c r="CB193" s="22">
        <f t="shared" si="171"/>
        <v>5.3139366398878183E-13</v>
      </c>
      <c r="CC193" s="62">
        <f t="shared" si="119"/>
        <v>290.03585244760279</v>
      </c>
      <c r="CD193" s="62">
        <f ca="1">AVERAGE(OFFSET($CC$3,0,0,'Données projet'!$E$12+1,1))-AVERAGE(OFFSET($H$3,0,0,'Données projet'!$E$12+1,1))</f>
        <v>182.44246264133781</v>
      </c>
      <c r="CE193" s="62">
        <f t="shared" si="148"/>
        <v>262.5818213397049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0.18123611645227633</v>
      </c>
      <c r="CL193" s="23">
        <f>EXP(-LN(2)/25)*CL192+(1-EXP(-LN(2)/25))/(LN(2)/25)*Calculateur!CG193*Calculateur!CI193*VLOOKUP('Données projet'!$B$12,Paramètres!$A$1:$I$89,3,0)*0.475*44/12</f>
        <v>0.21432352444358785</v>
      </c>
      <c r="CM193" s="23">
        <f>EXP(-LN(2)/2)*CM192+(1-EXP(-LN(2)/2))/(LN(2)/2)*CG193*CJ193*VLOOKUP('Données projet'!$B$12,Paramètres!$A$1:$I$89,3,0)*0.475*44/12</f>
        <v>2.4968852078098854E-27</v>
      </c>
      <c r="CN193" s="24">
        <f t="shared" si="172"/>
        <v>0.39555964089586415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-5.3205440053716299E-14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426.87921482911719</v>
      </c>
      <c r="CZ193" s="62">
        <f t="shared" si="150"/>
        <v>313.49594674441835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500.25828825677058</v>
      </c>
      <c r="DU193" s="62">
        <f t="shared" si="152"/>
        <v>313.56299786481338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3.0367885301551656E-2</v>
      </c>
      <c r="EC193" s="23">
        <f>EXP(-LN(2)/2)*EC192+(1-EXP(-LN(2)/2))/(LN(2)/2)*DW193*DZ193*VLOOKUP('Données projet'!$B$14,Paramètres!$A$1:$I$89,3,0)*0.475*44/12</f>
        <v>2.0786982735382477E-23</v>
      </c>
      <c r="ED193" s="24">
        <f t="shared" si="178"/>
        <v>3.0367885301551656E-2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548.17046467409421</v>
      </c>
      <c r="EP193" s="62">
        <f t="shared" si="154"/>
        <v>341.9250949809848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3.3796517513017245E-2</v>
      </c>
      <c r="EX193" s="23">
        <f>EXP(-LN(2)/2)*EX192+(1-EXP(-LN(2)/2))/(LN(2)/2)*ER193*EU193*VLOOKUP('Données projet'!$B$15,Paramètres!$A$1:$I$89,3,0)*0.475*44/12</f>
        <v>2.3133900140990158E-23</v>
      </c>
      <c r="EY193" s="24">
        <f t="shared" si="181"/>
        <v>3.3796517513017245E-2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472.83070477639035</v>
      </c>
      <c r="T194" s="62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0.10516193429773794</v>
      </c>
      <c r="AB194" s="23">
        <f>EXP(-LN(2)/2)*AB193+(1-EXP(-LN(2)/2))/(LN(2)/2)*V194*Y194*VLOOKUP('Données projet'!$B$9,Paramètres!$A$1:$I$89,3,0)*0.475*44/12</f>
        <v>8.7208020426685142E-24</v>
      </c>
      <c r="AC194" s="24">
        <f t="shared" si="163"/>
        <v>0.10516193429773794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520.80494930257237</v>
      </c>
      <c r="AO194" s="62">
        <f t="shared" si="144"/>
        <v>325.72635759450861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0.11785389188539594</v>
      </c>
      <c r="AW194" s="23">
        <f>EXP(-LN(2)/2)*AW193+(1-EXP(-LN(2)/2))/(LN(2)/2)*AQ194*AT194*VLOOKUP('Données projet'!$B$10,Paramètres!$A$1:$I$89,3,0)*0.475*44/12</f>
        <v>9.7733126340250422E-24</v>
      </c>
      <c r="AX194" s="23">
        <f t="shared" si="166"/>
        <v>0.11785389188539594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6.3550942286383367E-14</v>
      </c>
      <c r="BF194" s="14">
        <f t="shared" si="167"/>
        <v>1.0064464192543978E-12</v>
      </c>
      <c r="BG194" s="22">
        <f t="shared" si="168"/>
        <v>1.8635787380168604E-12</v>
      </c>
      <c r="BH194" s="62">
        <f t="shared" si="116"/>
        <v>290.09305636890872</v>
      </c>
      <c r="BI194" s="62">
        <f ca="1">AVERAGE(OFFSET($BH$3,0,0,'Données projet'!$E$11+1,1))-AVERAGE(OFFSET($H$3,0,0,'Données projet'!$E$11+1,1))</f>
        <v>321.60602866722138</v>
      </c>
      <c r="BJ194" s="62">
        <f t="shared" si="146"/>
        <v>375.18886653687389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0.52803088315211999</v>
      </c>
      <c r="BQ194" s="23">
        <f>EXP(-LN(2)/25)*BQ193+(1-EXP(-LN(2)/25))/(LN(2)/25)*Calculateur!BL194*Calculateur!BN194*VLOOKUP('Données projet'!$B$11,Paramètres!$A$1:$I$89,3,0)*0.475*44/12</f>
        <v>0.1839622004407567</v>
      </c>
      <c r="BR194" s="23">
        <f>EXP(-LN(2)/2)*BR193+(1-EXP(-LN(2)/2))/(LN(2)/2)*BL194*BO194*VLOOKUP('Données projet'!$B$11,Paramètres!$A$1:$I$89,3,0)*0.475*44/12</f>
        <v>4.2826330923609254E-24</v>
      </c>
      <c r="BS194" s="24">
        <f t="shared" si="169"/>
        <v>0.71199308359287672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2.8421709430404007E-14</v>
      </c>
      <c r="BZ194" s="14">
        <f>BY194*VLOOKUP('Données projet'!$B$12,Paramètres!$A$1:$I$89,3,0)*VLOOKUP('Données projet'!$B$12,Paramètres!$A$1:$I$89,5,0)</f>
        <v>1.5518253349000589E-14</v>
      </c>
      <c r="CA194" s="14">
        <f t="shared" si="170"/>
        <v>2.8958815659671149E-13</v>
      </c>
      <c r="CB194" s="22">
        <f t="shared" si="171"/>
        <v>5.3139366398878183E-13</v>
      </c>
      <c r="CC194" s="62">
        <f t="shared" si="119"/>
        <v>290.09305636890736</v>
      </c>
      <c r="CD194" s="62">
        <f ca="1">AVERAGE(OFFSET($CC$3,0,0,'Données projet'!$E$12+1,1))-AVERAGE(OFFSET($H$3,0,0,'Données projet'!$E$12+1,1))</f>
        <v>182.44246264133781</v>
      </c>
      <c r="CE194" s="62">
        <f t="shared" si="148"/>
        <v>262.5818213397049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0.177682186751763</v>
      </c>
      <c r="CL194" s="23">
        <f>EXP(-LN(2)/25)*CL193+(1-EXP(-LN(2)/25))/(LN(2)/25)*Calculateur!CG194*Calculateur!CI194*VLOOKUP('Données projet'!$B$12,Paramètres!$A$1:$I$89,3,0)*0.475*44/12</f>
        <v>0.20846283639689364</v>
      </c>
      <c r="CM194" s="23">
        <f>EXP(-LN(2)/2)*CM193+(1-EXP(-LN(2)/2))/(LN(2)/2)*CG194*CJ194*VLOOKUP('Données projet'!$B$12,Paramètres!$A$1:$I$89,3,0)*0.475*44/12</f>
        <v>1.7655644622867519E-27</v>
      </c>
      <c r="CN194" s="24">
        <f t="shared" si="172"/>
        <v>0.38614502314865662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-5.3205440053716299E-14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426.87921482911719</v>
      </c>
      <c r="CZ194" s="62">
        <f t="shared" si="150"/>
        <v>313.49594674441835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500.25828825677058</v>
      </c>
      <c r="DU194" s="62">
        <f t="shared" si="152"/>
        <v>313.56299786481338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2.9537473881003043E-2</v>
      </c>
      <c r="EC194" s="23">
        <f>EXP(-LN(2)/2)*EC193+(1-EXP(-LN(2)/2))/(LN(2)/2)*DW194*DZ194*VLOOKUP('Données projet'!$B$14,Paramètres!$A$1:$I$89,3,0)*0.475*44/12</f>
        <v>1.4698616452596638E-23</v>
      </c>
      <c r="ED194" s="24">
        <f t="shared" si="178"/>
        <v>2.9537473881003043E-2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548.17046467409421</v>
      </c>
      <c r="EP194" s="62">
        <f t="shared" si="154"/>
        <v>341.9250949809848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3.2872349964342178E-2</v>
      </c>
      <c r="EX194" s="23">
        <f>EXP(-LN(2)/2)*EX193+(1-EXP(-LN(2)/2))/(LN(2)/2)*ER194*EU194*VLOOKUP('Données projet'!$B$15,Paramètres!$A$1:$I$89,3,0)*0.475*44/12</f>
        <v>1.6358137664986568E-23</v>
      </c>
      <c r="EY194" s="24">
        <f t="shared" si="181"/>
        <v>3.2872349964342178E-2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472.83070477639035</v>
      </c>
      <c r="T195" s="62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0.10228627567414053</v>
      </c>
      <c r="AB195" s="23">
        <f>EXP(-LN(2)/2)*AB194+(1-EXP(-LN(2)/2))/(LN(2)/2)*V195*Y195*VLOOKUP('Données projet'!$B$9,Paramètres!$A$1:$I$89,3,0)*0.475*44/12</f>
        <v>6.1665382617564018E-24</v>
      </c>
      <c r="AC195" s="24">
        <f t="shared" si="163"/>
        <v>0.10228627567414053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520.80494930257237</v>
      </c>
      <c r="AO195" s="62">
        <f t="shared" si="144"/>
        <v>325.72635759450861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0.11463117101412297</v>
      </c>
      <c r="AW195" s="23">
        <f>EXP(-LN(2)/2)*AW194+(1-EXP(-LN(2)/2))/(LN(2)/2)*AQ195*AT195*VLOOKUP('Données projet'!$B$10,Paramètres!$A$1:$I$89,3,0)*0.475*44/12</f>
        <v>6.9107756381752659E-24</v>
      </c>
      <c r="AX195" s="23">
        <f t="shared" si="166"/>
        <v>0.11463117101412297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6.3550942286383367E-14</v>
      </c>
      <c r="BF195" s="14">
        <f t="shared" si="167"/>
        <v>1.0064464192543978E-12</v>
      </c>
      <c r="BG195" s="22">
        <f t="shared" si="168"/>
        <v>1.8635787380168604E-12</v>
      </c>
      <c r="BH195" s="62">
        <f t="shared" si="116"/>
        <v>290.14926793006754</v>
      </c>
      <c r="BI195" s="62">
        <f ca="1">AVERAGE(OFFSET($BH$3,0,0,'Données projet'!$E$11+1,1))-AVERAGE(OFFSET($H$3,0,0,'Données projet'!$E$11+1,1))</f>
        <v>321.60602866722138</v>
      </c>
      <c r="BJ195" s="62">
        <f t="shared" si="146"/>
        <v>375.18886653687389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0.51767651960054417</v>
      </c>
      <c r="BQ195" s="23">
        <f>EXP(-LN(2)/25)*BQ194+(1-EXP(-LN(2)/25))/(LN(2)/25)*Calculateur!BL195*Calculateur!BN195*VLOOKUP('Données projet'!$B$11,Paramètres!$A$1:$I$89,3,0)*0.475*44/12</f>
        <v>0.17893174439555254</v>
      </c>
      <c r="BR195" s="23">
        <f>EXP(-LN(2)/2)*BR194+(1-EXP(-LN(2)/2))/(LN(2)/2)*BL195*BO195*VLOOKUP('Données projet'!$B$11,Paramètres!$A$1:$I$89,3,0)*0.475*44/12</f>
        <v>3.0282789009423243E-24</v>
      </c>
      <c r="BS195" s="24">
        <f t="shared" si="169"/>
        <v>0.69660826399609665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2.8421709430404007E-14</v>
      </c>
      <c r="BZ195" s="14">
        <f>BY195*VLOOKUP('Données projet'!$B$12,Paramètres!$A$1:$I$89,3,0)*VLOOKUP('Données projet'!$B$12,Paramètres!$A$1:$I$89,5,0)</f>
        <v>1.5518253349000589E-14</v>
      </c>
      <c r="CA195" s="14">
        <f t="shared" si="170"/>
        <v>2.8958815659671149E-13</v>
      </c>
      <c r="CB195" s="22">
        <f t="shared" si="171"/>
        <v>5.3139366398878183E-13</v>
      </c>
      <c r="CC195" s="62">
        <f t="shared" si="119"/>
        <v>290.14926793006617</v>
      </c>
      <c r="CD195" s="62">
        <f ca="1">AVERAGE(OFFSET($CC$3,0,0,'Données projet'!$E$12+1,1))-AVERAGE(OFFSET($H$3,0,0,'Données projet'!$E$12+1,1))</f>
        <v>182.44246264133781</v>
      </c>
      <c r="CE195" s="62">
        <f t="shared" si="148"/>
        <v>262.5818213397049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0.17419794744499367</v>
      </c>
      <c r="CL195" s="23">
        <f>EXP(-LN(2)/25)*CL194+(1-EXP(-LN(2)/25))/(LN(2)/25)*Calculateur!CG195*Calculateur!CI195*VLOOKUP('Données projet'!$B$12,Paramètres!$A$1:$I$89,3,0)*0.475*44/12</f>
        <v>0.20276240917303648</v>
      </c>
      <c r="CM195" s="23">
        <f>EXP(-LN(2)/2)*CM194+(1-EXP(-LN(2)/2))/(LN(2)/2)*CG195*CJ195*VLOOKUP('Données projet'!$B$12,Paramètres!$A$1:$I$89,3,0)*0.475*44/12</f>
        <v>1.2484426039049427E-27</v>
      </c>
      <c r="CN195" s="24">
        <f t="shared" si="172"/>
        <v>0.37696035661803018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-5.3205440053716299E-14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426.87921482911719</v>
      </c>
      <c r="CZ195" s="62">
        <f t="shared" si="150"/>
        <v>313.49594674441835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500.25828825677058</v>
      </c>
      <c r="DU195" s="62">
        <f t="shared" si="152"/>
        <v>313.56299786481338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2.872977010441877E-2</v>
      </c>
      <c r="EC195" s="23">
        <f>EXP(-LN(2)/2)*EC194+(1-EXP(-LN(2)/2))/(LN(2)/2)*DW195*DZ195*VLOOKUP('Données projet'!$B$14,Paramètres!$A$1:$I$89,3,0)*0.475*44/12</f>
        <v>1.0393491367691238E-23</v>
      </c>
      <c r="ED195" s="24">
        <f t="shared" si="178"/>
        <v>2.872977010441877E-2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548.17046467409421</v>
      </c>
      <c r="EP195" s="62">
        <f t="shared" si="154"/>
        <v>341.9250949809848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3.1973453825885484E-2</v>
      </c>
      <c r="EX195" s="23">
        <f>EXP(-LN(2)/2)*EX194+(1-EXP(-LN(2)/2))/(LN(2)/2)*ER195*EU195*VLOOKUP('Données projet'!$B$15,Paramètres!$A$1:$I$89,3,0)*0.475*44/12</f>
        <v>1.1566950070495079E-23</v>
      </c>
      <c r="EY195" s="24">
        <f t="shared" si="181"/>
        <v>3.1973453825885484E-2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472.83070477639035</v>
      </c>
      <c r="T196" s="62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9.9489252086829696E-2</v>
      </c>
      <c r="AB196" s="23">
        <f>EXP(-LN(2)/2)*AB195+(1-EXP(-LN(2)/2))/(LN(2)/2)*V196*Y196*VLOOKUP('Données projet'!$B$9,Paramètres!$A$1:$I$89,3,0)*0.475*44/12</f>
        <v>4.3604010213342571E-24</v>
      </c>
      <c r="AC196" s="24">
        <f t="shared" si="163"/>
        <v>9.9489252086829696E-2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520.80494930257237</v>
      </c>
      <c r="AO196" s="62">
        <f t="shared" si="144"/>
        <v>325.72635759450861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0.11149657561455049</v>
      </c>
      <c r="AW196" s="23">
        <f>EXP(-LN(2)/2)*AW195+(1-EXP(-LN(2)/2))/(LN(2)/2)*AQ196*AT196*VLOOKUP('Données projet'!$B$10,Paramètres!$A$1:$I$89,3,0)*0.475*44/12</f>
        <v>4.8866563170125211E-24</v>
      </c>
      <c r="AX196" s="23">
        <f t="shared" si="166"/>
        <v>0.11149657561455049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6.3550942286383367E-14</v>
      </c>
      <c r="BF196" s="14">
        <f t="shared" si="167"/>
        <v>1.0064464192543978E-12</v>
      </c>
      <c r="BG196" s="22">
        <f t="shared" si="168"/>
        <v>1.8635787380168604E-12</v>
      </c>
      <c r="BH196" s="62">
        <f t="shared" ref="BH196:BH203" si="194">BG196+(AY196+AZ196)*44/12</f>
        <v>290.20450434631039</v>
      </c>
      <c r="BI196" s="62">
        <f ca="1">AVERAGE(OFFSET($BH$3,0,0,'Données projet'!$E$11+1,1))-AVERAGE(OFFSET($H$3,0,0,'Données projet'!$E$11+1,1))</f>
        <v>321.60602866722138</v>
      </c>
      <c r="BJ196" s="62">
        <f t="shared" si="146"/>
        <v>375.18886653687389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0.50752519880267655</v>
      </c>
      <c r="BQ196" s="23">
        <f>EXP(-LN(2)/25)*BQ195+(1-EXP(-LN(2)/25))/(LN(2)/25)*Calculateur!BL196*Calculateur!BN196*VLOOKUP('Données projet'!$B$11,Paramètres!$A$1:$I$89,3,0)*0.475*44/12</f>
        <v>0.17403884643544468</v>
      </c>
      <c r="BR196" s="23">
        <f>EXP(-LN(2)/2)*BR195+(1-EXP(-LN(2)/2))/(LN(2)/2)*BL196*BO196*VLOOKUP('Données projet'!$B$11,Paramètres!$A$1:$I$89,3,0)*0.475*44/12</f>
        <v>2.1413165461804627E-24</v>
      </c>
      <c r="BS196" s="24">
        <f t="shared" si="169"/>
        <v>0.6815640452381212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2.8421709430404007E-14</v>
      </c>
      <c r="BZ196" s="14">
        <f>BY196*VLOOKUP('Données projet'!$B$12,Paramètres!$A$1:$I$89,3,0)*VLOOKUP('Données projet'!$B$12,Paramètres!$A$1:$I$89,5,0)</f>
        <v>1.5518253349000589E-14</v>
      </c>
      <c r="CA196" s="14">
        <f t="shared" si="170"/>
        <v>2.8958815659671149E-13</v>
      </c>
      <c r="CB196" s="22">
        <f t="shared" si="171"/>
        <v>5.3139366398878183E-13</v>
      </c>
      <c r="CC196" s="62">
        <f t="shared" ref="CC196:CC203" si="195">CB196+(BT196+BU196)*44/12</f>
        <v>290.20450434630902</v>
      </c>
      <c r="CD196" s="62">
        <f ca="1">AVERAGE(OFFSET($CC$3,0,0,'Données projet'!$E$12+1,1))-AVERAGE(OFFSET($H$3,0,0,'Données projet'!$E$12+1,1))</f>
        <v>182.44246264133781</v>
      </c>
      <c r="CE196" s="62">
        <f t="shared" si="148"/>
        <v>262.5818213397049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0.17078203194585395</v>
      </c>
      <c r="CL196" s="23">
        <f>EXP(-LN(2)/25)*CL195+(1-EXP(-LN(2)/25))/(LN(2)/25)*Calculateur!CG196*Calculateur!CI196*VLOOKUP('Données projet'!$B$12,Paramètres!$A$1:$I$89,3,0)*0.475*44/12</f>
        <v>0.19721786043138811</v>
      </c>
      <c r="CM196" s="23">
        <f>EXP(-LN(2)/2)*CM195+(1-EXP(-LN(2)/2))/(LN(2)/2)*CG196*CJ196*VLOOKUP('Données projet'!$B$12,Paramètres!$A$1:$I$89,3,0)*0.475*44/12</f>
        <v>8.8278223114337595E-28</v>
      </c>
      <c r="CN196" s="24">
        <f t="shared" si="172"/>
        <v>0.36799989237724207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-5.3205440053716299E-14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426.87921482911719</v>
      </c>
      <c r="CZ196" s="62">
        <f t="shared" si="150"/>
        <v>313.49594674441835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500.25828825677058</v>
      </c>
      <c r="DU196" s="62">
        <f t="shared" si="152"/>
        <v>313.56299786481338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2.7944153030080493E-2</v>
      </c>
      <c r="EC196" s="23">
        <f>EXP(-LN(2)/2)*EC195+(1-EXP(-LN(2)/2))/(LN(2)/2)*DW196*DZ196*VLOOKUP('Données projet'!$B$14,Paramètres!$A$1:$I$89,3,0)*0.475*44/12</f>
        <v>7.3493082262983189E-24</v>
      </c>
      <c r="ED196" s="24">
        <f t="shared" si="178"/>
        <v>2.7944153030080493E-2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548.17046467409421</v>
      </c>
      <c r="EP196" s="62">
        <f t="shared" si="154"/>
        <v>341.9250949809848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3.1099138049605787E-2</v>
      </c>
      <c r="EX196" s="23">
        <f>EXP(-LN(2)/2)*EX195+(1-EXP(-LN(2)/2))/(LN(2)/2)*ER196*EU196*VLOOKUP('Données projet'!$B$15,Paramètres!$A$1:$I$89,3,0)*0.475*44/12</f>
        <v>8.1790688324932842E-24</v>
      </c>
      <c r="EY196" s="24">
        <f t="shared" si="181"/>
        <v>3.1099138049605787E-2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472.83070477639035</v>
      </c>
      <c r="T197" s="62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9.6768713256602953E-2</v>
      </c>
      <c r="AB197" s="23">
        <f>EXP(-LN(2)/2)*AB196+(1-EXP(-LN(2)/2))/(LN(2)/2)*V197*Y197*VLOOKUP('Données projet'!$B$9,Paramètres!$A$1:$I$89,3,0)*0.475*44/12</f>
        <v>3.0832691308782009E-24</v>
      </c>
      <c r="AC197" s="24">
        <f t="shared" si="163"/>
        <v>9.6768713256602953E-2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520.80494930257237</v>
      </c>
      <c r="AO197" s="62">
        <f t="shared" ref="AO197:AO203" si="205">$AO$3</f>
        <v>325.72635759450861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0.10844769589102053</v>
      </c>
      <c r="AW197" s="23">
        <f>EXP(-LN(2)/2)*AW196+(1-EXP(-LN(2)/2))/(LN(2)/2)*AQ197*AT197*VLOOKUP('Données projet'!$B$10,Paramètres!$A$1:$I$89,3,0)*0.475*44/12</f>
        <v>3.4553878190876329E-24</v>
      </c>
      <c r="AX197" s="23">
        <f t="shared" si="166"/>
        <v>0.10844769589102053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6.3550942286383367E-14</v>
      </c>
      <c r="BF197" s="14">
        <f t="shared" si="167"/>
        <v>1.0064464192543978E-12</v>
      </c>
      <c r="BG197" s="22">
        <f t="shared" si="168"/>
        <v>1.8635787380168604E-12</v>
      </c>
      <c r="BH197" s="62">
        <f t="shared" si="194"/>
        <v>290.25878253422161</v>
      </c>
      <c r="BI197" s="62">
        <f ca="1">AVERAGE(OFFSET($BH$3,0,0,'Données projet'!$E$11+1,1))-AVERAGE(OFFSET($H$3,0,0,'Données projet'!$E$11+1,1))</f>
        <v>321.60602866722138</v>
      </c>
      <c r="BJ197" s="62">
        <f t="shared" ref="BJ197:BJ203" si="206">$BJ$3</f>
        <v>375.18886653687389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0.49757293921396084</v>
      </c>
      <c r="BQ197" s="23">
        <f>EXP(-LN(2)/25)*BQ196+(1-EXP(-LN(2)/25))/(LN(2)/25)*Calculateur!BL197*Calculateur!BN197*VLOOKUP('Données projet'!$B$11,Paramètres!$A$1:$I$89,3,0)*0.475*44/12</f>
        <v>0.16927974502736229</v>
      </c>
      <c r="BR197" s="23">
        <f>EXP(-LN(2)/2)*BR196+(1-EXP(-LN(2)/2))/(LN(2)/2)*BL197*BO197*VLOOKUP('Données projet'!$B$11,Paramètres!$A$1:$I$89,3,0)*0.475*44/12</f>
        <v>1.5141394504711621E-24</v>
      </c>
      <c r="BS197" s="24">
        <f t="shared" si="169"/>
        <v>0.66685268424132316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2.8421709430404007E-14</v>
      </c>
      <c r="BZ197" s="14">
        <f>BY197*VLOOKUP('Données projet'!$B$12,Paramètres!$A$1:$I$89,3,0)*VLOOKUP('Données projet'!$B$12,Paramètres!$A$1:$I$89,5,0)</f>
        <v>1.5518253349000589E-14</v>
      </c>
      <c r="CA197" s="14">
        <f t="shared" si="170"/>
        <v>2.8958815659671149E-13</v>
      </c>
      <c r="CB197" s="22">
        <f t="shared" si="171"/>
        <v>5.3139366398878183E-13</v>
      </c>
      <c r="CC197" s="62">
        <f t="shared" si="195"/>
        <v>290.25878253422024</v>
      </c>
      <c r="CD197" s="62">
        <f ca="1">AVERAGE(OFFSET($CC$3,0,0,'Données projet'!$E$12+1,1))-AVERAGE(OFFSET($H$3,0,0,'Données projet'!$E$12+1,1))</f>
        <v>182.44246264133781</v>
      </c>
      <c r="CE197" s="62">
        <f t="shared" ref="CE197:CE203" si="207">$CE$3</f>
        <v>262.5818213397049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0.16743310046614962</v>
      </c>
      <c r="CL197" s="23">
        <f>EXP(-LN(2)/25)*CL196+(1-EXP(-LN(2)/25))/(LN(2)/25)*Calculateur!CG197*Calculateur!CI197*VLOOKUP('Données projet'!$B$12,Paramètres!$A$1:$I$89,3,0)*0.475*44/12</f>
        <v>0.19182492766665526</v>
      </c>
      <c r="CM197" s="23">
        <f>EXP(-LN(2)/2)*CM196+(1-EXP(-LN(2)/2))/(LN(2)/2)*CG197*CJ197*VLOOKUP('Données projet'!$B$12,Paramètres!$A$1:$I$89,3,0)*0.475*44/12</f>
        <v>6.2422130195247136E-28</v>
      </c>
      <c r="CN197" s="24">
        <f t="shared" si="172"/>
        <v>0.35925802813280489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-5.3205440053716299E-14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426.87921482911719</v>
      </c>
      <c r="CZ197" s="62">
        <f t="shared" ref="CZ197:CZ203" si="208">$CZ$3</f>
        <v>313.49594674441835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500.25828825677058</v>
      </c>
      <c r="DU197" s="62">
        <f t="shared" ref="DU197:DU203" si="209">$DU$3</f>
        <v>313.56299786481338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2.7180018695953802E-2</v>
      </c>
      <c r="EC197" s="23">
        <f>EXP(-LN(2)/2)*EC196+(1-EXP(-LN(2)/2))/(LN(2)/2)*DW197*DZ197*VLOOKUP('Données projet'!$B$14,Paramètres!$A$1:$I$89,3,0)*0.475*44/12</f>
        <v>5.1967456838456192E-24</v>
      </c>
      <c r="ED197" s="24">
        <f t="shared" si="178"/>
        <v>2.7180018695953802E-2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548.17046467409421</v>
      </c>
      <c r="EP197" s="62">
        <f t="shared" ref="EP197:EP203" si="210">$EP$3</f>
        <v>341.9250949809848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3.0248730484206725E-2</v>
      </c>
      <c r="EX197" s="23">
        <f>EXP(-LN(2)/2)*EX196+(1-EXP(-LN(2)/2))/(LN(2)/2)*ER197*EU197*VLOOKUP('Données projet'!$B$15,Paramètres!$A$1:$I$89,3,0)*0.475*44/12</f>
        <v>5.7834750352475395E-24</v>
      </c>
      <c r="EY197" s="24">
        <f t="shared" si="181"/>
        <v>3.0248730484206725E-2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472.83070477639035</v>
      </c>
      <c r="T198" s="62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9.4122567703755683E-2</v>
      </c>
      <c r="AB198" s="23">
        <f>EXP(-LN(2)/2)*AB197+(1-EXP(-LN(2)/2))/(LN(2)/2)*V198*Y198*VLOOKUP('Données projet'!$B$9,Paramètres!$A$1:$I$89,3,0)*0.475*44/12</f>
        <v>2.1802005106671286E-24</v>
      </c>
      <c r="AC198" s="24">
        <f t="shared" si="163"/>
        <v>9.4122567703755683E-2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520.80494930257237</v>
      </c>
      <c r="AO198" s="62">
        <f t="shared" si="205"/>
        <v>325.72635759450861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0.1054821879438641</v>
      </c>
      <c r="AW198" s="23">
        <f>EXP(-LN(2)/2)*AW197+(1-EXP(-LN(2)/2))/(LN(2)/2)*AQ198*AT198*VLOOKUP('Données projet'!$B$10,Paramètres!$A$1:$I$89,3,0)*0.475*44/12</f>
        <v>2.4433281585062606E-24</v>
      </c>
      <c r="AX198" s="23">
        <f t="shared" si="166"/>
        <v>0.1054821879438641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6.3550942286383367E-14</v>
      </c>
      <c r="BF198" s="14">
        <f t="shared" si="167"/>
        <v>1.0064464192543978E-12</v>
      </c>
      <c r="BG198" s="22">
        <f t="shared" si="168"/>
        <v>1.8635787380168604E-12</v>
      </c>
      <c r="BH198" s="62">
        <f t="shared" si="194"/>
        <v>290.31211911692037</v>
      </c>
      <c r="BI198" s="62">
        <f ca="1">AVERAGE(OFFSET($BH$3,0,0,'Données projet'!$E$11+1,1))-AVERAGE(OFFSET($H$3,0,0,'Données projet'!$E$11+1,1))</f>
        <v>321.60602866722138</v>
      </c>
      <c r="BJ198" s="62">
        <f t="shared" si="206"/>
        <v>375.18886653687389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0.48781583736550088</v>
      </c>
      <c r="BQ198" s="23">
        <f>EXP(-LN(2)/25)*BQ197+(1-EXP(-LN(2)/25))/(LN(2)/25)*Calculateur!BL198*Calculateur!BN198*VLOOKUP('Données projet'!$B$11,Paramètres!$A$1:$I$89,3,0)*0.475*44/12</f>
        <v>0.16465078149755416</v>
      </c>
      <c r="BR198" s="23">
        <f>EXP(-LN(2)/2)*BR197+(1-EXP(-LN(2)/2))/(LN(2)/2)*BL198*BO198*VLOOKUP('Données projet'!$B$11,Paramètres!$A$1:$I$89,3,0)*0.475*44/12</f>
        <v>1.0706582730902313E-24</v>
      </c>
      <c r="BS198" s="24">
        <f t="shared" si="169"/>
        <v>0.65246661886305501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2.8421709430404007E-14</v>
      </c>
      <c r="BZ198" s="14">
        <f>BY198*VLOOKUP('Données projet'!$B$12,Paramètres!$A$1:$I$89,3,0)*VLOOKUP('Données projet'!$B$12,Paramètres!$A$1:$I$89,5,0)</f>
        <v>1.5518253349000589E-14</v>
      </c>
      <c r="CA198" s="14">
        <f t="shared" si="170"/>
        <v>2.8958815659671149E-13</v>
      </c>
      <c r="CB198" s="22">
        <f t="shared" si="171"/>
        <v>5.3139366398878183E-13</v>
      </c>
      <c r="CC198" s="62">
        <f t="shared" si="195"/>
        <v>290.31211911691901</v>
      </c>
      <c r="CD198" s="62">
        <f ca="1">AVERAGE(OFFSET($CC$3,0,0,'Données projet'!$E$12+1,1))-AVERAGE(OFFSET($H$3,0,0,'Données projet'!$E$12+1,1))</f>
        <v>182.44246264133781</v>
      </c>
      <c r="CE198" s="62">
        <f t="shared" si="207"/>
        <v>262.5818213397049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0.1641498394901158</v>
      </c>
      <c r="CL198" s="23">
        <f>EXP(-LN(2)/25)*CL197+(1-EXP(-LN(2)/25))/(LN(2)/25)*Calculateur!CG198*Calculateur!CI198*VLOOKUP('Données projet'!$B$12,Paramètres!$A$1:$I$89,3,0)*0.475*44/12</f>
        <v>0.18657946493197605</v>
      </c>
      <c r="CM198" s="23">
        <f>EXP(-LN(2)/2)*CM197+(1-EXP(-LN(2)/2))/(LN(2)/2)*CG198*CJ198*VLOOKUP('Données projet'!$B$12,Paramètres!$A$1:$I$89,3,0)*0.475*44/12</f>
        <v>4.4139111557168798E-28</v>
      </c>
      <c r="CN198" s="24">
        <f t="shared" si="172"/>
        <v>0.35072930442209183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-5.3205440053716299E-14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426.87921482911719</v>
      </c>
      <c r="CZ198" s="62">
        <f t="shared" si="208"/>
        <v>313.49594674441835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500.25828825677058</v>
      </c>
      <c r="DU198" s="62">
        <f t="shared" si="209"/>
        <v>313.56299786481338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2.6436779655377881E-2</v>
      </c>
      <c r="EC198" s="23">
        <f>EXP(-LN(2)/2)*EC197+(1-EXP(-LN(2)/2))/(LN(2)/2)*DW198*DZ198*VLOOKUP('Données projet'!$B$14,Paramètres!$A$1:$I$89,3,0)*0.475*44/12</f>
        <v>3.6746541131491594E-24</v>
      </c>
      <c r="ED198" s="24">
        <f t="shared" si="178"/>
        <v>2.6436779655377881E-2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548.17046467409421</v>
      </c>
      <c r="EP198" s="62">
        <f t="shared" si="210"/>
        <v>341.9250949809848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2.9421577358404491E-2</v>
      </c>
      <c r="EX198" s="23">
        <f>EXP(-LN(2)/2)*EX197+(1-EXP(-LN(2)/2))/(LN(2)/2)*ER198*EU198*VLOOKUP('Données projet'!$B$15,Paramètres!$A$1:$I$89,3,0)*0.475*44/12</f>
        <v>4.0895344162466421E-24</v>
      </c>
      <c r="EY198" s="24">
        <f t="shared" si="181"/>
        <v>2.9421577358404491E-2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472.83070477639035</v>
      </c>
      <c r="T199" s="62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9.1548781140205773E-2</v>
      </c>
      <c r="AB199" s="23">
        <f>EXP(-LN(2)/2)*AB198+(1-EXP(-LN(2)/2))/(LN(2)/2)*V199*Y199*VLOOKUP('Données projet'!$B$9,Paramètres!$A$1:$I$89,3,0)*0.475*44/12</f>
        <v>1.5416345654391005E-24</v>
      </c>
      <c r="AC199" s="24">
        <f t="shared" si="163"/>
        <v>9.1548781140205773E-2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520.80494930257237</v>
      </c>
      <c r="AO199" s="62">
        <f t="shared" si="205"/>
        <v>325.72635759450861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0.10259777196747195</v>
      </c>
      <c r="AW199" s="23">
        <f>EXP(-LN(2)/2)*AW198+(1-EXP(-LN(2)/2))/(LN(2)/2)*AQ199*AT199*VLOOKUP('Données projet'!$B$10,Paramètres!$A$1:$I$89,3,0)*0.475*44/12</f>
        <v>1.7276939095438165E-24</v>
      </c>
      <c r="AX199" s="23">
        <f t="shared" si="166"/>
        <v>0.10259777196747195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6.3550942286383367E-14</v>
      </c>
      <c r="BF199" s="14">
        <f t="shared" si="167"/>
        <v>1.0064464192543978E-12</v>
      </c>
      <c r="BG199" s="22">
        <f t="shared" si="168"/>
        <v>1.8635787380168604E-12</v>
      </c>
      <c r="BH199" s="62">
        <f t="shared" si="194"/>
        <v>290.36453042915207</v>
      </c>
      <c r="BI199" s="62">
        <f ca="1">AVERAGE(OFFSET($BH$3,0,0,'Données projet'!$E$11+1,1))-AVERAGE(OFFSET($H$3,0,0,'Données projet'!$E$11+1,1))</f>
        <v>321.60602866722138</v>
      </c>
      <c r="BJ199" s="62">
        <f t="shared" si="206"/>
        <v>375.18886653687389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0.47825006633304473</v>
      </c>
      <c r="BQ199" s="23">
        <f>EXP(-LN(2)/25)*BQ198+(1-EXP(-LN(2)/25))/(LN(2)/25)*Calculateur!BL199*Calculateur!BN199*VLOOKUP('Données projet'!$B$11,Paramètres!$A$1:$I$89,3,0)*0.475*44/12</f>
        <v>0.16014839721889526</v>
      </c>
      <c r="BR199" s="23">
        <f>EXP(-LN(2)/2)*BR198+(1-EXP(-LN(2)/2))/(LN(2)/2)*BL199*BO199*VLOOKUP('Données projet'!$B$11,Paramètres!$A$1:$I$89,3,0)*0.475*44/12</f>
        <v>7.5706972523558107E-25</v>
      </c>
      <c r="BS199" s="24">
        <f t="shared" si="169"/>
        <v>0.63839846355193997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2.8421709430404007E-14</v>
      </c>
      <c r="BZ199" s="14">
        <f>BY199*VLOOKUP('Données projet'!$B$12,Paramètres!$A$1:$I$89,3,0)*VLOOKUP('Données projet'!$B$12,Paramètres!$A$1:$I$89,5,0)</f>
        <v>1.5518253349000589E-14</v>
      </c>
      <c r="CA199" s="14">
        <f t="shared" si="170"/>
        <v>2.8958815659671149E-13</v>
      </c>
      <c r="CB199" s="22">
        <f t="shared" si="171"/>
        <v>5.3139366398878183E-13</v>
      </c>
      <c r="CC199" s="62">
        <f t="shared" si="195"/>
        <v>290.3645304291507</v>
      </c>
      <c r="CD199" s="62">
        <f ca="1">AVERAGE(OFFSET($CC$3,0,0,'Données projet'!$E$12+1,1))-AVERAGE(OFFSET($H$3,0,0,'Données projet'!$E$12+1,1))</f>
        <v>182.44246264133781</v>
      </c>
      <c r="CE199" s="62">
        <f t="shared" si="207"/>
        <v>262.5818213397049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0.16093096125923054</v>
      </c>
      <c r="CL199" s="23">
        <f>EXP(-LN(2)/25)*CL198+(1-EXP(-LN(2)/25))/(LN(2)/25)*Calculateur!CG199*Calculateur!CI199*VLOOKUP('Données projet'!$B$12,Paramètres!$A$1:$I$89,3,0)*0.475*44/12</f>
        <v>0.18147743965162355</v>
      </c>
      <c r="CM199" s="23">
        <f>EXP(-LN(2)/2)*CM198+(1-EXP(-LN(2)/2))/(LN(2)/2)*CG199*CJ199*VLOOKUP('Données projet'!$B$12,Paramètres!$A$1:$I$89,3,0)*0.475*44/12</f>
        <v>3.1211065097623568E-28</v>
      </c>
      <c r="CN199" s="24">
        <f t="shared" si="172"/>
        <v>0.34240840091085412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-5.3205440053716299E-14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426.87921482911719</v>
      </c>
      <c r="CZ199" s="62">
        <f t="shared" si="208"/>
        <v>313.49594674441835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500.25828825677058</v>
      </c>
      <c r="DU199" s="62">
        <f t="shared" si="209"/>
        <v>313.56299786481338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2.5713864525451754E-2</v>
      </c>
      <c r="EC199" s="23">
        <f>EXP(-LN(2)/2)*EC198+(1-EXP(-LN(2)/2))/(LN(2)/2)*DW199*DZ199*VLOOKUP('Données projet'!$B$14,Paramètres!$A$1:$I$89,3,0)*0.475*44/12</f>
        <v>2.5983728419228096E-24</v>
      </c>
      <c r="ED199" s="24">
        <f t="shared" si="178"/>
        <v>2.5713864525451754E-2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548.17046467409421</v>
      </c>
      <c r="EP199" s="62">
        <f t="shared" si="210"/>
        <v>341.9250949809848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2.861704277832541E-2</v>
      </c>
      <c r="EX199" s="23">
        <f>EXP(-LN(2)/2)*EX198+(1-EXP(-LN(2)/2))/(LN(2)/2)*ER199*EU199*VLOOKUP('Données projet'!$B$15,Paramètres!$A$1:$I$89,3,0)*0.475*44/12</f>
        <v>2.8917375176237698E-24</v>
      </c>
      <c r="EY199" s="24">
        <f t="shared" si="181"/>
        <v>2.861704277832541E-2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472.83070477639035</v>
      </c>
      <c r="T200" s="62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8.9045374905585686E-2</v>
      </c>
      <c r="AB200" s="23">
        <f>EXP(-LN(2)/2)*AB199+(1-EXP(-LN(2)/2))/(LN(2)/2)*V200*Y200*VLOOKUP('Données projet'!$B$9,Paramètres!$A$1:$I$89,3,0)*0.475*44/12</f>
        <v>1.0901002553335643E-24</v>
      </c>
      <c r="AC200" s="24">
        <f t="shared" si="163"/>
        <v>8.9045374905585686E-2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520.80494930257237</v>
      </c>
      <c r="AO200" s="62">
        <f t="shared" si="205"/>
        <v>325.72635759450861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9.9792230497639092E-2</v>
      </c>
      <c r="AW200" s="23">
        <f>EXP(-LN(2)/2)*AW199+(1-EXP(-LN(2)/2))/(LN(2)/2)*AQ200*AT200*VLOOKUP('Données projet'!$B$10,Paramètres!$A$1:$I$89,3,0)*0.475*44/12</f>
        <v>1.2216640792531303E-24</v>
      </c>
      <c r="AX200" s="23">
        <f t="shared" si="166"/>
        <v>9.9792230497639092E-2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6.3550942286383367E-14</v>
      </c>
      <c r="BF200" s="14">
        <f t="shared" si="167"/>
        <v>1.0064464192543978E-12</v>
      </c>
      <c r="BG200" s="22">
        <f t="shared" si="168"/>
        <v>1.8635787380168604E-12</v>
      </c>
      <c r="BH200" s="62">
        <f t="shared" si="194"/>
        <v>290.41603252229066</v>
      </c>
      <c r="BI200" s="62">
        <f ca="1">AVERAGE(OFFSET($BH$3,0,0,'Données projet'!$E$11+1,1))-AVERAGE(OFFSET($H$3,0,0,'Données projet'!$E$11+1,1))</f>
        <v>321.60602866722138</v>
      </c>
      <c r="BJ200" s="62">
        <f t="shared" si="206"/>
        <v>375.18886653687389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0.46887187423599086</v>
      </c>
      <c r="BQ200" s="23">
        <f>EXP(-LN(2)/25)*BQ199+(1-EXP(-LN(2)/25))/(LN(2)/25)*Calculateur!BL200*Calculateur!BN200*VLOOKUP('Données projet'!$B$11,Paramètres!$A$1:$I$89,3,0)*0.475*44/12</f>
        <v>0.15576913087510638</v>
      </c>
      <c r="BR200" s="23">
        <f>EXP(-LN(2)/2)*BR199+(1-EXP(-LN(2)/2))/(LN(2)/2)*BL200*BO200*VLOOKUP('Données projet'!$B$11,Paramètres!$A$1:$I$89,3,0)*0.475*44/12</f>
        <v>5.3532913654511567E-25</v>
      </c>
      <c r="BS200" s="24">
        <f t="shared" si="169"/>
        <v>0.62464100511109721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2.8421709430404007E-14</v>
      </c>
      <c r="BZ200" s="14">
        <f>BY200*VLOOKUP('Données projet'!$B$12,Paramètres!$A$1:$I$89,3,0)*VLOOKUP('Données projet'!$B$12,Paramètres!$A$1:$I$89,5,0)</f>
        <v>1.5518253349000589E-14</v>
      </c>
      <c r="CA200" s="14">
        <f t="shared" si="170"/>
        <v>2.8958815659671149E-13</v>
      </c>
      <c r="CB200" s="22">
        <f t="shared" si="171"/>
        <v>5.3139366398878183E-13</v>
      </c>
      <c r="CC200" s="62">
        <f t="shared" si="195"/>
        <v>290.4160325222893</v>
      </c>
      <c r="CD200" s="62">
        <f ca="1">AVERAGE(OFFSET($CC$3,0,0,'Données projet'!$E$12+1,1))-AVERAGE(OFFSET($H$3,0,0,'Données projet'!$E$12+1,1))</f>
        <v>182.44246264133781</v>
      </c>
      <c r="CE200" s="62">
        <f t="shared" si="207"/>
        <v>262.5818213397049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0.15777520326713107</v>
      </c>
      <c r="CL200" s="23">
        <f>EXP(-LN(2)/25)*CL199+(1-EXP(-LN(2)/25))/(LN(2)/25)*Calculateur!CG200*Calculateur!CI200*VLOOKUP('Données projet'!$B$12,Paramètres!$A$1:$I$89,3,0)*0.475*44/12</f>
        <v>0.17651492952086612</v>
      </c>
      <c r="CM200" s="23">
        <f>EXP(-LN(2)/2)*CM199+(1-EXP(-LN(2)/2))/(LN(2)/2)*CG200*CJ200*VLOOKUP('Données projet'!$B$12,Paramètres!$A$1:$I$89,3,0)*0.475*44/12</f>
        <v>2.2069555778584399E-28</v>
      </c>
      <c r="CN200" s="24">
        <f t="shared" si="172"/>
        <v>0.33429013278799719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-5.3205440053716299E-14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426.87921482911719</v>
      </c>
      <c r="CZ200" s="62">
        <f t="shared" si="208"/>
        <v>313.49594674441835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500.25828825677058</v>
      </c>
      <c r="DU200" s="62">
        <f t="shared" si="209"/>
        <v>313.56299786481338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2.5010717547769911E-2</v>
      </c>
      <c r="EC200" s="23">
        <f>EXP(-LN(2)/2)*EC199+(1-EXP(-LN(2)/2))/(LN(2)/2)*DW200*DZ200*VLOOKUP('Données projet'!$B$14,Paramètres!$A$1:$I$89,3,0)*0.475*44/12</f>
        <v>1.8373270565745797E-24</v>
      </c>
      <c r="ED200" s="24">
        <f t="shared" si="178"/>
        <v>2.5010717547769911E-2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548.17046467409421</v>
      </c>
      <c r="EP200" s="62">
        <f t="shared" si="210"/>
        <v>341.9250949809848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2.7834508238647228E-2</v>
      </c>
      <c r="EX200" s="23">
        <f>EXP(-LN(2)/2)*EX199+(1-EXP(-LN(2)/2))/(LN(2)/2)*ER200*EU200*VLOOKUP('Données projet'!$B$15,Paramètres!$A$1:$I$89,3,0)*0.475*44/12</f>
        <v>2.044767208123321E-24</v>
      </c>
      <c r="EY200" s="24">
        <f t="shared" si="181"/>
        <v>2.7834508238647228E-2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472.83070477639035</v>
      </c>
      <c r="T201" s="62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8.661042444609969E-2</v>
      </c>
      <c r="AB201" s="23">
        <f>EXP(-LN(2)/2)*AB200+(1-EXP(-LN(2)/2))/(LN(2)/2)*V201*Y201*VLOOKUP('Données projet'!$B$9,Paramètres!$A$1:$I$89,3,0)*0.475*44/12</f>
        <v>7.7081728271955023E-25</v>
      </c>
      <c r="AC201" s="24">
        <f t="shared" si="163"/>
        <v>8.661042444609969E-2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520.80494930257237</v>
      </c>
      <c r="AO201" s="62">
        <f t="shared" si="205"/>
        <v>325.72635759450861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9.7063406706835831E-2</v>
      </c>
      <c r="AW201" s="23">
        <f>EXP(-LN(2)/2)*AW200+(1-EXP(-LN(2)/2))/(LN(2)/2)*AQ201*AT201*VLOOKUP('Données projet'!$B$10,Paramètres!$A$1:$I$89,3,0)*0.475*44/12</f>
        <v>8.6384695477190824E-25</v>
      </c>
      <c r="AX201" s="23">
        <f t="shared" si="166"/>
        <v>9.7063406706835831E-2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6.3550942286383367E-14</v>
      </c>
      <c r="BF201" s="14">
        <f t="shared" si="167"/>
        <v>1.0064464192543978E-12</v>
      </c>
      <c r="BG201" s="22">
        <f t="shared" si="168"/>
        <v>1.8635787380168604E-12</v>
      </c>
      <c r="BH201" s="62">
        <f t="shared" si="194"/>
        <v>290.46664116925479</v>
      </c>
      <c r="BI201" s="62">
        <f ca="1">AVERAGE(OFFSET($BH$3,0,0,'Données projet'!$E$11+1,1))-AVERAGE(OFFSET($H$3,0,0,'Données projet'!$E$11+1,1))</f>
        <v>321.60602866722138</v>
      </c>
      <c r="BJ201" s="62">
        <f t="shared" si="206"/>
        <v>375.18886653687389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0.45967758276582782</v>
      </c>
      <c r="BQ201" s="23">
        <f>EXP(-LN(2)/25)*BQ200+(1-EXP(-LN(2)/25))/(LN(2)/25)*Calculateur!BL201*Calculateur!BN201*VLOOKUP('Données projet'!$B$11,Paramètres!$A$1:$I$89,3,0)*0.475*44/12</f>
        <v>0.15150961579978403</v>
      </c>
      <c r="BR201" s="23">
        <f>EXP(-LN(2)/2)*BR200+(1-EXP(-LN(2)/2))/(LN(2)/2)*BL201*BO201*VLOOKUP('Données projet'!$B$11,Paramètres!$A$1:$I$89,3,0)*0.475*44/12</f>
        <v>3.7853486261779053E-25</v>
      </c>
      <c r="BS201" s="24">
        <f t="shared" si="169"/>
        <v>0.61118719856561188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2.8421709430404007E-14</v>
      </c>
      <c r="BZ201" s="14">
        <f>BY201*VLOOKUP('Données projet'!$B$12,Paramètres!$A$1:$I$89,3,0)*VLOOKUP('Données projet'!$B$12,Paramètres!$A$1:$I$89,5,0)</f>
        <v>1.5518253349000589E-14</v>
      </c>
      <c r="CA201" s="14">
        <f t="shared" si="170"/>
        <v>2.8958815659671149E-13</v>
      </c>
      <c r="CB201" s="22">
        <f t="shared" si="171"/>
        <v>5.3139366398878183E-13</v>
      </c>
      <c r="CC201" s="62">
        <f t="shared" si="195"/>
        <v>290.46664116925342</v>
      </c>
      <c r="CD201" s="62">
        <f ca="1">AVERAGE(OFFSET($CC$3,0,0,'Données projet'!$E$12+1,1))-AVERAGE(OFFSET($H$3,0,0,'Données projet'!$E$12+1,1))</f>
        <v>182.44246264133781</v>
      </c>
      <c r="CE201" s="62">
        <f t="shared" si="207"/>
        <v>262.5818213397049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0.15468132776443436</v>
      </c>
      <c r="CL201" s="23">
        <f>EXP(-LN(2)/25)*CL200+(1-EXP(-LN(2)/25))/(LN(2)/25)*Calculateur!CG201*Calculateur!CI201*VLOOKUP('Données projet'!$B$12,Paramètres!$A$1:$I$89,3,0)*0.475*44/12</f>
        <v>0.17168811949060131</v>
      </c>
      <c r="CM201" s="23">
        <f>EXP(-LN(2)/2)*CM200+(1-EXP(-LN(2)/2))/(LN(2)/2)*CG201*CJ201*VLOOKUP('Données projet'!$B$12,Paramètres!$A$1:$I$89,3,0)*0.475*44/12</f>
        <v>1.5605532548811784E-28</v>
      </c>
      <c r="CN201" s="24">
        <f t="shared" si="172"/>
        <v>0.32636944725503569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-5.3205440053716299E-14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426.87921482911719</v>
      </c>
      <c r="CZ201" s="62">
        <f t="shared" si="208"/>
        <v>313.49594674441835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500.25828825677058</v>
      </c>
      <c r="DU201" s="62">
        <f t="shared" si="209"/>
        <v>313.56299786481338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2.4326798161169668E-2</v>
      </c>
      <c r="EC201" s="23">
        <f>EXP(-LN(2)/2)*EC200+(1-EXP(-LN(2)/2))/(LN(2)/2)*DW201*DZ201*VLOOKUP('Données projet'!$B$14,Paramètres!$A$1:$I$89,3,0)*0.475*44/12</f>
        <v>1.2991864209614048E-24</v>
      </c>
      <c r="ED201" s="24">
        <f t="shared" si="178"/>
        <v>2.4326798161169668E-2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548.17046467409421</v>
      </c>
      <c r="EP201" s="62">
        <f t="shared" si="210"/>
        <v>341.9250949809848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2.7073372147108248E-2</v>
      </c>
      <c r="EX201" s="23">
        <f>EXP(-LN(2)/2)*EX200+(1-EXP(-LN(2)/2))/(LN(2)/2)*ER201*EU201*VLOOKUP('Données projet'!$B$15,Paramètres!$A$1:$I$89,3,0)*0.475*44/12</f>
        <v>1.4458687588118849E-24</v>
      </c>
      <c r="EY201" s="24">
        <f t="shared" si="181"/>
        <v>2.7073372147108248E-2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472.83070477639035</v>
      </c>
      <c r="T202" s="62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8.4242057834976819E-2</v>
      </c>
      <c r="AB202" s="23">
        <f>EXP(-LN(2)/2)*AB201+(1-EXP(-LN(2)/2))/(LN(2)/2)*V202*Y202*VLOOKUP('Données projet'!$B$9,Paramètres!$A$1:$I$89,3,0)*0.475*44/12</f>
        <v>5.4505012766678214E-25</v>
      </c>
      <c r="AC202" s="24">
        <f t="shared" si="163"/>
        <v>8.4242057834976819E-2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520.80494930257237</v>
      </c>
      <c r="AO202" s="62">
        <f t="shared" si="205"/>
        <v>325.72635759450861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9.4409202746094684E-2</v>
      </c>
      <c r="AW202" s="23">
        <f>EXP(-LN(2)/2)*AW201+(1-EXP(-LN(2)/2))/(LN(2)/2)*AQ202*AT202*VLOOKUP('Données projet'!$B$10,Paramètres!$A$1:$I$89,3,0)*0.475*44/12</f>
        <v>6.1083203962656514E-25</v>
      </c>
      <c r="AX202" s="23">
        <f t="shared" si="166"/>
        <v>9.4409202746094684E-2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6.3550942286383367E-14</v>
      </c>
      <c r="BF202" s="14">
        <f t="shared" si="167"/>
        <v>1.0064464192543978E-12</v>
      </c>
      <c r="BG202" s="22">
        <f t="shared" si="168"/>
        <v>1.8635787380168604E-12</v>
      </c>
      <c r="BH202" s="62">
        <f t="shared" si="194"/>
        <v>290.516371869338</v>
      </c>
      <c r="BI202" s="62">
        <f ca="1">AVERAGE(OFFSET($BH$3,0,0,'Données projet'!$E$11+1,1))-AVERAGE(OFFSET($H$3,0,0,'Données projet'!$E$11+1,1))</f>
        <v>321.60602866722138</v>
      </c>
      <c r="BJ202" s="62">
        <f t="shared" si="206"/>
        <v>375.18886653687389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0.45066358574343063</v>
      </c>
      <c r="BQ202" s="23">
        <f>EXP(-LN(2)/25)*BQ201+(1-EXP(-LN(2)/25))/(LN(2)/25)*Calculateur!BL202*Calculateur!BN202*VLOOKUP('Données projet'!$B$11,Paramètres!$A$1:$I$89,3,0)*0.475*44/12</f>
        <v>0.14736657738819453</v>
      </c>
      <c r="BR202" s="23">
        <f>EXP(-LN(2)/2)*BR201+(1-EXP(-LN(2)/2))/(LN(2)/2)*BL202*BO202*VLOOKUP('Données projet'!$B$11,Paramètres!$A$1:$I$89,3,0)*0.475*44/12</f>
        <v>2.6766456827255784E-25</v>
      </c>
      <c r="BS202" s="24">
        <f t="shared" si="169"/>
        <v>0.59803016313162516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2.8421709430404007E-14</v>
      </c>
      <c r="BZ202" s="14">
        <f>BY202*VLOOKUP('Données projet'!$B$12,Paramètres!$A$1:$I$89,3,0)*VLOOKUP('Données projet'!$B$12,Paramètres!$A$1:$I$89,5,0)</f>
        <v>1.5518253349000589E-14</v>
      </c>
      <c r="CA202" s="14">
        <f t="shared" si="170"/>
        <v>2.8958815659671149E-13</v>
      </c>
      <c r="CB202" s="22">
        <f t="shared" si="171"/>
        <v>5.3139366398878183E-13</v>
      </c>
      <c r="CC202" s="62">
        <f t="shared" si="195"/>
        <v>290.51637186933664</v>
      </c>
      <c r="CD202" s="62">
        <f ca="1">AVERAGE(OFFSET($CC$3,0,0,'Données projet'!$E$12+1,1))-AVERAGE(OFFSET($H$3,0,0,'Données projet'!$E$12+1,1))</f>
        <v>182.44246264133781</v>
      </c>
      <c r="CE202" s="62">
        <f t="shared" si="207"/>
        <v>262.5818213397049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0.15164812127326782</v>
      </c>
      <c r="CL202" s="23">
        <f>EXP(-LN(2)/25)*CL201+(1-EXP(-LN(2)/25))/(LN(2)/25)*Calculateur!CG202*Calculateur!CI202*VLOOKUP('Données projet'!$B$12,Paramètres!$A$1:$I$89,3,0)*0.475*44/12</f>
        <v>0.166993298834445</v>
      </c>
      <c r="CM202" s="23">
        <f>EXP(-LN(2)/2)*CM201+(1-EXP(-LN(2)/2))/(LN(2)/2)*CG202*CJ202*VLOOKUP('Données projet'!$B$12,Paramètres!$A$1:$I$89,3,0)*0.475*44/12</f>
        <v>1.1034777889292199E-28</v>
      </c>
      <c r="CN202" s="24">
        <f t="shared" si="172"/>
        <v>0.31864142010771279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-5.3205440053716299E-14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426.87921482911719</v>
      </c>
      <c r="CZ202" s="62">
        <f t="shared" si="208"/>
        <v>313.49594674441835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500.25828825677058</v>
      </c>
      <c r="DU202" s="62">
        <f t="shared" si="209"/>
        <v>313.56299786481338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2.3661580586161766E-2</v>
      </c>
      <c r="EC202" s="23">
        <f>EXP(-LN(2)/2)*EC201+(1-EXP(-LN(2)/2))/(LN(2)/2)*DW202*DZ202*VLOOKUP('Données projet'!$B$14,Paramètres!$A$1:$I$89,3,0)*0.475*44/12</f>
        <v>9.1866352828728986E-25</v>
      </c>
      <c r="ED202" s="24">
        <f t="shared" si="178"/>
        <v>2.3661580586161766E-2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548.17046467409421</v>
      </c>
      <c r="EP202" s="62">
        <f t="shared" si="210"/>
        <v>341.9250949809848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2.6333049362018808E-2</v>
      </c>
      <c r="EX202" s="23">
        <f>EXP(-LN(2)/2)*EX201+(1-EXP(-LN(2)/2))/(LN(2)/2)*ER202*EU202*VLOOKUP('Données projet'!$B$15,Paramètres!$A$1:$I$89,3,0)*0.475*44/12</f>
        <v>1.0223836040616605E-24</v>
      </c>
      <c r="EY202" s="24">
        <f t="shared" si="181"/>
        <v>2.6333049362018808E-2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472.83070477639035</v>
      </c>
      <c r="T203" s="62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8.1938454333382094E-2</v>
      </c>
      <c r="AB203" s="23">
        <f>EXP(-LN(2)/2)*AB202+(1-EXP(-LN(2)/2))/(LN(2)/2)*V203*Y203*VLOOKUP('Données projet'!$B$9,Paramètres!$A$1:$I$89,3,0)*0.475*44/12</f>
        <v>3.8540864135977511E-25</v>
      </c>
      <c r="AC203" s="24">
        <f t="shared" si="163"/>
        <v>8.1938454333382094E-2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520.80494930257237</v>
      </c>
      <c r="AO203" s="62">
        <f t="shared" si="205"/>
        <v>325.72635759450861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9.1827578132238533E-2</v>
      </c>
      <c r="AW203" s="23">
        <f>EXP(-LN(2)/2)*AW202+(1-EXP(-LN(2)/2))/(LN(2)/2)*AQ203*AT203*VLOOKUP('Données projet'!$B$10,Paramètres!$A$1:$I$89,3,0)*0.475*44/12</f>
        <v>4.3192347738595412E-25</v>
      </c>
      <c r="AX203" s="23">
        <f t="shared" si="166"/>
        <v>9.1827578132238533E-2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6.3550942286383367E-14</v>
      </c>
      <c r="BF203" s="14">
        <f t="shared" si="167"/>
        <v>1.0064464192543978E-12</v>
      </c>
      <c r="BG203" s="22">
        <f t="shared" si="168"/>
        <v>1.8635787380168604E-12</v>
      </c>
      <c r="BH203" s="62">
        <f t="shared" si="194"/>
        <v>290.56523985295598</v>
      </c>
      <c r="BI203" s="62">
        <f ca="1">AVERAGE(OFFSET($BH$3,0,0,'Données projet'!$E$11+1,1))-AVERAGE(OFFSET($H$3,0,0,'Données projet'!$E$11+1,1))</f>
        <v>321.60602866722138</v>
      </c>
      <c r="BJ203" s="62">
        <f t="shared" si="206"/>
        <v>375.18886653687389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0.44182634770464735</v>
      </c>
      <c r="BQ203" s="23">
        <f>EXP(-LN(2)/25)*BQ202+(1-EXP(-LN(2)/25))/(LN(2)/25)*Calculateur!BL203*Calculateur!BN203*VLOOKUP('Données projet'!$B$11,Paramètres!$A$1:$I$89,3,0)*0.475*44/12</f>
        <v>0.14333683057984287</v>
      </c>
      <c r="BR203" s="23">
        <f>EXP(-LN(2)/2)*BR202+(1-EXP(-LN(2)/2))/(LN(2)/2)*BL203*BO203*VLOOKUP('Données projet'!$B$11,Paramètres!$A$1:$I$89,3,0)*0.475*44/12</f>
        <v>1.8926743130889527E-25</v>
      </c>
      <c r="BS203" s="24">
        <f t="shared" si="169"/>
        <v>0.58516317828449016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2.8421709430404007E-14</v>
      </c>
      <c r="BZ203" s="14">
        <f>BY203*VLOOKUP('Données projet'!$B$12,Paramètres!$A$1:$I$89,3,0)*VLOOKUP('Données projet'!$B$12,Paramètres!$A$1:$I$89,5,0)</f>
        <v>1.5518253349000589E-14</v>
      </c>
      <c r="CA203" s="14">
        <f t="shared" si="170"/>
        <v>2.8958815659671149E-13</v>
      </c>
      <c r="CB203" s="22">
        <f t="shared" si="171"/>
        <v>5.3139366398878183E-13</v>
      </c>
      <c r="CC203" s="62">
        <f t="shared" si="195"/>
        <v>290.56523985295462</v>
      </c>
      <c r="CD203" s="62">
        <f ca="1">AVERAGE(OFFSET($CC$3,0,0,'Données projet'!$E$12+1,1))-AVERAGE(OFFSET($H$3,0,0,'Données projet'!$E$12+1,1))</f>
        <v>182.44246264133781</v>
      </c>
      <c r="CE203" s="62">
        <f t="shared" si="207"/>
        <v>262.5818213397049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0.14867439411131977</v>
      </c>
      <c r="CL203" s="23">
        <f>EXP(-LN(2)/25)*CL202+(1-EXP(-LN(2)/25))/(LN(2)/25)*Calculateur!CG203*Calculateur!CI203*VLOOKUP('Données projet'!$B$12,Paramètres!$A$1:$I$89,3,0)*0.475*44/12</f>
        <v>0.16242685829602119</v>
      </c>
      <c r="CM203" s="23">
        <f>EXP(-LN(2)/2)*CM202+(1-EXP(-LN(2)/2))/(LN(2)/2)*CG203*CJ203*VLOOKUP('Données projet'!$B$12,Paramètres!$A$1:$I$89,3,0)*0.475*44/12</f>
        <v>7.802766274405892E-29</v>
      </c>
      <c r="CN203" s="24">
        <f t="shared" si="172"/>
        <v>0.31110125240734099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-5.3205440053716299E-14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426.87921482911719</v>
      </c>
      <c r="CZ203" s="62">
        <f t="shared" si="208"/>
        <v>313.49594674441835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500.25828825677058</v>
      </c>
      <c r="DU203" s="62">
        <f t="shared" si="209"/>
        <v>313.56299786481338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2.3014553420724729E-2</v>
      </c>
      <c r="EC203" s="23">
        <f>EXP(-LN(2)/2)*EC202+(1-EXP(-LN(2)/2))/(LN(2)/2)*DW203*DZ203*VLOOKUP('Données projet'!$B$14,Paramètres!$A$1:$I$89,3,0)*0.475*44/12</f>
        <v>6.4959321048070239E-25</v>
      </c>
      <c r="ED203" s="24">
        <f t="shared" si="178"/>
        <v>2.3014553420724729E-2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548.17046467409421</v>
      </c>
      <c r="EP203" s="62">
        <f t="shared" si="210"/>
        <v>341.9250949809848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2.5612970742419524E-2</v>
      </c>
      <c r="EX203" s="23">
        <f>EXP(-LN(2)/2)*EX202+(1-EXP(-LN(2)/2))/(LN(2)/2)*ER203*EU203*VLOOKUP('Données projet'!$B$15,Paramètres!$A$1:$I$89,3,0)*0.475*44/12</f>
        <v>7.2293437940594244E-25</v>
      </c>
      <c r="EY203" s="24">
        <f t="shared" si="181"/>
        <v>2.5612970742419524E-2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1.3037606943669584</v>
      </c>
      <c r="BV205" s="88">
        <f>EXP(LN('Données projet'!B114)/'Données projet'!A114)</f>
        <v>1.4228132198218728</v>
      </c>
      <c r="CQ205" s="88">
        <f>EXP(LN('Données projet'!B140)/'Données projet'!A140)</f>
        <v>1.2880503926580862</v>
      </c>
      <c r="DL205" s="88">
        <f>EXP(LN('Données projet'!B166)/'Données projet'!A166)</f>
        <v>1.2392705892426346</v>
      </c>
      <c r="EG205" s="88">
        <f>EXP(LN('Données projet'!B192)/'Données projet'!A192)</f>
        <v>1.2392705892426346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4.8959999999999999</v>
      </c>
      <c r="C6" s="156">
        <f ca="1">IF(OR('Données projet'!B9="",'Données projet'!C9="",'Données projet'!C9=0%),0,Calculateur!S3)</f>
        <v>472.83070477639035</v>
      </c>
      <c r="D6" s="156">
        <f>IF(OR('Données projet'!B9="",'Données projet'!C9="",'Données projet'!C9=0%),0,Calculateur!T3)</f>
        <v>297.32483725004136</v>
      </c>
      <c r="E6" s="156">
        <f ca="1">MIN(C6,D6)</f>
        <v>297.32483725004136</v>
      </c>
      <c r="F6" s="156">
        <f ca="1">E6*B6</f>
        <v>1455.7024031762026</v>
      </c>
      <c r="G6" s="156">
        <f ca="1">F6*(100%-'Données projet'!$C$24)*(100%-'Données projet'!$C$25)*(100%-'Données projet'!$C$26)*(100%-'Données projet'!$C$27)</f>
        <v>1310.1321628585824</v>
      </c>
      <c r="H6" s="157">
        <f>IF(OR('Données projet'!B9="",'Données projet'!C9="",'Données projet'!C9=0%),0,AVERAGE(Calculateur!$AC$3:$AC$33)*B6)</f>
        <v>13.914959527249188</v>
      </c>
      <c r="I6" s="158">
        <f>H6*(100%-'Données projet'!$C$24)*(100%-'Données projet'!$C$25)*(100%-'Données projet'!$C$26)*(100%-'Données projet'!$C$27)</f>
        <v>12.52346357452427</v>
      </c>
      <c r="J6" s="159">
        <f>IF(OR('Données projet'!B9="",'Données projet'!C9="",'Données projet'!C9=0%),0,SUM(Calculateur!$V$3:$V$33)*VLOOKUP('Données projet'!$B$9,Paramètres!$A$1:$I$89,9,0)*B6)</f>
        <v>75.888000000000005</v>
      </c>
      <c r="K6" s="160">
        <f>J6*(100%-'Données projet'!$C$24)*(100%-'Données projet'!$C$25)*(100%-'Données projet'!$C$26)*(100%-'Données projet'!$C$27)</f>
        <v>68.299200000000013</v>
      </c>
      <c r="L6" s="161">
        <f ca="1">G6+I6+K6</f>
        <v>1390.9548264331065</v>
      </c>
      <c r="M6" s="25">
        <v>255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0.76800000000000002</v>
      </c>
      <c r="C7" s="156">
        <f ca="1">IF(OR('Données projet'!B10="",'Données projet'!C10="",'Données projet'!C10=0%),0,Calculateur!AN3)</f>
        <v>520.80494930257237</v>
      </c>
      <c r="D7" s="156">
        <f>IF(OR('Données projet'!B10="",'Données projet'!C10="",'Données projet'!C10=0%),0,Calculateur!AO3)</f>
        <v>325.72635759450861</v>
      </c>
      <c r="E7" s="156">
        <f t="shared" ref="E7:E15" ca="1" si="0">MIN(C7,D7)</f>
        <v>325.72635759450861</v>
      </c>
      <c r="F7" s="156">
        <f t="shared" ref="F7:F15" ca="1" si="1">E7*B7</f>
        <v>250.15784263258263</v>
      </c>
      <c r="G7" s="156">
        <f ca="1">F7*(100%-'Données projet'!$C$24)*(100%-'Données projet'!$C$25)*(100%-'Données projet'!$C$26)*(100%-'Données projet'!$C$27)</f>
        <v>225.14205836932436</v>
      </c>
      <c r="H7" s="164">
        <f>IF(OR('Données projet'!B10="",'Données projet'!C10="",'Données projet'!C10=0%),0,AVERAGE(Calculateur!$AX$3:$AX$33)*B7)</f>
        <v>2.4461727363656451</v>
      </c>
      <c r="I7" s="158">
        <f>H7*(100%-'Données projet'!$C$24)*(100%-'Données projet'!$C$25)*(100%-'Données projet'!$C$26)*(100%-'Données projet'!$C$27)</f>
        <v>2.2015554627290808</v>
      </c>
      <c r="J7" s="159">
        <f>IF(OR('Données projet'!B10="",'Données projet'!C10="",'Données projet'!C10=0%),0,SUM(Calculateur!$AQ$3:$AQ$33)*VLOOKUP('Données projet'!$B$10,Paramètres!$A$1:$I$89,9,0)*B7)</f>
        <v>11.904</v>
      </c>
      <c r="K7" s="160">
        <f>J7*(100%-'Données projet'!$C$24)*(100%-'Données projet'!$C$25)*(100%-'Données projet'!$C$26)*(100%-'Données projet'!$C$27)</f>
        <v>10.7136</v>
      </c>
      <c r="L7" s="161">
        <f t="shared" ref="L7:L15" ca="1" si="2">G7+I7+K7</f>
        <v>238.05721383205343</v>
      </c>
      <c r="M7" s="25">
        <f ca="1">L7/B7</f>
        <v>309.97033051048624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1.8815999999999999</v>
      </c>
      <c r="C8" s="156">
        <f ca="1">IF(OR('Données projet'!B11="",'Données projet'!C11="",'Données projet'!C11=0%),0,Calculateur!BI3)</f>
        <v>321.60602866722138</v>
      </c>
      <c r="D8" s="156">
        <f>IF(OR('Données projet'!B11="",'Données projet'!C11="",'Données projet'!C11=0%),0,Calculateur!BJ3)</f>
        <v>375.18886653687389</v>
      </c>
      <c r="E8" s="156">
        <f t="shared" ca="1" si="0"/>
        <v>321.60602866722138</v>
      </c>
      <c r="F8" s="156">
        <f t="shared" ca="1" si="1"/>
        <v>605.13390354024375</v>
      </c>
      <c r="G8" s="156">
        <f ca="1">F8*(100%-'Données projet'!$C$24)*(100%-'Données projet'!$C$25)*(100%-'Données projet'!$C$26)*(100%-'Données projet'!$C$27)</f>
        <v>544.62051318621934</v>
      </c>
      <c r="H8" s="164">
        <f>IF(OR('Données projet'!B11="",'Données projet'!C11="",'Données projet'!C11=0%),0,AVERAGE(Calculateur!$BS$3:$BS$33)*B8)</f>
        <v>16.35674155886009</v>
      </c>
      <c r="I8" s="158">
        <f>H8*(100%-'Données projet'!$C$24)*(100%-'Données projet'!$C$25)*(100%-'Données projet'!$C$26)*(100%-'Données projet'!$C$27)</f>
        <v>14.721067402974082</v>
      </c>
      <c r="J8" s="159">
        <f>IF(OR('Données projet'!B11="",'Données projet'!C11="",'Données projet'!C11=0%),0,SUM(Calculateur!$BL$3:$BL$33)*VLOOKUP('Données projet'!$B$11,Paramètres!$A$1:$I$89,9,0)*B8)</f>
        <v>106.95334271999999</v>
      </c>
      <c r="K8" s="160">
        <f>J8*(100%-'Données projet'!$C$24)*(100%-'Données projet'!$C$25)*(100%-'Données projet'!$C$26)*(100%-'Données projet'!$C$27)</f>
        <v>96.258008447999998</v>
      </c>
      <c r="L8" s="161">
        <f t="shared" ca="1" si="2"/>
        <v>655.59958903719348</v>
      </c>
      <c r="M8" s="25">
        <f ca="1">L8/B8</f>
        <v>348.42665233694385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Mélèze hybride</v>
      </c>
      <c r="B9" s="163">
        <f>'Données projet'!D12</f>
        <v>0.624</v>
      </c>
      <c r="C9" s="156">
        <f ca="1">IF(OR('Données projet'!B12="",'Données projet'!C12="",'Données projet'!C12=0%),0,Calculateur!CD3)</f>
        <v>182.44246264133781</v>
      </c>
      <c r="D9" s="156">
        <f>IF(OR('Données projet'!B12="",'Données projet'!C12="",'Données projet'!C12=0%),0,Calculateur!CE3)</f>
        <v>262.5818213397049</v>
      </c>
      <c r="E9" s="156">
        <f t="shared" ca="1" si="0"/>
        <v>182.44246264133781</v>
      </c>
      <c r="F9" s="156">
        <f t="shared" ca="1" si="1"/>
        <v>113.8440966881948</v>
      </c>
      <c r="G9" s="156">
        <f ca="1">F9*(100%-'Données projet'!$C$24)*(100%-'Données projet'!$C$25)*(100%-'Données projet'!$C$26)*(100%-'Données projet'!$C$27)</f>
        <v>102.45968701937532</v>
      </c>
      <c r="H9" s="164">
        <f>IF(OR('Données projet'!B12="",'Données projet'!C12="",'Données projet'!C12=0%),0,AVERAGE(Calculateur!$CN$3:$CN$33)*B9)</f>
        <v>5.7189995477143087</v>
      </c>
      <c r="I9" s="158">
        <f>H9*(100%-'Données projet'!$C$24)*(100%-'Données projet'!$C$25)*(100%-'Données projet'!$C$26)*(100%-'Données projet'!$C$27)</f>
        <v>5.1470995929428778</v>
      </c>
      <c r="J9" s="159">
        <f>IF(OR('Données projet'!B12="",'Données projet'!C12="",'Données projet'!C12=0%),0,SUM(Calculateur!$CG$3:$CG$33)*VLOOKUP('Données projet'!$B$12,Paramètres!$A$1:$I$89,9,0)*B9)</f>
        <v>24.417120000000001</v>
      </c>
      <c r="K9" s="160">
        <f>J9*(100%-'Données projet'!$C$24)*(100%-'Données projet'!$C$25)*(100%-'Données projet'!$C$26)*(100%-'Données projet'!$C$27)</f>
        <v>21.975408000000002</v>
      </c>
      <c r="L9" s="161">
        <f t="shared" ca="1" si="2"/>
        <v>129.5821946123182</v>
      </c>
      <c r="M9" s="25">
        <f ca="1">L9/B9</f>
        <v>207.6637734171766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Cèdre de l'Atlas</v>
      </c>
      <c r="B10" s="163">
        <f>'Données projet'!D13</f>
        <v>0.67200000000000004</v>
      </c>
      <c r="C10" s="156">
        <f ca="1">IF(OR('Données projet'!B13="",'Données projet'!C13="",'Données projet'!C13=0%),0,Calculateur!CY3)</f>
        <v>426.87921482911719</v>
      </c>
      <c r="D10" s="156">
        <f>IF(OR('Données projet'!B13="",'Données projet'!C13="",'Données projet'!C13=0%),0,Calculateur!CZ3)</f>
        <v>313.49594674441835</v>
      </c>
      <c r="E10" s="156">
        <f t="shared" ca="1" si="0"/>
        <v>313.49594674441835</v>
      </c>
      <c r="F10" s="156">
        <f t="shared" ca="1" si="1"/>
        <v>210.66927621224914</v>
      </c>
      <c r="G10" s="156">
        <f ca="1">F10*(100%-'Données projet'!$C$24)*(100%-'Données projet'!$C$25)*(100%-'Données projet'!$C$26)*(100%-'Données projet'!$C$27)</f>
        <v>189.60234859102422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189.60234859102422</v>
      </c>
      <c r="M10" s="25">
        <f ca="1">L10/B10</f>
        <v>282.1463520699765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Alisier torminal</v>
      </c>
      <c r="B11" s="163">
        <f>'Données projet'!D14</f>
        <v>0.38400000000000001</v>
      </c>
      <c r="C11" s="156">
        <f ca="1">IF(OR('Données projet'!B14="",'Données projet'!C14="",'Données projet'!C14=0%),0,Calculateur!DT3)</f>
        <v>500.25828825677058</v>
      </c>
      <c r="D11" s="156">
        <f>IF(OR('Données projet'!B14="",'Données projet'!C14="",'Données projet'!C14=0%),0,Calculateur!DU3)</f>
        <v>313.56299786481338</v>
      </c>
      <c r="E11" s="156">
        <f t="shared" ca="1" si="0"/>
        <v>313.56299786481338</v>
      </c>
      <c r="F11" s="156">
        <f t="shared" ca="1" si="1"/>
        <v>120.40819118008834</v>
      </c>
      <c r="G11" s="156">
        <f ca="1">F11*(100%-'Données projet'!$C$24)*(100%-'Données projet'!$C$25)*(100%-'Données projet'!$C$26)*(100%-'Données projet'!$C$27)</f>
        <v>108.36737206207951</v>
      </c>
      <c r="H11" s="164">
        <f>IF(OR('Données projet'!B14="",'Données projet'!C14="",'Données projet'!C14=0%),0,AVERAGE(Calculateur!$ED$3:$ED$33)*B11)</f>
        <v>1.4570110330513415</v>
      </c>
      <c r="I11" s="158">
        <f>H11*(100%-'Données projet'!$C$24)*(100%-'Données projet'!$C$25)*(100%-'Données projet'!$C$26)*(100%-'Données projet'!$C$27)</f>
        <v>1.3113099297462074</v>
      </c>
      <c r="J11" s="159">
        <f>IF(OR('Données projet'!B14="",'Données projet'!C14="",'Données projet'!C14=0%),0,SUM(Calculateur!$DW$3:$DW$33)*VLOOKUP('Données projet'!$B$14,Paramètres!$A$1:$I$89,9,0)*B11)</f>
        <v>5.952</v>
      </c>
      <c r="K11" s="160">
        <f>J11*(100%-'Données projet'!$C$24)*(100%-'Données projet'!$C$25)*(100%-'Données projet'!$C$26)*(100%-'Données projet'!$C$27)</f>
        <v>5.3567999999999998</v>
      </c>
      <c r="L11" s="161">
        <f t="shared" ca="1" si="2"/>
        <v>115.03548199182572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Cormier</v>
      </c>
      <c r="B12" s="163">
        <f>'Données projet'!D15</f>
        <v>0.28799999999999998</v>
      </c>
      <c r="C12" s="156">
        <f ca="1">IF(OR('Données projet'!B15="",'Données projet'!C15="",'Données projet'!C15=0%),0,Calculateur!EO3)</f>
        <v>548.17046467409421</v>
      </c>
      <c r="D12" s="156">
        <f>IF(OR('Données projet'!B15="",'Données projet'!C15="",'Données projet'!C15=0%),0,Calculateur!EP3)</f>
        <v>341.9250949809848</v>
      </c>
      <c r="E12" s="156">
        <f t="shared" ca="1" si="0"/>
        <v>341.9250949809848</v>
      </c>
      <c r="F12" s="156">
        <f t="shared" ca="1" si="1"/>
        <v>98.474427354523613</v>
      </c>
      <c r="G12" s="156">
        <f ca="1">F12*(100%-'Données projet'!$C$24)*(100%-'Données projet'!$C$25)*(100%-'Données projet'!$C$26)*(100%-'Données projet'!$C$27)</f>
        <v>88.626984619071251</v>
      </c>
      <c r="H12" s="164">
        <f>IF(OR('Données projet'!B15="",'Données projet'!C15="",'Données projet'!C15=0%),0,AVERAGE(Calculateur!$EY$3:$EY$33)*B12)</f>
        <v>1.2161342090388212</v>
      </c>
      <c r="I12" s="158">
        <f>H12*(100%-'Données projet'!$C$24)*(100%-'Données projet'!$C$25)*(100%-'Données projet'!$C$26)*(100%-'Données projet'!$C$27)</f>
        <v>1.094520788134939</v>
      </c>
      <c r="J12" s="159">
        <f>IF(OR('Données projet'!B15="",'Données projet'!C15="",'Données projet'!C15=0%),0,SUM(Calculateur!$ER$3:$ER$33)*VLOOKUP('Données projet'!$B$15,Paramètres!$A$1:$I$89,9,0)*B12)</f>
        <v>4.4639999999999995</v>
      </c>
      <c r="K12" s="160">
        <f>J12*(100%-'Données projet'!$C$24)*(100%-'Données projet'!$C$25)*(100%-'Données projet'!$C$26)*(100%-'Données projet'!$C$27)</f>
        <v>4.0175999999999998</v>
      </c>
      <c r="L12" s="161">
        <f t="shared" ca="1" si="2"/>
        <v>93.739105407206196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2854.3901407840849</v>
      </c>
      <c r="G16" s="175">
        <f t="shared" ca="1" si="3"/>
        <v>2568.9511267056764</v>
      </c>
      <c r="H16" s="176">
        <f t="shared" si="3"/>
        <v>41.110018612279404</v>
      </c>
      <c r="I16" s="176">
        <f t="shared" si="3"/>
        <v>36.999016751051457</v>
      </c>
      <c r="J16" s="177">
        <f t="shared" si="3"/>
        <v>229.57846272</v>
      </c>
      <c r="K16" s="177">
        <f t="shared" si="3"/>
        <v>206.62061644800002</v>
      </c>
      <c r="L16" s="178">
        <f t="shared" ca="1" si="3"/>
        <v>2812.5707599047278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Mélèze hybride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Cèdre de l'Atlas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Cormier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0" zoomScale="90" zoomScaleNormal="90" workbookViewId="0">
      <selection activeCell="C228" sqref="C2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8" t="s">
        <v>315</v>
      </c>
      <c r="I4" s="328"/>
      <c r="K4" s="325" t="s">
        <v>253</v>
      </c>
      <c r="L4" s="326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6" t="s">
        <v>310</v>
      </c>
      <c r="S7" s="337"/>
      <c r="T7" s="337"/>
      <c r="U7" s="337"/>
      <c r="V7" s="33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910.11277300185668</v>
      </c>
      <c r="U10" s="190">
        <f>'Données projet'!D9</f>
        <v>4.8959999999999999</v>
      </c>
      <c r="V10" s="189">
        <f>U10*T10</f>
        <v>4455.9121366170903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835.58111934600015</v>
      </c>
      <c r="U11" s="190">
        <f>'Données projet'!D10</f>
        <v>0.76800000000000002</v>
      </c>
      <c r="V11" s="189">
        <f t="shared" ref="V11" si="0">U11*T11</f>
        <v>641.72629965772808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3555.7131856712349</v>
      </c>
      <c r="U12" s="190">
        <f>'Données projet'!D11</f>
        <v>1.8815999999999999</v>
      </c>
      <c r="V12" s="189">
        <f t="shared" ref="V12:V19" si="1">U12*T12</f>
        <v>6690.4299301589954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Mélèze hybride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1248.3037398659644</v>
      </c>
      <c r="U13" s="190">
        <f>'Données projet'!D12</f>
        <v>0.624</v>
      </c>
      <c r="V13" s="189">
        <f t="shared" si="1"/>
        <v>778.94153367636181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Cèdre de l'Atlas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1073.3775350824558</v>
      </c>
      <c r="U14" s="190">
        <f>'Données projet'!D13</f>
        <v>0.67200000000000004</v>
      </c>
      <c r="V14" s="189">
        <f t="shared" si="1"/>
        <v>721.30970357541037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9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763.81470918838124</v>
      </c>
      <c r="U15" s="190">
        <f>'Données projet'!D14</f>
        <v>0.38400000000000001</v>
      </c>
      <c r="V15" s="189">
        <f t="shared" si="1"/>
        <v>293.30484832833838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9"/>
      <c r="H16" s="203"/>
      <c r="I16" s="204"/>
      <c r="J16" s="216"/>
      <c r="K16" s="225"/>
      <c r="L16" s="325" t="s">
        <v>254</v>
      </c>
      <c r="M16" s="326"/>
      <c r="N16" s="2"/>
      <c r="O16" s="25"/>
      <c r="P16" s="25"/>
      <c r="Q16" s="265"/>
      <c r="R16" s="25"/>
      <c r="S16" s="185" t="str">
        <f>B200</f>
        <v>Cormier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763.81470918838124</v>
      </c>
      <c r="U16" s="190">
        <f>'Données projet'!D15</f>
        <v>0.28799999999999998</v>
      </c>
      <c r="V16" s="189">
        <f t="shared" si="1"/>
        <v>219.97863624625379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9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9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9"/>
      <c r="H19" s="232" t="s">
        <v>178</v>
      </c>
      <c r="I19" s="232" t="s">
        <v>287</v>
      </c>
      <c r="J19" s="260"/>
      <c r="K19" s="183"/>
      <c r="L19" s="325" t="s">
        <v>288</v>
      </c>
      <c r="M19" s="326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9"/>
      <c r="H20" s="203">
        <v>0</v>
      </c>
      <c r="I20" s="204">
        <v>9603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(7900+4500)/9.6</f>
        <v>1291.6666666666667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(7900+4500)/9.6</f>
        <v>1291.6666666666667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>
        <v>3</v>
      </c>
      <c r="I23" s="204">
        <f>(7900+4500)/9.6</f>
        <v>1291.6666666666667</v>
      </c>
      <c r="K23" s="225"/>
      <c r="L23" s="327" t="s">
        <v>260</v>
      </c>
      <c r="M23" s="327"/>
      <c r="N23" s="327"/>
      <c r="O23" s="25"/>
      <c r="P23" s="25"/>
      <c r="Q23" s="265"/>
      <c r="R23" s="25"/>
      <c r="S23" s="185" t="s">
        <v>264</v>
      </c>
      <c r="T23" s="3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-112474.35490549817</v>
      </c>
      <c r="U23" s="341"/>
      <c r="V23" s="34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2"/>
      <c r="V24" s="34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3">
        <f ca="1">T23-T24</f>
        <v>-112474.35490549817</v>
      </c>
      <c r="U25" s="343"/>
      <c r="V25" s="34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30" t="s">
        <v>258</v>
      </c>
      <c r="M26" s="331"/>
      <c r="N26" s="331"/>
      <c r="O26" s="331"/>
      <c r="P26" s="332"/>
      <c r="Q26" s="265"/>
      <c r="R26" s="25"/>
      <c r="S26" s="198" t="s">
        <v>265</v>
      </c>
      <c r="T26" s="340" t="str">
        <f ca="1">IF(T25&lt;0,"Votre projet est additionnel","Votre projet n'est pas additionnel")</f>
        <v>Votre projet est additionnel</v>
      </c>
      <c r="U26" s="340"/>
      <c r="V26" s="34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33"/>
      <c r="M27" s="334"/>
      <c r="N27" s="334"/>
      <c r="O27" s="334"/>
      <c r="P27" s="335"/>
      <c r="Q27" s="265"/>
      <c r="R27" s="25"/>
      <c r="S27" s="339" t="s">
        <v>267</v>
      </c>
      <c r="T27" s="339"/>
      <c r="U27" s="339"/>
      <c r="V27" s="33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2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92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92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92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92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92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92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92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92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92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92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92">
        <v>20</v>
      </c>
      <c r="D63" s="191">
        <f t="shared" si="4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92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92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92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92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92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92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92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92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92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92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19</v>
      </c>
      <c r="B85" s="193">
        <f>'Données projet'!D88</f>
        <v>0</v>
      </c>
      <c r="C85" s="292">
        <v>15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21</v>
      </c>
      <c r="B86" s="193">
        <f>'Données projet'!D89</f>
        <v>64.58</v>
      </c>
      <c r="C86" s="292">
        <v>20</v>
      </c>
      <c r="D86" s="191">
        <f t="shared" ref="D86:D104" si="6">B86*C86</f>
        <v>1291.5999999999999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28</v>
      </c>
      <c r="B87" s="193">
        <f>'Données projet'!D90</f>
        <v>67.61</v>
      </c>
      <c r="C87" s="292">
        <v>28</v>
      </c>
      <c r="D87" s="191">
        <f t="shared" si="6"/>
        <v>1893.08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86.68</v>
      </c>
      <c r="C88" s="292">
        <v>28</v>
      </c>
      <c r="D88" s="191">
        <f t="shared" si="6"/>
        <v>2427.04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42</v>
      </c>
      <c r="B89" s="193">
        <f>'Données projet'!D92</f>
        <v>99.98</v>
      </c>
      <c r="C89" s="292">
        <v>35</v>
      </c>
      <c r="D89" s="191">
        <f t="shared" si="6"/>
        <v>3499.3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49</v>
      </c>
      <c r="B90" s="193">
        <f>'Données projet'!D93</f>
        <v>112.61</v>
      </c>
      <c r="C90" s="292">
        <v>40</v>
      </c>
      <c r="D90" s="191">
        <f t="shared" si="6"/>
        <v>4504.3999999999996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56</v>
      </c>
      <c r="B91" s="193">
        <f>'Données projet'!D94</f>
        <v>94.57</v>
      </c>
      <c r="C91" s="292">
        <v>50</v>
      </c>
      <c r="D91" s="191">
        <f t="shared" si="6"/>
        <v>4728.5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63</v>
      </c>
      <c r="B92" s="193">
        <f>'Données projet'!D95</f>
        <v>99.49</v>
      </c>
      <c r="C92" s="292">
        <v>80</v>
      </c>
      <c r="D92" s="191">
        <f t="shared" si="6"/>
        <v>7959.2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69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586.05999999999995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Mélèze hybride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5</v>
      </c>
      <c r="C116" s="204">
        <v>7</v>
      </c>
      <c r="D116" s="191">
        <f>B116*C116</f>
        <v>35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21</v>
      </c>
      <c r="C117" s="204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24</v>
      </c>
      <c r="C118" s="204">
        <v>14</v>
      </c>
      <c r="D118" s="191">
        <f t="shared" si="8"/>
        <v>336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22</v>
      </c>
      <c r="C119" s="204">
        <v>15</v>
      </c>
      <c r="D119" s="191">
        <f t="shared" si="8"/>
        <v>330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19</v>
      </c>
      <c r="C120" s="204">
        <v>17</v>
      </c>
      <c r="D120" s="191">
        <f t="shared" si="8"/>
        <v>323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15</v>
      </c>
      <c r="C121" s="204">
        <v>17</v>
      </c>
      <c r="D121" s="191">
        <f t="shared" si="8"/>
        <v>255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11</v>
      </c>
      <c r="C122" s="204">
        <v>22</v>
      </c>
      <c r="D122" s="191">
        <f t="shared" si="8"/>
        <v>242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8</v>
      </c>
      <c r="C123" s="204">
        <v>24</v>
      </c>
      <c r="D123" s="191">
        <f t="shared" si="8"/>
        <v>192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205</v>
      </c>
      <c r="C124" s="204">
        <v>30</v>
      </c>
      <c r="D124" s="191">
        <f t="shared" si="8"/>
        <v>6150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Cèdre de l'Atlas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0</v>
      </c>
      <c r="C147" s="293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93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40</v>
      </c>
      <c r="B149" s="187">
        <f>'Données projet'!D142</f>
        <v>88</v>
      </c>
      <c r="C149" s="292">
        <v>15</v>
      </c>
      <c r="D149" s="194">
        <f t="shared" si="10"/>
        <v>1320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50</v>
      </c>
      <c r="B150" s="187">
        <f>'Données projet'!D143</f>
        <v>0</v>
      </c>
      <c r="C150" s="293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60</v>
      </c>
      <c r="B151" s="187">
        <f>'Données projet'!D144</f>
        <v>102</v>
      </c>
      <c r="C151" s="292">
        <v>18</v>
      </c>
      <c r="D151" s="194">
        <f t="shared" si="10"/>
        <v>1836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70</v>
      </c>
      <c r="B152" s="187">
        <f>'Données projet'!D145</f>
        <v>113</v>
      </c>
      <c r="C152" s="292">
        <v>20</v>
      </c>
      <c r="D152" s="194">
        <f t="shared" si="10"/>
        <v>2260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80</v>
      </c>
      <c r="B153" s="187">
        <f>'Données projet'!D146</f>
        <v>124</v>
      </c>
      <c r="C153" s="292">
        <v>25</v>
      </c>
      <c r="D153" s="194">
        <f t="shared" si="10"/>
        <v>3100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90</v>
      </c>
      <c r="B154" s="187">
        <f>'Données projet'!D147</f>
        <v>135</v>
      </c>
      <c r="C154" s="292">
        <v>30</v>
      </c>
      <c r="D154" s="194">
        <f t="shared" si="10"/>
        <v>4050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100</v>
      </c>
      <c r="B155" s="187">
        <f>'Données projet'!D148</f>
        <v>723</v>
      </c>
      <c r="C155" s="292">
        <v>50</v>
      </c>
      <c r="D155" s="194">
        <f t="shared" si="10"/>
        <v>36150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6</v>
      </c>
      <c r="C178" s="292">
        <v>4</v>
      </c>
      <c r="D178" s="191">
        <f>B178*C178</f>
        <v>24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28</v>
      </c>
      <c r="C179" s="292">
        <v>8</v>
      </c>
      <c r="D179" s="191">
        <f t="shared" ref="D179:D197" si="11">B179*C179</f>
        <v>224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28</v>
      </c>
      <c r="C180" s="292">
        <v>10</v>
      </c>
      <c r="D180" s="191">
        <f t="shared" si="11"/>
        <v>280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28</v>
      </c>
      <c r="C181" s="292">
        <v>10</v>
      </c>
      <c r="D181" s="191">
        <f t="shared" si="11"/>
        <v>280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28</v>
      </c>
      <c r="C182" s="292">
        <v>10</v>
      </c>
      <c r="D182" s="191">
        <f t="shared" si="11"/>
        <v>280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28</v>
      </c>
      <c r="C183" s="292">
        <v>10</v>
      </c>
      <c r="D183" s="191">
        <f t="shared" si="11"/>
        <v>280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28</v>
      </c>
      <c r="C184" s="292">
        <v>15</v>
      </c>
      <c r="D184" s="191">
        <f t="shared" si="11"/>
        <v>420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28</v>
      </c>
      <c r="C185" s="292">
        <v>15</v>
      </c>
      <c r="D185" s="191">
        <f t="shared" si="11"/>
        <v>420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28</v>
      </c>
      <c r="C186" s="292">
        <v>15</v>
      </c>
      <c r="D186" s="191">
        <f t="shared" si="11"/>
        <v>420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28</v>
      </c>
      <c r="C187" s="292">
        <v>20</v>
      </c>
      <c r="D187" s="191">
        <f t="shared" si="11"/>
        <v>560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28</v>
      </c>
      <c r="C188" s="292">
        <v>20</v>
      </c>
      <c r="D188" s="191">
        <f t="shared" si="11"/>
        <v>560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28</v>
      </c>
      <c r="C189" s="292">
        <v>20</v>
      </c>
      <c r="D189" s="191">
        <f t="shared" si="11"/>
        <v>560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80</v>
      </c>
      <c r="B190" s="193">
        <f>'Données projet'!D178</f>
        <v>28</v>
      </c>
      <c r="C190" s="292">
        <v>20</v>
      </c>
      <c r="D190" s="191">
        <f t="shared" si="11"/>
        <v>560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85</v>
      </c>
      <c r="B191" s="193">
        <f>'Données projet'!D179</f>
        <v>28</v>
      </c>
      <c r="C191" s="292">
        <v>20</v>
      </c>
      <c r="D191" s="191">
        <f t="shared" si="11"/>
        <v>560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90</v>
      </c>
      <c r="B192" s="193">
        <f>'Données projet'!D180</f>
        <v>28</v>
      </c>
      <c r="C192" s="292">
        <v>30</v>
      </c>
      <c r="D192" s="191">
        <f t="shared" si="11"/>
        <v>840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95</v>
      </c>
      <c r="B193" s="193">
        <f>'Données projet'!D181</f>
        <v>28</v>
      </c>
      <c r="C193" s="292">
        <v>30</v>
      </c>
      <c r="D193" s="191">
        <f t="shared" si="11"/>
        <v>840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100</v>
      </c>
      <c r="B194" s="193">
        <f>'Données projet'!D182</f>
        <v>27</v>
      </c>
      <c r="C194" s="292">
        <v>40</v>
      </c>
      <c r="D194" s="191">
        <f t="shared" si="11"/>
        <v>1080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105</v>
      </c>
      <c r="B195" s="193">
        <f>'Données projet'!D183</f>
        <v>26</v>
      </c>
      <c r="C195" s="292">
        <v>50</v>
      </c>
      <c r="D195" s="191">
        <f t="shared" si="11"/>
        <v>1300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110</v>
      </c>
      <c r="B196" s="193">
        <f>'Données projet'!D184</f>
        <v>25</v>
      </c>
      <c r="C196" s="292">
        <v>70</v>
      </c>
      <c r="D196" s="191">
        <f t="shared" si="11"/>
        <v>1750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115</v>
      </c>
      <c r="B197" s="193">
        <f>'Données projet'!D185</f>
        <v>330</v>
      </c>
      <c r="C197" s="292">
        <v>80</v>
      </c>
      <c r="D197" s="191">
        <f t="shared" si="11"/>
        <v>26400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Cormier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6</v>
      </c>
      <c r="C209" s="292">
        <v>4</v>
      </c>
      <c r="D209" s="191">
        <f>B209*C209</f>
        <v>24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28</v>
      </c>
      <c r="C210" s="292">
        <v>8</v>
      </c>
      <c r="D210" s="191">
        <f t="shared" ref="D210:D228" si="12">B210*C210</f>
        <v>224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28</v>
      </c>
      <c r="C211" s="292">
        <v>10</v>
      </c>
      <c r="D211" s="191">
        <f t="shared" si="12"/>
        <v>280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28</v>
      </c>
      <c r="C212" s="292">
        <v>10</v>
      </c>
      <c r="D212" s="191">
        <f t="shared" si="12"/>
        <v>280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28</v>
      </c>
      <c r="C213" s="292">
        <v>10</v>
      </c>
      <c r="D213" s="191">
        <f t="shared" si="12"/>
        <v>280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28</v>
      </c>
      <c r="C214" s="292">
        <v>10</v>
      </c>
      <c r="D214" s="191">
        <f t="shared" si="12"/>
        <v>280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28</v>
      </c>
      <c r="C215" s="292">
        <v>15</v>
      </c>
      <c r="D215" s="191">
        <f t="shared" si="12"/>
        <v>420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28</v>
      </c>
      <c r="C216" s="292">
        <v>15</v>
      </c>
      <c r="D216" s="191">
        <f t="shared" si="12"/>
        <v>420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28</v>
      </c>
      <c r="C217" s="292">
        <v>15</v>
      </c>
      <c r="D217" s="191">
        <f t="shared" si="12"/>
        <v>420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28</v>
      </c>
      <c r="C218" s="292">
        <v>20</v>
      </c>
      <c r="D218" s="191">
        <f t="shared" si="12"/>
        <v>560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28</v>
      </c>
      <c r="C219" s="292">
        <v>20</v>
      </c>
      <c r="D219" s="191">
        <f t="shared" si="12"/>
        <v>560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28</v>
      </c>
      <c r="C220" s="292">
        <v>20</v>
      </c>
      <c r="D220" s="191">
        <f t="shared" si="12"/>
        <v>560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28</v>
      </c>
      <c r="C221" s="292">
        <v>20</v>
      </c>
      <c r="D221" s="191">
        <f t="shared" si="12"/>
        <v>560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85</v>
      </c>
      <c r="B222" s="193">
        <f>'Données projet'!D205</f>
        <v>28</v>
      </c>
      <c r="C222" s="292">
        <v>20</v>
      </c>
      <c r="D222" s="191">
        <f t="shared" si="12"/>
        <v>560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90</v>
      </c>
      <c r="B223" s="193">
        <f>'Données projet'!D206</f>
        <v>28</v>
      </c>
      <c r="C223" s="292">
        <v>30</v>
      </c>
      <c r="D223" s="191">
        <f t="shared" si="12"/>
        <v>840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95</v>
      </c>
      <c r="B224" s="193">
        <f>'Données projet'!D207</f>
        <v>28</v>
      </c>
      <c r="C224" s="292">
        <v>30</v>
      </c>
      <c r="D224" s="191">
        <f t="shared" si="12"/>
        <v>840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27</v>
      </c>
      <c r="C225" s="292">
        <v>40</v>
      </c>
      <c r="D225" s="191">
        <f t="shared" si="12"/>
        <v>1080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105</v>
      </c>
      <c r="B226" s="193">
        <f>'Données projet'!D209</f>
        <v>26</v>
      </c>
      <c r="C226" s="292">
        <v>50</v>
      </c>
      <c r="D226" s="191">
        <f t="shared" si="12"/>
        <v>1300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110</v>
      </c>
      <c r="B227" s="193">
        <f>'Données projet'!D210</f>
        <v>25</v>
      </c>
      <c r="C227" s="292">
        <v>70</v>
      </c>
      <c r="D227" s="191">
        <f t="shared" si="12"/>
        <v>1750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115</v>
      </c>
      <c r="B228" s="193">
        <f>'Données projet'!D211</f>
        <v>330</v>
      </c>
      <c r="C228" s="292">
        <v>80</v>
      </c>
      <c r="D228" s="191">
        <f t="shared" si="12"/>
        <v>26400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2024-09-03T13:16:26Z</dcterms:modified>
</cp:coreProperties>
</file>